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0E1D0D9E-1CB8-4CEF-904E-26B16E6C5165}" xr6:coauthVersionLast="45" xr6:coauthVersionMax="45" xr10:uidLastSave="{00000000-0000-0000-0000-000000000000}"/>
  <bookViews>
    <workbookView xWindow="-120" yWindow="-120" windowWidth="29040" windowHeight="1584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 SEFA (2)" sheetId="35" r:id="rId30"/>
    <sheet name="SEFA NOTES" sheetId="30" r:id="rId31"/>
    <sheet name="SEFA NOTES (2)" sheetId="36" r:id="rId32"/>
    <sheet name="SF&amp;QC Sec-1" sheetId="31" r:id="rId33"/>
    <sheet name="SF&amp;QC Sec-2" sheetId="32" r:id="rId34"/>
    <sheet name="SF&amp;QC Sec-3" sheetId="33" r:id="rId35"/>
    <sheet name="SSPAF" sheetId="34" r:id="rId36"/>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18">'AC Tort (v1) 32-33'!$A$1:$N$68</definedName>
    <definedName name="_xlnm.Print_Area" localSheetId="6">'Acct Summary 7-8'!$A$1:$K$83</definedName>
    <definedName name="_xlnm.Print_Area" localSheetId="2">'Aud Quest 2'!$A$1:$J$119</definedName>
    <definedName name="_xlnm.Print_Area" localSheetId="4">'Fin Profile 4'!$A$1:$Q$42</definedName>
    <definedName name="_xlnm.Print_Area" localSheetId="19">'Itemization 33'!$A$1:$B$60</definedName>
    <definedName name="_xlnm.Print_Area" localSheetId="30">'SEFA NOTES'!$A$1:$F$52</definedName>
    <definedName name="_xlnm.Print_Area" localSheetId="31">'SEFA NOTES (2)'!$A$1:$F$52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17">#REF!</definedName>
    <definedName name="SCHADDRS" localSheetId="14">#REF!</definedName>
    <definedName name="SCHADDRS" localSheetId="22">#REF!</definedName>
    <definedName name="SCHADDRS" localSheetId="4">#REF!</definedName>
    <definedName name="SCHADDRS" localSheetId="30">#REF!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17">#REF!</definedName>
    <definedName name="SCHCTY" localSheetId="14">#REF!</definedName>
    <definedName name="SCHCTY" localSheetId="22">#REF!</definedName>
    <definedName name="SCHCTY" localSheetId="4">#REF!</definedName>
    <definedName name="SCHCTY" localSheetId="30">#REF!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17">#REF!</definedName>
    <definedName name="SCHNMBR" localSheetId="14">#REF!</definedName>
    <definedName name="SCHNMBR" localSheetId="22">#REF!</definedName>
    <definedName name="SCHNMBR" localSheetId="4">#REF!</definedName>
    <definedName name="SCHNMBR" localSheetId="30">#REF!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17">#REF!</definedName>
    <definedName name="SCHNME" localSheetId="14">#REF!</definedName>
    <definedName name="SCHNME" localSheetId="22">#REF!</definedName>
    <definedName name="SCHNME" localSheetId="4">#REF!</definedName>
    <definedName name="SCHNME" localSheetId="30">#REF!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17">#REF!</definedName>
    <definedName name="SUPT" localSheetId="14">#REF!</definedName>
    <definedName name="SUPT" localSheetId="22">#REF!</definedName>
    <definedName name="SUPT" localSheetId="4">#REF!</definedName>
    <definedName name="SUPT" localSheetId="30">#REF!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 name="Z_00BB9B19_FC1B_492E_A95E_CC052A0B5070_.wvu.Cols" localSheetId="4" hidden="1">'Fin Profile 4'!$J:$J</definedName>
    <definedName name="Z_00BB9B19_FC1B_492E_A95E_CC052A0B5070_.wvu.FilterData" localSheetId="24" hidden="1">'AFR20'!$A$1:$F$7884</definedName>
    <definedName name="Z_00BB9B19_FC1B_492E_A95E_CC052A0B5070_.wvu.PrintArea" localSheetId="28" hidden="1">' SEFA'!$B$1:$M$46</definedName>
    <definedName name="Z_00BB9B19_FC1B_492E_A95E_CC052A0B5070_.wvu.PrintArea" localSheetId="29" hidden="1">' SEFA (2)'!$B$1:$M$46</definedName>
    <definedName name="Z_00BB9B19_FC1B_492E_A95E_CC052A0B5070_.wvu.PrintArea" localSheetId="6" hidden="1">'Acct Summary 7-8'!$A$1:$K$83</definedName>
    <definedName name="Z_00BB9B19_FC1B_492E_A95E_CC052A0B5070_.wvu.PrintArea" localSheetId="2" hidden="1">'Aud Quest 2'!$A$1:$J$119</definedName>
    <definedName name="Z_00BB9B19_FC1B_492E_A95E_CC052A0B5070_.wvu.PrintArea" localSheetId="4" hidden="1">'Fin Profile 4'!$A$1:$Q$42</definedName>
    <definedName name="Z_00BB9B19_FC1B_492E_A95E_CC052A0B5070_.wvu.PrintArea" localSheetId="19" hidden="1">'Itemization 33'!$A$1:$B$60</definedName>
    <definedName name="Z_00BB9B19_FC1B_492E_A95E_CC052A0B5070_.wvu.PrintArea" localSheetId="30" hidden="1">'SEFA NOTES'!$A$1:$F$52</definedName>
    <definedName name="Z_00BB9B19_FC1B_492E_A95E_CC052A0B5070_.wvu.PrintArea" localSheetId="31" hidden="1">'SEFA NOTES (2)'!$A$1:$F$52</definedName>
    <definedName name="Z_00BB9B19_FC1B_492E_A95E_CC052A0B5070_.wvu.PrintArea" localSheetId="27" hidden="1">'SEFA Reconcile'!$A$1:$E$49</definedName>
    <definedName name="Z_00BB9B19_FC1B_492E_A95E_CC052A0B5070_.wvu.PrintArea" localSheetId="32" hidden="1">'SF&amp;QC Sec-1'!$A$1:$J$63</definedName>
    <definedName name="Z_00BB9B19_FC1B_492E_A95E_CC052A0B5070_.wvu.PrintArea" localSheetId="34" hidden="1">'SF&amp;QC Sec-3'!$A$1:$K$48</definedName>
    <definedName name="Z_00BB9B19_FC1B_492E_A95E_CC052A0B5070_.wvu.PrintArea" localSheetId="16" hidden="1">'Shared Outsourced Services 31'!$A$1:$F$43</definedName>
    <definedName name="Z_00BB9B19_FC1B_492E_A95E_CC052A0B5070_.wvu.PrintArea" localSheetId="26" hidden="1">'Single Audit Checklist'!$A$1:$D$124</definedName>
    <definedName name="Z_00BB9B19_FC1B_492E_A95E_CC052A0B5070_.wvu.PrintArea" localSheetId="25" hidden="1">'Single Audit Cover'!$A$1:$L$51</definedName>
    <definedName name="Z_00BB9B19_FC1B_492E_A95E_CC052A0B5070_.wvu.PrintTitles" localSheetId="6" hidden="1">'Acct Summary 7-8'!$A:$B,'Acct Summary 7-8'!$1:$2</definedName>
    <definedName name="Z_00BB9B19_FC1B_492E_A95E_CC052A0B5070_.wvu.PrintTitles" localSheetId="5" hidden="1">'Assets-Liab 5-6'!$A:$B,'Assets-Liab 5-6'!$1:$2</definedName>
    <definedName name="Z_00BB9B19_FC1B_492E_A95E_CC052A0B5070_.wvu.PrintTitles" localSheetId="23" hidden="1">AUDITCHECK!$20:$20</definedName>
    <definedName name="Z_00BB9B19_FC1B_492E_A95E_CC052A0B5070_.wvu.PrintTitles" localSheetId="14" hidden="1">'Contracts Paid in CY 29'!$16:$16</definedName>
    <definedName name="Z_00BB9B19_FC1B_492E_A95E_CC052A0B5070_.wvu.PrintTitles" localSheetId="8" hidden="1">'Expenditures 15-22'!$A:$B,'Expenditures 15-22'!$1:$2</definedName>
    <definedName name="Z_00BB9B19_FC1B_492E_A95E_CC052A0B5070_.wvu.PrintTitles" localSheetId="13" hidden="1">'PCTC-OEPP 27-28'!$1:$5</definedName>
    <definedName name="Z_00BB9B19_FC1B_492E_A95E_CC052A0B5070_.wvu.PrintTitles" localSheetId="7" hidden="1">'Revenues 9-14'!$A:$B,'Revenues 9-14'!$1:$2</definedName>
    <definedName name="Z_00BB9B19_FC1B_492E_A95E_CC052A0B5070_.wvu.PrintTitles" localSheetId="16" hidden="1">'Shared Outsourced Services 31'!$5:$5</definedName>
    <definedName name="Z_00BB9B19_FC1B_492E_A95E_CC052A0B5070_.wvu.PrintTitles" localSheetId="26" hidden="1">'Single Audit Checklist'!$1:$4</definedName>
    <definedName name="Z_00BB9B19_FC1B_492E_A95E_CC052A0B5070_.wvu.Rows" localSheetId="6" hidden="1">'Acct Summary 7-8'!$83:$83</definedName>
    <definedName name="Z_00BB9B19_FC1B_492E_A95E_CC052A0B5070_.wvu.Rows" localSheetId="2" hidden="1">'Aud Quest 2'!$12:$12,'Aud Quest 2'!$17:$17,'Aud Quest 2'!$19:$19,'Aud Quest 2'!$34:$34,'Aud Quest 2'!$39:$39</definedName>
    <definedName name="Z_00BB9B19_FC1B_492E_A95E_CC052A0B5070_.wvu.Rows" localSheetId="23" hidden="1">AUDITCHECK!$27:$28</definedName>
    <definedName name="Z_00BB9B19_FC1B_492E_A95E_CC052A0B5070_.wvu.Rows" localSheetId="22" hidden="1">'DeficitAFRSum Calc 36'!$16:$19</definedName>
    <definedName name="Z_00BB9B19_FC1B_492E_A95E_CC052A0B5070_.wvu.Rows" localSheetId="3" hidden="1">'FP Info 3'!$12:$12,'FP Info 3'!$26:$26,'FP Info 3'!$39:$39</definedName>
    <definedName name="Z_00BB9B19_FC1B_492E_A95E_CC052A0B5070_.wvu.Rows" localSheetId="13" hidden="1">'PCTC-OEPP 27-28'!$134:$157</definedName>
    <definedName name="Z_00BB9B19_FC1B_492E_A95E_CC052A0B5070_.wvu.Rows" localSheetId="16" hidden="1">'Shared Outsourced Services 31'!$39:$39,'Shared Outsourced Services 31'!$44:$44,'Shared Outsourced Services 31'!$49:$49</definedName>
    <definedName name="Z_00BB9B19_FC1B_492E_A95E_CC052A0B5070_.wvu.Rows" localSheetId="1" hidden="1">TOC!$38:$39</definedName>
    <definedName name="Z_27400517_D544_41E2_9D13_0D8FC40AA704_.wvu.Cols" localSheetId="4" hidden="1">'Fin Profile 4'!$J:$J</definedName>
    <definedName name="Z_27400517_D544_41E2_9D13_0D8FC40AA704_.wvu.FilterData" localSheetId="24" hidden="1">'AFR20'!$A$1:$F$7884</definedName>
    <definedName name="Z_27400517_D544_41E2_9D13_0D8FC40AA704_.wvu.PrintArea" localSheetId="28" hidden="1">' SEFA'!$B$1:$M$46</definedName>
    <definedName name="Z_27400517_D544_41E2_9D13_0D8FC40AA704_.wvu.PrintArea" localSheetId="29" hidden="1">' SEFA (2)'!$B$1:$M$46</definedName>
    <definedName name="Z_27400517_D544_41E2_9D13_0D8FC40AA704_.wvu.PrintArea" localSheetId="6" hidden="1">'Acct Summary 7-8'!$A$1:$K$83</definedName>
    <definedName name="Z_27400517_D544_41E2_9D13_0D8FC40AA704_.wvu.PrintArea" localSheetId="2" hidden="1">'Aud Quest 2'!$A$1:$J$119</definedName>
    <definedName name="Z_27400517_D544_41E2_9D13_0D8FC40AA704_.wvu.PrintArea" localSheetId="4" hidden="1">'Fin Profile 4'!$A$1:$Q$42</definedName>
    <definedName name="Z_27400517_D544_41E2_9D13_0D8FC40AA704_.wvu.PrintArea" localSheetId="19" hidden="1">'Itemization 33'!$A$1:$B$60</definedName>
    <definedName name="Z_27400517_D544_41E2_9D13_0D8FC40AA704_.wvu.PrintArea" localSheetId="30" hidden="1">'SEFA NOTES'!$A$1:$F$52</definedName>
    <definedName name="Z_27400517_D544_41E2_9D13_0D8FC40AA704_.wvu.PrintArea" localSheetId="31" hidden="1">'SEFA NOTES (2)'!$A$1:$F$52</definedName>
    <definedName name="Z_27400517_D544_41E2_9D13_0D8FC40AA704_.wvu.PrintArea" localSheetId="27" hidden="1">'SEFA Reconcile'!$A$1:$E$49</definedName>
    <definedName name="Z_27400517_D544_41E2_9D13_0D8FC40AA704_.wvu.PrintArea" localSheetId="32" hidden="1">'SF&amp;QC Sec-1'!$A$1:$J$63</definedName>
    <definedName name="Z_27400517_D544_41E2_9D13_0D8FC40AA704_.wvu.PrintArea" localSheetId="34" hidden="1">'SF&amp;QC Sec-3'!$A$1:$K$48</definedName>
    <definedName name="Z_27400517_D544_41E2_9D13_0D8FC40AA704_.wvu.PrintArea" localSheetId="16" hidden="1">'Shared Outsourced Services 31'!$A$1:$F$43</definedName>
    <definedName name="Z_27400517_D544_41E2_9D13_0D8FC40AA704_.wvu.PrintArea" localSheetId="26" hidden="1">'Single Audit Checklist'!$A$1:$D$124</definedName>
    <definedName name="Z_27400517_D544_41E2_9D13_0D8FC40AA704_.wvu.PrintArea" localSheetId="25" hidden="1">'Single Audit Cover'!$A$1:$L$51</definedName>
    <definedName name="Z_27400517_D544_41E2_9D13_0D8FC40AA704_.wvu.PrintTitles" localSheetId="6" hidden="1">'Acct Summary 7-8'!$A:$B,'Acct Summary 7-8'!$1:$2</definedName>
    <definedName name="Z_27400517_D544_41E2_9D13_0D8FC40AA704_.wvu.PrintTitles" localSheetId="5" hidden="1">'Assets-Liab 5-6'!$A:$B,'Assets-Liab 5-6'!$1:$2</definedName>
    <definedName name="Z_27400517_D544_41E2_9D13_0D8FC40AA704_.wvu.PrintTitles" localSheetId="23" hidden="1">AUDITCHECK!$20:$20</definedName>
    <definedName name="Z_27400517_D544_41E2_9D13_0D8FC40AA704_.wvu.PrintTitles" localSheetId="14" hidden="1">'Contracts Paid in CY 29'!$16:$16</definedName>
    <definedName name="Z_27400517_D544_41E2_9D13_0D8FC40AA704_.wvu.PrintTitles" localSheetId="8" hidden="1">'Expenditures 15-22'!$A:$B,'Expenditures 15-22'!$1:$2</definedName>
    <definedName name="Z_27400517_D544_41E2_9D13_0D8FC40AA704_.wvu.PrintTitles" localSheetId="13" hidden="1">'PCTC-OEPP 27-28'!$1:$5</definedName>
    <definedName name="Z_27400517_D544_41E2_9D13_0D8FC40AA704_.wvu.PrintTitles" localSheetId="7" hidden="1">'Revenues 9-14'!$A:$B,'Revenues 9-14'!$1:$2</definedName>
    <definedName name="Z_27400517_D544_41E2_9D13_0D8FC40AA704_.wvu.PrintTitles" localSheetId="16" hidden="1">'Shared Outsourced Services 31'!$5:$5</definedName>
    <definedName name="Z_27400517_D544_41E2_9D13_0D8FC40AA704_.wvu.PrintTitles" localSheetId="26" hidden="1">'Single Audit Checklist'!$1:$4</definedName>
    <definedName name="Z_27400517_D544_41E2_9D13_0D8FC40AA704_.wvu.Rows" localSheetId="6" hidden="1">'Acct Summary 7-8'!$83:$83</definedName>
    <definedName name="Z_27400517_D544_41E2_9D13_0D8FC40AA704_.wvu.Rows" localSheetId="2" hidden="1">'Aud Quest 2'!$12:$12,'Aud Quest 2'!$17:$17,'Aud Quest 2'!$19:$19,'Aud Quest 2'!$34:$34,'Aud Quest 2'!$39:$39</definedName>
    <definedName name="Z_27400517_D544_41E2_9D13_0D8FC40AA704_.wvu.Rows" localSheetId="23" hidden="1">AUDITCHECK!$27:$28</definedName>
    <definedName name="Z_27400517_D544_41E2_9D13_0D8FC40AA704_.wvu.Rows" localSheetId="22" hidden="1">'DeficitAFRSum Calc 36'!$16:$19</definedName>
    <definedName name="Z_27400517_D544_41E2_9D13_0D8FC40AA704_.wvu.Rows" localSheetId="3" hidden="1">'FP Info 3'!$12:$12,'FP Info 3'!$26:$26,'FP Info 3'!$39:$39</definedName>
    <definedName name="Z_27400517_D544_41E2_9D13_0D8FC40AA704_.wvu.Rows" localSheetId="13" hidden="1">'PCTC-OEPP 27-28'!$134:$157</definedName>
    <definedName name="Z_27400517_D544_41E2_9D13_0D8FC40AA704_.wvu.Rows" localSheetId="16" hidden="1">'Shared Outsourced Services 31'!$39:$39,'Shared Outsourced Services 31'!$44:$44,'Shared Outsourced Services 31'!$49:$49</definedName>
    <definedName name="Z_27400517_D544_41E2_9D13_0D8FC40AA704_.wvu.Rows" localSheetId="1" hidden="1">TOC!$38:$39</definedName>
    <definedName name="Z_DCE9EA22_7307_4505_BC41_9954A9C79245_.wvu.Cols" localSheetId="4" hidden="1">'Fin Profile 4'!$J:$J</definedName>
    <definedName name="Z_DCE9EA22_7307_4505_BC41_9954A9C79245_.wvu.FilterData" localSheetId="24" hidden="1">'AFR20'!$A$1:$F$7884</definedName>
    <definedName name="Z_DCE9EA22_7307_4505_BC41_9954A9C79245_.wvu.PrintArea" localSheetId="28" hidden="1">' SEFA'!$B$1:$M$46</definedName>
    <definedName name="Z_DCE9EA22_7307_4505_BC41_9954A9C79245_.wvu.PrintArea" localSheetId="29" hidden="1">' SEFA (2)'!$B$1:$M$46</definedName>
    <definedName name="Z_DCE9EA22_7307_4505_BC41_9954A9C79245_.wvu.PrintArea" localSheetId="6" hidden="1">'Acct Summary 7-8'!$A$1:$K$83</definedName>
    <definedName name="Z_DCE9EA22_7307_4505_BC41_9954A9C79245_.wvu.PrintArea" localSheetId="2" hidden="1">'Aud Quest 2'!$A$1:$J$119</definedName>
    <definedName name="Z_DCE9EA22_7307_4505_BC41_9954A9C79245_.wvu.PrintArea" localSheetId="4" hidden="1">'Fin Profile 4'!$A$1:$Q$42</definedName>
    <definedName name="Z_DCE9EA22_7307_4505_BC41_9954A9C79245_.wvu.PrintArea" localSheetId="19" hidden="1">'Itemization 33'!$A$1:$B$60</definedName>
    <definedName name="Z_DCE9EA22_7307_4505_BC41_9954A9C79245_.wvu.PrintArea" localSheetId="30" hidden="1">'SEFA NOTES'!$A$1:$F$52</definedName>
    <definedName name="Z_DCE9EA22_7307_4505_BC41_9954A9C79245_.wvu.PrintArea" localSheetId="31" hidden="1">'SEFA NOTES (2)'!$A$1:$F$52</definedName>
    <definedName name="Z_DCE9EA22_7307_4505_BC41_9954A9C79245_.wvu.PrintArea" localSheetId="27" hidden="1">'SEFA Reconcile'!$A$1:$E$49</definedName>
    <definedName name="Z_DCE9EA22_7307_4505_BC41_9954A9C79245_.wvu.PrintArea" localSheetId="32" hidden="1">'SF&amp;QC Sec-1'!$A$1:$J$63</definedName>
    <definedName name="Z_DCE9EA22_7307_4505_BC41_9954A9C79245_.wvu.PrintArea" localSheetId="34" hidden="1">'SF&amp;QC Sec-3'!$A$1:$K$48</definedName>
    <definedName name="Z_DCE9EA22_7307_4505_BC41_9954A9C79245_.wvu.PrintArea" localSheetId="16" hidden="1">'Shared Outsourced Services 31'!$A$1:$F$43</definedName>
    <definedName name="Z_DCE9EA22_7307_4505_BC41_9954A9C79245_.wvu.PrintArea" localSheetId="26" hidden="1">'Single Audit Checklist'!$A$1:$D$124</definedName>
    <definedName name="Z_DCE9EA22_7307_4505_BC41_9954A9C79245_.wvu.PrintArea" localSheetId="25" hidden="1">'Single Audit Cover'!$A$1:$L$51</definedName>
    <definedName name="Z_DCE9EA22_7307_4505_BC41_9954A9C79245_.wvu.PrintTitles" localSheetId="6" hidden="1">'Acct Summary 7-8'!$A:$B,'Acct Summary 7-8'!$1:$2</definedName>
    <definedName name="Z_DCE9EA22_7307_4505_BC41_9954A9C79245_.wvu.PrintTitles" localSheetId="5" hidden="1">'Assets-Liab 5-6'!$A:$B,'Assets-Liab 5-6'!$1:$2</definedName>
    <definedName name="Z_DCE9EA22_7307_4505_BC41_9954A9C79245_.wvu.PrintTitles" localSheetId="23" hidden="1">AUDITCHECK!$20:$20</definedName>
    <definedName name="Z_DCE9EA22_7307_4505_BC41_9954A9C79245_.wvu.PrintTitles" localSheetId="14" hidden="1">'Contracts Paid in CY 29'!$16:$16</definedName>
    <definedName name="Z_DCE9EA22_7307_4505_BC41_9954A9C79245_.wvu.PrintTitles" localSheetId="8" hidden="1">'Expenditures 15-22'!$A:$B,'Expenditures 15-22'!$1:$2</definedName>
    <definedName name="Z_DCE9EA22_7307_4505_BC41_9954A9C79245_.wvu.PrintTitles" localSheetId="13" hidden="1">'PCTC-OEPP 27-28'!$1:$5</definedName>
    <definedName name="Z_DCE9EA22_7307_4505_BC41_9954A9C79245_.wvu.PrintTitles" localSheetId="7" hidden="1">'Revenues 9-14'!$A:$B,'Revenues 9-14'!$1:$2</definedName>
    <definedName name="Z_DCE9EA22_7307_4505_BC41_9954A9C79245_.wvu.PrintTitles" localSheetId="16" hidden="1">'Shared Outsourced Services 31'!$5:$5</definedName>
    <definedName name="Z_DCE9EA22_7307_4505_BC41_9954A9C79245_.wvu.PrintTitles" localSheetId="26" hidden="1">'Single Audit Checklist'!$1:$4</definedName>
    <definedName name="Z_DCE9EA22_7307_4505_BC41_9954A9C79245_.wvu.Rows" localSheetId="6" hidden="1">'Acct Summary 7-8'!$83:$83</definedName>
    <definedName name="Z_DCE9EA22_7307_4505_BC41_9954A9C79245_.wvu.Rows" localSheetId="2" hidden="1">'Aud Quest 2'!$12:$12,'Aud Quest 2'!$17:$17,'Aud Quest 2'!$19:$19,'Aud Quest 2'!$34:$34,'Aud Quest 2'!$39:$39</definedName>
    <definedName name="Z_DCE9EA22_7307_4505_BC41_9954A9C79245_.wvu.Rows" localSheetId="23" hidden="1">AUDITCHECK!$27:$28</definedName>
    <definedName name="Z_DCE9EA22_7307_4505_BC41_9954A9C79245_.wvu.Rows" localSheetId="22" hidden="1">'DeficitAFRSum Calc 36'!$16:$19</definedName>
    <definedName name="Z_DCE9EA22_7307_4505_BC41_9954A9C79245_.wvu.Rows" localSheetId="3" hidden="1">'FP Info 3'!$12:$12,'FP Info 3'!$26:$26,'FP Info 3'!$39:$39</definedName>
    <definedName name="Z_DCE9EA22_7307_4505_BC41_9954A9C79245_.wvu.Rows" localSheetId="13" hidden="1">'PCTC-OEPP 27-28'!$134:$157</definedName>
    <definedName name="Z_DCE9EA22_7307_4505_BC41_9954A9C79245_.wvu.Rows" localSheetId="16" hidden="1">'Shared Outsourced Services 31'!$39:$39,'Shared Outsourced Services 31'!$44:$44,'Shared Outsourced Services 31'!$49:$49</definedName>
    <definedName name="Z_DCE9EA22_7307_4505_BC41_9954A9C79245_.wvu.Rows" localSheetId="1" hidden="1">TOC!$38:$39</definedName>
  </definedNames>
  <calcPr calcId="191029"/>
  <customWorkbookViews>
    <customWorkbookView name="Para2 - Personal View" guid="{27400517-D544-41E2-9D13-0D8FC40AA704}" mergeInterval="0" personalView="1" xWindow="31" yWindow="66" windowWidth="1773" windowHeight="972" tabRatio="959" activeSheetId="17"/>
    <customWorkbookView name="Chelsey - Personal View" guid="{00BB9B19-FC1B-492E-A95E-CC052A0B5070}" mergeInterval="0" personalView="1" xWindow="841" yWindow="142" windowWidth="1061" windowHeight="893" tabRatio="959" activeSheetId="19"/>
    <customWorkbookView name="Donna - Personal View" guid="{DCE9EA22-7307-4505-BC41-9954A9C79245}" mergeInterval="0" personalView="1" xWindow="74" yWindow="7" windowWidth="1539" windowHeight="1040" tabRatio="959"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8" l="1"/>
  <c r="C33" i="8" l="1"/>
  <c r="M21" i="35"/>
  <c r="L21" i="35"/>
  <c r="K21" i="35"/>
  <c r="J21" i="35"/>
  <c r="I21" i="35"/>
  <c r="H21" i="35"/>
  <c r="G21" i="35"/>
  <c r="F21" i="35"/>
  <c r="E21" i="35"/>
  <c r="M14" i="35"/>
  <c r="M13" i="35"/>
  <c r="M12" i="35"/>
  <c r="M16" i="35" s="1"/>
  <c r="L14" i="35"/>
  <c r="L13" i="35"/>
  <c r="L12" i="35"/>
  <c r="L16" i="35" s="1"/>
  <c r="K14" i="35"/>
  <c r="K13" i="35"/>
  <c r="K16" i="35" s="1"/>
  <c r="K12" i="35"/>
  <c r="J14" i="35"/>
  <c r="J16" i="35" s="1"/>
  <c r="J13" i="35"/>
  <c r="J12" i="35"/>
  <c r="I14" i="35"/>
  <c r="I13" i="35"/>
  <c r="I12" i="35"/>
  <c r="I16" i="35" s="1"/>
  <c r="H16" i="35"/>
  <c r="H14" i="35"/>
  <c r="H13" i="35"/>
  <c r="H12" i="35"/>
  <c r="G14" i="35"/>
  <c r="G13" i="35"/>
  <c r="G16" i="35" s="1"/>
  <c r="G12" i="35"/>
  <c r="F14" i="35"/>
  <c r="F13" i="35"/>
  <c r="F16" i="35" s="1"/>
  <c r="F12" i="35"/>
  <c r="E16" i="35"/>
  <c r="E14" i="35"/>
  <c r="E13" i="35"/>
  <c r="E12" i="35"/>
  <c r="M27" i="29"/>
  <c r="L27" i="29"/>
  <c r="J27" i="29"/>
  <c r="I27" i="29"/>
  <c r="H27" i="29"/>
  <c r="G27" i="29"/>
  <c r="F27" i="29"/>
  <c r="E27" i="29"/>
  <c r="M17" i="29"/>
  <c r="L17" i="29"/>
  <c r="J17" i="29"/>
  <c r="I17" i="29"/>
  <c r="H17" i="29"/>
  <c r="G17" i="29"/>
  <c r="F17" i="29"/>
  <c r="E17" i="29"/>
  <c r="G39" i="31" l="1"/>
  <c r="G38" i="31"/>
  <c r="D45" i="31"/>
  <c r="J16" i="29"/>
  <c r="J15" i="29"/>
  <c r="J14" i="29"/>
  <c r="J13" i="29"/>
  <c r="E34" i="36"/>
  <c r="A4" i="36"/>
  <c r="L27" i="35"/>
  <c r="L26" i="35"/>
  <c r="L25" i="35"/>
  <c r="L24" i="35"/>
  <c r="L23" i="35"/>
  <c r="L22" i="35"/>
  <c r="L20" i="35"/>
  <c r="L19" i="35"/>
  <c r="L18" i="35"/>
  <c r="L17" i="35"/>
  <c r="L11" i="35"/>
  <c r="I9" i="35"/>
  <c r="G9" i="35"/>
  <c r="F9" i="35"/>
  <c r="E9" i="35"/>
  <c r="J8" i="35"/>
  <c r="H8" i="35"/>
  <c r="B4" i="35"/>
  <c r="E58" i="19" l="1"/>
  <c r="N58" i="19" s="1"/>
  <c r="E59" i="19"/>
  <c r="N59" i="19" s="1"/>
  <c r="E60" i="19"/>
  <c r="E61" i="19"/>
  <c r="E62" i="19"/>
  <c r="N62" i="19" s="1"/>
  <c r="E63" i="19"/>
  <c r="E64" i="19"/>
  <c r="E65" i="19"/>
  <c r="E66" i="19"/>
  <c r="N66" i="19" s="1"/>
  <c r="E67" i="19"/>
  <c r="N67" i="19" s="1"/>
  <c r="E57" i="19"/>
  <c r="N57" i="19"/>
  <c r="E17" i="19"/>
  <c r="E16" i="19"/>
  <c r="E15" i="19"/>
  <c r="E14" i="19"/>
  <c r="E12" i="19"/>
  <c r="F15" i="19"/>
  <c r="F19" i="19" s="1"/>
  <c r="H14" i="19"/>
  <c r="J7" i="19"/>
  <c r="L53" i="19" s="1"/>
  <c r="J6" i="19"/>
  <c r="L52" i="19" s="1"/>
  <c r="M68" i="19"/>
  <c r="L68" i="19"/>
  <c r="K68" i="19"/>
  <c r="G16" i="19" s="1"/>
  <c r="J68" i="19"/>
  <c r="I68" i="19"/>
  <c r="H68" i="19"/>
  <c r="G68" i="19"/>
  <c r="G12" i="19" s="1"/>
  <c r="N65" i="19"/>
  <c r="N64" i="19"/>
  <c r="N63" i="19"/>
  <c r="N61" i="19"/>
  <c r="N60" i="19"/>
  <c r="K19" i="19"/>
  <c r="J19" i="19"/>
  <c r="I19" i="19"/>
  <c r="L18" i="19"/>
  <c r="L19" i="19" s="1"/>
  <c r="H18" i="19"/>
  <c r="L17" i="19"/>
  <c r="G17" i="19"/>
  <c r="H17" i="19" s="1"/>
  <c r="L16" i="19"/>
  <c r="L15" i="19"/>
  <c r="G15" i="19"/>
  <c r="L14" i="19"/>
  <c r="G14" i="19"/>
  <c r="L13" i="19"/>
  <c r="G13" i="19"/>
  <c r="L12" i="19"/>
  <c r="N68" i="19" l="1"/>
  <c r="E68" i="19"/>
  <c r="H16" i="19"/>
  <c r="H15" i="19"/>
  <c r="G19" i="19"/>
  <c r="H12" i="19"/>
  <c r="F141" i="15" l="1"/>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F18" i="15" s="1"/>
  <c r="E17" i="15"/>
  <c r="F17" i="15" s="1"/>
  <c r="F80" i="14" l="1"/>
  <c r="C39" i="18" l="1"/>
  <c r="C33" i="18"/>
  <c r="K18" i="18" l="1"/>
  <c r="K17" i="18"/>
  <c r="K16" i="18"/>
  <c r="K15" i="18"/>
  <c r="K14" i="18"/>
  <c r="K13" i="18"/>
  <c r="K12" i="18"/>
  <c r="J19" i="18"/>
  <c r="B7885" i="25" l="1"/>
  <c r="D7885" i="25" s="1"/>
  <c r="B7884" i="25"/>
  <c r="D7884" i="25" s="1"/>
  <c r="B7883" i="25"/>
  <c r="D7883" i="25" s="1"/>
  <c r="B7882" i="25"/>
  <c r="D7882" i="25" s="1"/>
  <c r="B11" i="10" l="1"/>
  <c r="D7836" i="25" l="1"/>
  <c r="J88" i="3" l="1"/>
  <c r="J85" i="3"/>
  <c r="J90" i="3" s="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J24" i="1" l="1"/>
  <c r="B7816" i="25" l="1"/>
  <c r="D7816" i="25" s="1"/>
  <c r="B7815" i="25"/>
  <c r="D7815" i="25" s="1"/>
  <c r="B7814" i="25"/>
  <c r="D7814" i="25" s="1"/>
  <c r="B7813" i="25"/>
  <c r="D7813" i="25" s="1"/>
  <c r="D7811" i="25"/>
  <c r="D7812" i="25"/>
  <c r="D7810" i="25"/>
  <c r="D7809" i="25"/>
  <c r="B7808" i="25"/>
  <c r="D7808" i="25" s="1"/>
  <c r="B7807" i="25"/>
  <c r="D7807" i="25" s="1"/>
  <c r="B7806" i="25"/>
  <c r="B7805" i="25"/>
  <c r="D7805" i="25" s="1"/>
  <c r="B7804" i="25"/>
  <c r="D7804" i="25" s="1"/>
  <c r="B7803" i="25"/>
  <c r="D7803" i="25" s="1"/>
  <c r="B7802" i="25"/>
  <c r="D7802" i="25" s="1"/>
  <c r="B7801" i="25"/>
  <c r="D7801" i="25" s="1"/>
  <c r="D7806" i="25"/>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B7837" i="25"/>
  <c r="D7837" i="25" s="1"/>
  <c r="K356" i="9" l="1"/>
  <c r="B3673" i="25" s="1"/>
  <c r="K355" i="9"/>
  <c r="B7794" i="25" s="1"/>
  <c r="K354" i="9"/>
  <c r="H357" i="9"/>
  <c r="B7237" i="25" s="1"/>
  <c r="L334" i="9"/>
  <c r="K333" i="9"/>
  <c r="B7788" i="25" s="1"/>
  <c r="K332" i="9"/>
  <c r="H334" i="9"/>
  <c r="B7789" i="25" s="1"/>
  <c r="K282" i="9"/>
  <c r="B7784" i="25" s="1"/>
  <c r="H160" i="9"/>
  <c r="B7053" i="25" s="1"/>
  <c r="K159" i="9"/>
  <c r="B7782" i="25" s="1"/>
  <c r="K158" i="9"/>
  <c r="B7780" i="25" s="1"/>
  <c r="K157" i="9"/>
  <c r="B7795" i="25"/>
  <c r="K133" i="9"/>
  <c r="B7776" i="25" s="1"/>
  <c r="B7793" i="25"/>
  <c r="B7791" i="25"/>
  <c r="B7787" i="25"/>
  <c r="B7786"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6" i="29" l="1"/>
  <c r="L25" i="29"/>
  <c r="L24" i="29"/>
  <c r="L23" i="29"/>
  <c r="L22" i="29"/>
  <c r="L21" i="29"/>
  <c r="L20" i="29"/>
  <c r="L19" i="29"/>
  <c r="L18" i="29"/>
  <c r="L16" i="29"/>
  <c r="L15" i="29"/>
  <c r="L14" i="29"/>
  <c r="L13" i="29"/>
  <c r="L12" i="29"/>
  <c r="L11" i="29"/>
  <c r="D14" i="28" l="1"/>
  <c r="D12" i="28"/>
  <c r="A10" i="26"/>
  <c r="A16" i="26"/>
  <c r="A15" i="26"/>
  <c r="A14" i="26"/>
  <c r="K18" i="26"/>
  <c r="G18" i="26"/>
  <c r="G15" i="26"/>
  <c r="I13" i="26"/>
  <c r="G11" i="26"/>
  <c r="G10" i="26"/>
  <c r="G9" i="26"/>
  <c r="G7" i="26"/>
  <c r="E7" i="26"/>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A1" i="36" l="1"/>
  <c r="B1" i="35"/>
  <c r="B2" i="29"/>
  <c r="A2" i="36"/>
  <c r="B2" i="35"/>
  <c r="B2" i="34"/>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84" i="24"/>
  <c r="D78" i="24"/>
  <c r="K75" i="9"/>
  <c r="C14" i="7" s="1"/>
  <c r="B2558" i="25" s="1"/>
  <c r="D2558" i="25" s="1"/>
  <c r="K130" i="9"/>
  <c r="K185" i="9"/>
  <c r="F62" i="14" s="1"/>
  <c r="B7833" i="25" s="1"/>
  <c r="D7833" i="25" s="1"/>
  <c r="K122" i="9"/>
  <c r="F15" i="18" s="1"/>
  <c r="F19" i="18" s="1"/>
  <c r="K67" i="9"/>
  <c r="G33" i="16" s="1"/>
  <c r="K64" i="9"/>
  <c r="D31" i="16" s="1"/>
  <c r="K59" i="9"/>
  <c r="E15" i="18" s="1"/>
  <c r="K56" i="9"/>
  <c r="E14" i="18" s="1"/>
  <c r="G14" i="18" s="1"/>
  <c r="K51" i="9"/>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K81" i="9"/>
  <c r="B2976" i="25" s="1"/>
  <c r="D2976" i="25" s="1"/>
  <c r="K82" i="9"/>
  <c r="B2977" i="25" s="1"/>
  <c r="D2977" i="25" s="1"/>
  <c r="K83" i="9"/>
  <c r="B2978" i="25" s="1"/>
  <c r="D2978" i="25" s="1"/>
  <c r="K93" i="9"/>
  <c r="K94" i="9"/>
  <c r="K95" i="9"/>
  <c r="B7001" i="25" s="1"/>
  <c r="D7001" i="25" s="1"/>
  <c r="K96" i="9"/>
  <c r="K97" i="9"/>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5" i="25"/>
  <c r="D2975" i="25" s="1"/>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B3011" i="25"/>
  <c r="D3011"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F77" i="7" s="1"/>
  <c r="B3255" i="25" s="1"/>
  <c r="D3255" i="25" s="1"/>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5" i="25"/>
  <c r="D7005"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I129" i="9"/>
  <c r="B7037" i="25" s="1"/>
  <c r="D7037"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B7073" i="25"/>
  <c r="D7073" i="25" s="1"/>
  <c r="B7074" i="25"/>
  <c r="D7074" i="25" s="1"/>
  <c r="B7075" i="25"/>
  <c r="D7075" i="25" s="1"/>
  <c r="B7076" i="25"/>
  <c r="D7076"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6" i="25" s="1"/>
  <c r="D7126" i="25" s="1"/>
  <c r="B7127" i="25"/>
  <c r="D7127" i="25" s="1"/>
  <c r="B7128" i="25"/>
  <c r="D7128" i="25" s="1"/>
  <c r="B7129" i="25"/>
  <c r="D7129" i="25" s="1"/>
  <c r="B7130" i="25"/>
  <c r="D7130" i="25" s="1"/>
  <c r="B7131" i="25"/>
  <c r="D7131" i="25" s="1"/>
  <c r="B7132" i="25"/>
  <c r="D7132" i="25" s="1"/>
  <c r="B7133" i="25"/>
  <c r="D7133" i="25" s="1"/>
  <c r="B7134" i="25"/>
  <c r="D7134" i="25" s="1"/>
  <c r="K320" i="9"/>
  <c r="B7135" i="25" s="1"/>
  <c r="D7135" i="25" s="1"/>
  <c r="B7136" i="25"/>
  <c r="D7136" i="25" s="1"/>
  <c r="B7137" i="25"/>
  <c r="D7137" i="25" s="1"/>
  <c r="B7138" i="25"/>
  <c r="D7138" i="25" s="1"/>
  <c r="B7139" i="25"/>
  <c r="D7139" i="25" s="1"/>
  <c r="B7140" i="25"/>
  <c r="D7140" i="25" s="1"/>
  <c r="B7141" i="25"/>
  <c r="D7141" i="25" s="1"/>
  <c r="B7142" i="25"/>
  <c r="D7142" i="25" s="1"/>
  <c r="B7143" i="25"/>
  <c r="D7143" i="25" s="1"/>
  <c r="K321" i="9"/>
  <c r="B7145" i="25"/>
  <c r="D7145" i="25" s="1"/>
  <c r="B7146" i="25"/>
  <c r="D7146" i="25" s="1"/>
  <c r="B7147" i="25"/>
  <c r="D7147" i="25" s="1"/>
  <c r="B7148" i="25"/>
  <c r="D7148" i="25" s="1"/>
  <c r="B7149" i="25"/>
  <c r="D7149" i="25" s="1"/>
  <c r="B7150" i="25"/>
  <c r="D7150" i="25" s="1"/>
  <c r="B7151" i="25"/>
  <c r="D7151" i="25" s="1"/>
  <c r="B7152" i="25"/>
  <c r="D7152" i="25" s="1"/>
  <c r="K322" i="9"/>
  <c r="B7153" i="25" s="1"/>
  <c r="D7153" i="25" s="1"/>
  <c r="B7154" i="25"/>
  <c r="D7154" i="25" s="1"/>
  <c r="B7155" i="25"/>
  <c r="D7155" i="25" s="1"/>
  <c r="B7156" i="25"/>
  <c r="D7156" i="25" s="1"/>
  <c r="B7157" i="25"/>
  <c r="D7157" i="25" s="1"/>
  <c r="B7158" i="25"/>
  <c r="D7158" i="25" s="1"/>
  <c r="B7159" i="25"/>
  <c r="D7159" i="25" s="1"/>
  <c r="B7160" i="25"/>
  <c r="D7160" i="25" s="1"/>
  <c r="B7161" i="25"/>
  <c r="D7161" i="25" s="1"/>
  <c r="K323" i="9"/>
  <c r="B7162" i="25" s="1"/>
  <c r="D7162" i="25" s="1"/>
  <c r="B7163" i="25"/>
  <c r="D7163" i="25" s="1"/>
  <c r="B7164" i="25"/>
  <c r="D7164" i="25" s="1"/>
  <c r="B7165" i="25"/>
  <c r="D7165" i="25" s="1"/>
  <c r="B7166" i="25"/>
  <c r="D7166" i="25" s="1"/>
  <c r="B7167" i="25"/>
  <c r="D7167" i="25" s="1"/>
  <c r="B7168" i="25"/>
  <c r="D7168" i="25" s="1"/>
  <c r="B7169" i="25"/>
  <c r="D7169" i="25" s="1"/>
  <c r="B7170" i="25"/>
  <c r="D7170" i="25" s="1"/>
  <c r="K324" i="9"/>
  <c r="B7171" i="25" s="1"/>
  <c r="D7171" i="25" s="1"/>
  <c r="B7172" i="25"/>
  <c r="D7172" i="25" s="1"/>
  <c r="B7173" i="25"/>
  <c r="D7173" i="25" s="1"/>
  <c r="B7174" i="25"/>
  <c r="D7174" i="25" s="1"/>
  <c r="B7175" i="25"/>
  <c r="D7175" i="25" s="1"/>
  <c r="B7176" i="25"/>
  <c r="D7176" i="25" s="1"/>
  <c r="B7177" i="25"/>
  <c r="D7177" i="25" s="1"/>
  <c r="B7178" i="25"/>
  <c r="D7178" i="25" s="1"/>
  <c r="B7179" i="25"/>
  <c r="D7179" i="25" s="1"/>
  <c r="K325" i="9"/>
  <c r="B7180" i="25" s="1"/>
  <c r="D7180" i="25" s="1"/>
  <c r="B7181" i="25"/>
  <c r="D7181" i="25" s="1"/>
  <c r="B7182" i="25"/>
  <c r="D7182" i="25" s="1"/>
  <c r="B7183" i="25"/>
  <c r="D7183" i="25" s="1"/>
  <c r="B7184" i="25"/>
  <c r="D7184" i="25" s="1"/>
  <c r="B7185" i="25"/>
  <c r="D7185" i="25" s="1"/>
  <c r="B7186" i="25"/>
  <c r="D7186" i="25" s="1"/>
  <c r="B7187" i="25"/>
  <c r="D7187" i="25" s="1"/>
  <c r="B7188" i="25"/>
  <c r="D7188" i="25" s="1"/>
  <c r="K326" i="9"/>
  <c r="B7189" i="25" s="1"/>
  <c r="D7189" i="25" s="1"/>
  <c r="B7190" i="25"/>
  <c r="D7190" i="25" s="1"/>
  <c r="B7191" i="25"/>
  <c r="D7191" i="25" s="1"/>
  <c r="B7192" i="25"/>
  <c r="D7192" i="25" s="1"/>
  <c r="B7193" i="25"/>
  <c r="D7193" i="25" s="1"/>
  <c r="B7194" i="25"/>
  <c r="D7194" i="25" s="1"/>
  <c r="B7195" i="25"/>
  <c r="D7195" i="25" s="1"/>
  <c r="B7196" i="25"/>
  <c r="D7196" i="25" s="1"/>
  <c r="B7197" i="25"/>
  <c r="D7197" i="25" s="1"/>
  <c r="K327" i="9"/>
  <c r="B7198" i="25" s="1"/>
  <c r="D7198" i="25" s="1"/>
  <c r="C330" i="9"/>
  <c r="B7199" i="25" s="1"/>
  <c r="D7199" i="25" s="1"/>
  <c r="D330" i="9"/>
  <c r="E330" i="9"/>
  <c r="F330" i="9"/>
  <c r="G330" i="9"/>
  <c r="B7203" i="25" s="1"/>
  <c r="D7203" i="25" s="1"/>
  <c r="H330" i="9"/>
  <c r="B7204" i="25" s="1"/>
  <c r="D7204" i="25" s="1"/>
  <c r="I330" i="9"/>
  <c r="B7205" i="25" s="1"/>
  <c r="D7205" i="25" s="1"/>
  <c r="J330" i="9"/>
  <c r="B7206" i="25" s="1"/>
  <c r="D7206" i="25" s="1"/>
  <c r="K328" i="9"/>
  <c r="B7696" i="25" s="1"/>
  <c r="D7696" i="25" s="1"/>
  <c r="K329" i="9"/>
  <c r="B7705" i="25" s="1"/>
  <c r="D7705" i="25" s="1"/>
  <c r="B7208" i="25"/>
  <c r="D7208" i="25" s="1"/>
  <c r="K337" i="9"/>
  <c r="B7209" i="25" s="1"/>
  <c r="D7209" i="25" s="1"/>
  <c r="B7210" i="25"/>
  <c r="D7210" i="25" s="1"/>
  <c r="K338" i="9"/>
  <c r="B7212" i="25"/>
  <c r="D7212" i="25" s="1"/>
  <c r="K339" i="9"/>
  <c r="B7213" i="25" s="1"/>
  <c r="D7213" i="25" s="1"/>
  <c r="H340" i="9"/>
  <c r="H342" i="9" s="1"/>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B64" i="20"/>
  <c r="B65" i="20"/>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F34" i="14"/>
  <c r="B7826" i="25" s="1"/>
  <c r="D7826" i="25" s="1"/>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F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H33" i="5"/>
  <c r="D22" i="4"/>
  <c r="L22" i="4"/>
  <c r="D24" i="4"/>
  <c r="B4270" i="25" s="1"/>
  <c r="D4270" i="25" s="1"/>
  <c r="B5752" i="25"/>
  <c r="D5752" i="25" s="1"/>
  <c r="E13" i="18" l="1"/>
  <c r="G13" i="18" s="1"/>
  <c r="E13" i="19"/>
  <c r="F42" i="14"/>
  <c r="C342" i="9"/>
  <c r="B7216" i="25" s="1"/>
  <c r="D7216" i="25" s="1"/>
  <c r="J210" i="9"/>
  <c r="B7072" i="25" s="1"/>
  <c r="D7072" i="25" s="1"/>
  <c r="J129" i="9"/>
  <c r="B7038" i="25" s="1"/>
  <c r="D7038" i="25" s="1"/>
  <c r="B2836" i="25"/>
  <c r="D2836" i="25" s="1"/>
  <c r="G35" i="16"/>
  <c r="F37" i="14"/>
  <c r="B7829" i="25" s="1"/>
  <c r="D7829" i="25" s="1"/>
  <c r="H76" i="7"/>
  <c r="B3298" i="25" s="1"/>
  <c r="D3298" i="25" s="1"/>
  <c r="G39" i="16"/>
  <c r="C129" i="9"/>
  <c r="I210" i="9"/>
  <c r="B7071" i="25" s="1"/>
  <c r="D7071"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G15" i="18"/>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F5" i="7"/>
  <c r="B3408" i="25" s="1"/>
  <c r="D3408" i="25" s="1"/>
  <c r="C5" i="7"/>
  <c r="B3405" i="25" s="1"/>
  <c r="D3405" i="25" s="1"/>
  <c r="B6840" i="25"/>
  <c r="D6840" i="25" s="1"/>
  <c r="B6839" i="25"/>
  <c r="D6839" i="25" s="1"/>
  <c r="B6838" i="25"/>
  <c r="D6838" i="25" s="1"/>
  <c r="D169" i="8"/>
  <c r="B5412" i="25" s="1"/>
  <c r="D5412" i="25" s="1"/>
  <c r="B5618" i="25"/>
  <c r="D5618" i="25" s="1"/>
  <c r="K109" i="8"/>
  <c r="F16" i="13"/>
  <c r="B2031" i="25" s="1"/>
  <c r="D2031" i="25" s="1"/>
  <c r="F48" i="14"/>
  <c r="F40" i="14"/>
  <c r="B7200" i="25"/>
  <c r="D7200" i="25" s="1"/>
  <c r="D342" i="9"/>
  <c r="B7217" i="25" s="1"/>
  <c r="D7217" i="25" s="1"/>
  <c r="B7144" i="25"/>
  <c r="D7144" i="25" s="1"/>
  <c r="K330" i="9"/>
  <c r="B6901" i="25"/>
  <c r="D6901" i="25" s="1"/>
  <c r="F51" i="14"/>
  <c r="B6885" i="25"/>
  <c r="D6885" i="25" s="1"/>
  <c r="F43" i="14"/>
  <c r="B7211" i="25"/>
  <c r="D7211" i="25" s="1"/>
  <c r="K340" i="9"/>
  <c r="J16" i="7" s="1"/>
  <c r="B6226" i="25" s="1"/>
  <c r="D6226" i="25" s="1"/>
  <c r="B6893" i="25"/>
  <c r="D6893" i="25" s="1"/>
  <c r="F47" i="14"/>
  <c r="B6877" i="25"/>
  <c r="D6877" i="25" s="1"/>
  <c r="F39" i="14"/>
  <c r="B6216" i="25"/>
  <c r="D6216" i="25" s="1"/>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C151" i="9"/>
  <c r="B1226" i="25" s="1"/>
  <c r="D1226" i="25" s="1"/>
  <c r="B169" i="25"/>
  <c r="D169" i="25" s="1"/>
  <c r="F41" i="6"/>
  <c r="E16" i="18"/>
  <c r="G16" i="18" s="1"/>
  <c r="B1131" i="25"/>
  <c r="D1131" i="25" s="1"/>
  <c r="L3" i="13"/>
  <c r="B7596" i="25" s="1"/>
  <c r="L9" i="13"/>
  <c r="B7614" i="25" s="1"/>
  <c r="L10" i="13"/>
  <c r="B2058" i="25" s="1"/>
  <c r="D2058" i="25" s="1"/>
  <c r="D10" i="10"/>
  <c r="B1765" i="25" s="1"/>
  <c r="D1765" i="25" s="1"/>
  <c r="D16" i="10"/>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B5527" i="25"/>
  <c r="D5527" i="25" s="1"/>
  <c r="L279" i="9"/>
  <c r="L295" i="9" s="1"/>
  <c r="L74" i="9"/>
  <c r="K33" i="9"/>
  <c r="B720" i="25"/>
  <c r="D720" i="25" s="1"/>
  <c r="B7618" i="25"/>
  <c r="L14" i="13"/>
  <c r="B7623" i="25" s="1"/>
  <c r="B7230" i="25"/>
  <c r="D7230" i="25" s="1"/>
  <c r="I352" i="9"/>
  <c r="I367" i="9" s="1"/>
  <c r="B7215" i="25"/>
  <c r="D7215" i="25" s="1"/>
  <c r="B7202" i="25"/>
  <c r="D7202" i="25" s="1"/>
  <c r="F342" i="9"/>
  <c r="B7219" i="25" s="1"/>
  <c r="D7219" i="25" s="1"/>
  <c r="B7214" i="25"/>
  <c r="D7214" i="25" s="1"/>
  <c r="B7221" i="25"/>
  <c r="D7221"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381" i="25"/>
  <c r="D1381" i="25" s="1"/>
  <c r="B1318" i="25"/>
  <c r="D1318"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H77" i="7"/>
  <c r="B3299" i="25" s="1"/>
  <c r="D3299"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L151" i="9"/>
  <c r="C266" i="8"/>
  <c r="J24" i="12"/>
  <c r="B7730" i="25"/>
  <c r="D7730" i="25" s="1"/>
  <c r="B3447" i="25"/>
  <c r="D3447" i="25" s="1"/>
  <c r="D44" i="24" l="1"/>
  <c r="F41" i="16"/>
  <c r="G43" i="16" s="1"/>
  <c r="H13" i="19"/>
  <c r="H19" i="19" s="1"/>
  <c r="L20" i="19" s="1"/>
  <c r="E19" i="19"/>
  <c r="L16" i="13"/>
  <c r="B2061" i="25" s="1"/>
  <c r="D2061" i="25" s="1"/>
  <c r="L114" i="9"/>
  <c r="B7222" i="25"/>
  <c r="D7222" i="25" s="1"/>
  <c r="F76" i="14"/>
  <c r="B7887" i="25" s="1"/>
  <c r="D7887" i="25" s="1"/>
  <c r="B7235" i="25"/>
  <c r="D7235" i="25" s="1"/>
  <c r="B1328" i="25"/>
  <c r="D1328" i="25" s="1"/>
  <c r="E367" i="9"/>
  <c r="B3635" i="25"/>
  <c r="B7220" i="25"/>
  <c r="D7220" i="25" s="1"/>
  <c r="F75" i="14"/>
  <c r="B7886" i="25" s="1"/>
  <c r="D7886" i="25" s="1"/>
  <c r="B5770" i="25"/>
  <c r="D5770" i="25" s="1"/>
  <c r="K342" i="9"/>
  <c r="F13" i="14" s="1"/>
  <c r="N23" i="6"/>
  <c r="B284" i="25" s="1"/>
  <c r="D284"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3636" i="25"/>
  <c r="D3636" i="25" s="1"/>
  <c r="D3635" i="25"/>
  <c r="B4171" i="25"/>
  <c r="D4171" i="25" s="1"/>
  <c r="N36" i="6"/>
  <c r="J114" i="9"/>
  <c r="B7021" i="25" s="1"/>
  <c r="D7021" i="25" s="1"/>
  <c r="B6978" i="25"/>
  <c r="D6978" i="25" s="1"/>
  <c r="B7224" i="25"/>
  <c r="D7224" i="25" s="1"/>
  <c r="B7244" i="25"/>
  <c r="D7244" i="25" s="1"/>
  <c r="B7234" i="25"/>
  <c r="D7234" i="25" s="1"/>
  <c r="B1108" i="25"/>
  <c r="D1108" i="25" s="1"/>
  <c r="E19" i="16"/>
  <c r="C12" i="7"/>
  <c r="G19" i="16"/>
  <c r="B5544" i="25"/>
  <c r="D5544" i="25" s="1"/>
  <c r="E6" i="7"/>
  <c r="G22" i="16"/>
  <c r="B1119" i="25"/>
  <c r="D1119" i="25" s="1"/>
  <c r="E22" i="16"/>
  <c r="G12" i="18"/>
  <c r="G19" i="18" s="1"/>
  <c r="K20" i="18" s="1"/>
  <c r="E19" i="18"/>
  <c r="B5915" i="25"/>
  <c r="D5915" i="25" s="1"/>
  <c r="B1145" i="25" l="1"/>
  <c r="D1145" i="25" s="1"/>
  <c r="F24" i="4"/>
  <c r="D268" i="8"/>
  <c r="E41" i="16"/>
  <c r="E44" i="16" s="1"/>
  <c r="E45" i="16" s="1"/>
  <c r="J17" i="7"/>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F8" i="7"/>
  <c r="F10" i="7" s="1"/>
  <c r="B4125" i="25" s="1"/>
  <c r="D4125" i="25" s="1"/>
  <c r="B5223" i="25"/>
  <c r="D5223" i="25" s="1"/>
  <c r="C6" i="7"/>
  <c r="B2553" i="25" s="1"/>
  <c r="D2553" i="25" s="1"/>
  <c r="J8" i="7"/>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J19" i="7"/>
  <c r="B6229" i="25" s="1"/>
  <c r="D6229" i="25" s="1"/>
  <c r="B6227" i="25"/>
  <c r="D6227"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77" i="14" s="1"/>
  <c r="F15" i="7"/>
  <c r="K210" i="9"/>
  <c r="F11" i="14" s="1"/>
  <c r="B1287" i="25"/>
  <c r="D1287" i="25" s="1"/>
  <c r="D16" i="7"/>
  <c r="B2572" i="25" s="1"/>
  <c r="D2572" i="25" s="1"/>
  <c r="B1143" i="25"/>
  <c r="D1143" i="25" s="1"/>
  <c r="C13" i="7"/>
  <c r="B2557" i="25" s="1"/>
  <c r="D2557" i="25" s="1"/>
  <c r="J20" i="7"/>
  <c r="J10" i="7"/>
  <c r="B6225" i="25" s="1"/>
  <c r="D6225" i="25" s="1"/>
  <c r="B6223" i="25"/>
  <c r="D6223" i="25" s="1"/>
  <c r="B5508" i="25"/>
  <c r="D5508" i="25" s="1"/>
  <c r="B2567" i="25"/>
  <c r="D2567" i="25" s="1"/>
  <c r="K17" i="7" l="1"/>
  <c r="D8" i="23"/>
  <c r="B7834" i="25"/>
  <c r="D7834" i="25" s="1"/>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3575" i="25"/>
  <c r="D3575" i="25" s="1"/>
  <c r="K19" i="7"/>
  <c r="B4144" i="25" s="1"/>
  <c r="D4144" i="25" s="1"/>
  <c r="K20" i="7"/>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D10" i="7" l="1"/>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J20" i="5"/>
  <c r="O16" i="5"/>
  <c r="K20"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O11" i="5" s="1"/>
  <c r="O13" i="5" s="1"/>
  <c r="O17" i="5"/>
  <c r="O20"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F180" i="14" l="1"/>
  <c r="B7880" i="25" s="1"/>
  <c r="D7880" i="25" s="1"/>
  <c r="B7879" i="25"/>
  <c r="D7879" i="25" s="1"/>
  <c r="O35" i="5"/>
  <c r="O37" i="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D29" i="24" l="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<sst xmlns="http://schemas.openxmlformats.org/spreadsheetml/2006/main" count="5344" uniqueCount="2115">
  <si>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</si>
  <si>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</si>
  <si>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</si>
  <si>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</si>
  <si>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</si>
  <si>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</si>
  <si>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</si>
  <si>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</si>
  <si>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</si>
  <si>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</si>
  <si>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</si>
  <si>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</si>
  <si>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</si>
  <si>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</si>
  <si>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</si>
  <si>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</si>
  <si>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</si>
  <si>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</si>
  <si>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</si>
  <si>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</si>
  <si>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</si>
  <si>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</si>
  <si>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</si>
  <si>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</si>
  <si>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</si>
  <si>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</si>
  <si>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</si>
  <si>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</si>
  <si>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</si>
  <si>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</si>
  <si>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</si>
  <si>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</si>
  <si>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</si>
  <si>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</si>
  <si>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</si>
  <si>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</si>
  <si>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</si>
  <si>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</si>
  <si>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</si>
  <si>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</si>
  <si>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</si>
  <si>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</si>
  <si>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</si>
  <si>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</si>
  <si>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</si>
  <si>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</si>
  <si>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</si>
  <si>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</si>
  <si>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</si>
  <si>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</si>
  <si>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</si>
  <si>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</si>
  <si>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</si>
  <si>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</si>
  <si>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</si>
  <si>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</si>
  <si>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</si>
  <si>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</si>
  <si>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</si>
  <si>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</si>
  <si>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</si>
  <si>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</si>
  <si>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</si>
  <si>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</si>
  <si>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</si>
  <si>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</si>
  <si>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</si>
  <si>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</si>
  <si>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</si>
  <si>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</si>
  <si>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</si>
  <si>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</si>
  <si>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</si>
  <si>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</si>
  <si>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</si>
  <si>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</si>
  <si>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</si>
  <si>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</si>
  <si>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</si>
  <si>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</si>
  <si>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</si>
  <si>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</si>
  <si>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</si>
  <si>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</si>
  <si>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</si>
  <si>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</si>
  <si>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</si>
  <si>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</si>
  <si>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</si>
  <si>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</si>
  <si>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</si>
  <si>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</si>
  <si>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</si>
  <si>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</si>
  <si>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</si>
  <si>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</si>
  <si>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</si>
  <si>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</si>
  <si>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</si>
  <si>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</si>
  <si>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</si>
  <si>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</si>
  <si>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</si>
  <si>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</si>
  <si>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</si>
  <si>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</si>
  <si>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</si>
  <si>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</si>
  <si>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</si>
  <si>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</si>
  <si>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</si>
  <si>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</si>
  <si>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</si>
  <si>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</si>
  <si>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</si>
  <si>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</si>
  <si>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</si>
  <si>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</si>
  <si>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</si>
  <si>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</si>
  <si>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</si>
  <si>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</si>
  <si>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</si>
  <si>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</si>
  <si>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</si>
  <si>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</si>
  <si>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</si>
  <si>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</si>
  <si>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</si>
  <si>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</si>
  <si>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</si>
  <si>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</si>
  <si>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</si>
  <si>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</si>
  <si>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</si>
  <si>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</si>
  <si>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</si>
  <si>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</si>
  <si>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</si>
  <si>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</si>
  <si>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</si>
  <si>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</si>
  <si>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</si>
  <si>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</si>
  <si>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</si>
  <si>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</si>
  <si>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</si>
  <si>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</si>
  <si>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</si>
  <si>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</si>
  <si>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</si>
  <si>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</si>
  <si>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</si>
  <si>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</si>
  <si>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</si>
  <si>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</si>
  <si>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</si>
  <si>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</si>
  <si>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</si>
  <si>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</si>
  <si>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</si>
  <si>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</si>
  <si>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</si>
  <si>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</si>
  <si>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</si>
  <si>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</si>
  <si>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</si>
  <si>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</si>
  <si>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</si>
  <si>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</si>
  <si>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</si>
  <si>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</si>
  <si>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</si>
  <si>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</si>
  <si>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</si>
  <si>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</si>
  <si>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</si>
  <si>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</si>
  <si>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</si>
  <si>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</si>
  <si>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</si>
  <si>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</si>
  <si>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</si>
  <si>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</si>
  <si>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</si>
  <si>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</si>
  <si>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</si>
  <si>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</si>
  <si>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</si>
  <si>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</si>
  <si>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</si>
  <si>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</si>
  <si>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</si>
  <si>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</si>
  <si>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</si>
  <si>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</si>
  <si>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</si>
  <si>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</si>
  <si>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</si>
  <si>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</si>
  <si>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</si>
  <si>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</si>
  <si>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</si>
  <si>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</si>
  <si>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</si>
  <si>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</si>
  <si>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</si>
  <si>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</si>
  <si>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</si>
  <si>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</si>
  <si>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</si>
  <si>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</si>
  <si>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</si>
  <si>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</si>
  <si>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</si>
  <si>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</si>
  <si>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</si>
  <si>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</si>
  <si>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</si>
  <si>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</si>
  <si>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</si>
  <si>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</si>
  <si>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</si>
  <si>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</si>
  <si>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</si>
  <si>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</si>
  <si>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</si>
  <si>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</si>
  <si>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</si>
  <si>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</si>
  <si>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</si>
  <si>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</si>
  <si>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</si>
  <si>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</si>
  <si>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</si>
  <si>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</si>
  <si>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</si>
  <si>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</si>
  <si>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</si>
  <si>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</si>
  <si>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</si>
  <si>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</si>
  <si>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</si>
  <si>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</si>
  <si>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</si>
  <si>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</si>
  <si>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</si>
  <si>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</si>
  <si>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</si>
  <si>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</si>
  <si>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</si>
  <si>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</si>
  <si>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</si>
  <si>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</si>
  <si>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</si>
  <si>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</si>
  <si>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</si>
  <si>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</si>
  <si>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</si>
  <si>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</si>
  <si>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</si>
  <si>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</si>
  <si>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</si>
  <si>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</si>
  <si>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</si>
  <si>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</si>
  <si>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</si>
  <si>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</si>
  <si>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</si>
  <si>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</si>
  <si>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</si>
  <si>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</si>
  <si>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</si>
  <si>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</si>
  <si>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</si>
  <si>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</si>
  <si>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</si>
  <si>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</si>
  <si>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</si>
  <si>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</si>
  <si>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</si>
  <si>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</si>
  <si>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</si>
  <si>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</si>
  <si>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</si>
  <si>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</si>
  <si>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</si>
  <si>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</si>
  <si>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</si>
  <si>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</si>
  <si>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</si>
  <si>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</si>
  <si>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</si>
  <si>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</si>
  <si>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</si>
  <si>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</si>
  <si>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</si>
  <si>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</si>
  <si>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</si>
  <si>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</si>
  <si>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</si>
  <si>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</si>
  <si>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</si>
  <si>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</si>
  <si>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</si>
  <si>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</si>
  <si>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</si>
  <si>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</si>
  <si>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</si>
  <si>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</si>
  <si>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</si>
  <si>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</si>
  <si>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</si>
  <si>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</si>
  <si>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</si>
  <si>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</si>
  <si>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</si>
  <si>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</si>
  <si>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</si>
  <si>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</si>
  <si>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</si>
  <si>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</si>
  <si>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</si>
  <si>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</si>
  <si>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</si>
  <si>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</si>
  <si>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</si>
  <si>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</si>
  <si>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</si>
  <si>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</si>
  <si>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</si>
  <si>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</si>
  <si>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</si>
  <si>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</si>
  <si>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</si>
  <si>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</si>
  <si>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</si>
  <si>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</si>
  <si>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</si>
  <si>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</si>
  <si>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</si>
  <si>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</si>
  <si>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</si>
  <si>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</si>
  <si>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</si>
  <si>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</si>
  <si>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</si>
  <si>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</si>
  <si>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</si>
  <si>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</si>
  <si>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</si>
  <si>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</si>
  <si>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</si>
  <si>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</si>
  <si>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</si>
  <si>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</si>
  <si>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</si>
  <si>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</si>
  <si>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</si>
  <si>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</si>
  <si>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</si>
  <si>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</si>
  <si>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</si>
  <si>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</si>
  <si>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</si>
  <si>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</si>
  <si>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</si>
  <si>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</si>
  <si>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</si>
  <si>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</si>
  <si>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</si>
  <si>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</si>
  <si>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</si>
  <si>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</si>
  <si>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</si>
  <si>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</si>
  <si>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</si>
  <si>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</si>
  <si>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</si>
  <si>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</si>
  <si>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</si>
  <si>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</si>
  <si>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</si>
  <si>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</si>
  <si>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</si>
  <si>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</si>
  <si>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</si>
  <si>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</si>
  <si>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</si>
  <si>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</si>
  <si>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</si>
  <si>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</si>
  <si>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</si>
  <si>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</si>
  <si>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</si>
  <si>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</si>
  <si>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</si>
  <si>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</si>
  <si>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</si>
  <si>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</si>
  <si>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</si>
  <si>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</si>
  <si>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</si>
  <si>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</si>
  <si>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</si>
  <si>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</si>
  <si>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</si>
  <si>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</si>
  <si>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</si>
  <si>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</si>
  <si>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</si>
  <si>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</si>
  <si>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</si>
  <si>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</si>
  <si>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</si>
  <si>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</si>
  <si>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</si>
  <si>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</si>
  <si>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</si>
  <si>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</si>
  <si>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</si>
  <si>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</si>
  <si>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</si>
  <si>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</si>
  <si>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</si>
  <si>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</si>
  <si>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</si>
  <si>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</si>
  <si>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</si>
  <si>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</si>
  <si>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</si>
  <si>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</si>
  <si>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</si>
  <si>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</si>
  <si>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</si>
  <si>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</si>
  <si>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</si>
  <si>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</si>
  <si>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</si>
  <si>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</si>
  <si>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</si>
  <si>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</si>
  <si>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</si>
  <si>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</si>
  <si>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</si>
  <si>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</si>
  <si>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</si>
  <si>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</si>
  <si>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</si>
  <si>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</si>
  <si>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</si>
  <si>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</si>
  <si>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</si>
  <si>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</si>
  <si>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</si>
  <si>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</si>
  <si>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</si>
  <si>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</si>
  <si>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</si>
  <si>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</si>
  <si>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</si>
  <si>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</si>
  <si>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</si>
  <si>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</si>
  <si>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</si>
  <si>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</si>
  <si>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</si>
  <si>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</si>
  <si>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</si>
  <si>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</si>
  <si>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</si>
  <si>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</si>
  <si>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</si>
  <si>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</si>
  <si>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</si>
  <si>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</si>
  <si>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</si>
  <si>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</si>
  <si>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</si>
  <si>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</si>
  <si>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</si>
  <si>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</si>
  <si>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</si>
  <si>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</si>
  <si>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</si>
  <si>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</si>
  <si>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</si>
  <si>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</si>
  <si>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</si>
  <si>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</si>
  <si>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</si>
  <si>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</si>
  <si>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</si>
  <si>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</si>
  <si>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</si>
  <si>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</si>
  <si>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</si>
  <si>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</si>
  <si>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</si>
  <si>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</si>
  <si>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</si>
  <si>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</si>
  <si>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</si>
  <si>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</si>
  <si>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</si>
  <si>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</si>
  <si>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</si>
  <si>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</si>
  <si>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</si>
  <si>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</si>
  <si>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</si>
  <si>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</si>
  <si>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</si>
  <si>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</si>
  <si>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</si>
  <si>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</si>
  <si>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</si>
  <si>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</si>
  <si>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</si>
  <si>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</si>
  <si>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</si>
  <si>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</si>
  <si>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</si>
  <si>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</si>
  <si>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</si>
  <si>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</si>
  <si>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</si>
  <si>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</si>
  <si>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</si>
  <si>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</si>
  <si>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</si>
  <si>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</si>
  <si>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</si>
  <si>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</si>
  <si>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</si>
  <si>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</si>
  <si>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</si>
  <si>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</si>
  <si>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</si>
  <si>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</si>
  <si>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</si>
  <si>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</si>
  <si>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</si>
  <si>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</si>
  <si>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</si>
  <si>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</si>
  <si>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</si>
  <si>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</si>
  <si>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</si>
  <si>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</si>
  <si>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</si>
  <si>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</si>
  <si>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</si>
  <si>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</si>
  <si>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</si>
  <si>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</si>
  <si>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</si>
  <si>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</si>
  <si>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</si>
  <si>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</si>
  <si>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</si>
  <si>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</si>
  <si>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</si>
  <si>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</si>
  <si>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</si>
  <si>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</si>
  <si>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</si>
  <si>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</si>
  <si>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</si>
  <si>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</si>
  <si>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</si>
  <si>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</si>
  <si>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</si>
  <si>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</si>
  <si>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</si>
  <si>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</si>
  <si>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</si>
  <si>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</si>
  <si>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</si>
  <si>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</si>
  <si>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</si>
  <si>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</si>
  <si>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</si>
  <si>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</si>
  <si>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</si>
  <si>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</si>
  <si>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</si>
  <si>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</si>
  <si>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</si>
  <si>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</si>
  <si>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</si>
  <si>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</si>
  <si>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</si>
  <si>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</si>
  <si>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</si>
  <si>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</si>
  <si>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</si>
  <si>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</si>
  <si>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</si>
  <si>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</si>
  <si>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</si>
  <si>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</si>
  <si>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</si>
  <si>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</si>
  <si>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</si>
  <si>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</si>
  <si>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</si>
  <si>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</si>
  <si>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</si>
  <si>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</si>
  <si>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</si>
  <si>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</si>
  <si>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</si>
  <si>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</si>
  <si>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</si>
  <si>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</si>
  <si>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</si>
  <si>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</si>
  <si>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</si>
  <si>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</si>
  <si>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</si>
  <si>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</si>
  <si>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</si>
  <si>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</si>
  <si>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</si>
  <si>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</si>
  <si>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</si>
  <si>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</si>
  <si>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</si>
  <si>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</si>
  <si>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</si>
  <si>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</si>
  <si>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</si>
  <si>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</si>
  <si>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</si>
  <si>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</si>
  <si>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</si>
  <si>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</si>
  <si>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</si>
  <si>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</si>
  <si>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</si>
  <si>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</si>
  <si>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</si>
  <si>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</si>
  <si>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</si>
  <si>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</si>
  <si>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</si>
  <si>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</si>
  <si>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</si>
  <si>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</si>
  <si>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</si>
  <si>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</si>
  <si>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</si>
  <si>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</si>
  <si>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</si>
  <si>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</si>
  <si>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</si>
  <si>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</si>
  <si>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</si>
  <si>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</si>
  <si>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</si>
  <si>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</si>
  <si>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</si>
  <si>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</si>
  <si>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</si>
  <si>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</si>
  <si>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</si>
  <si>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</si>
  <si>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</si>
  <si>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</si>
  <si>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</si>
  <si>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</si>
  <si>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</si>
  <si>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</si>
  <si>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</si>
  <si>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</si>
  <si>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</si>
  <si>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</si>
  <si>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</si>
  <si>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</si>
  <si>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</si>
  <si>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</si>
  <si>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</si>
  <si>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</si>
  <si>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</si>
  <si>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</si>
  <si>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</si>
  <si>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</si>
  <si>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</si>
  <si>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</si>
  <si>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</si>
  <si>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</si>
  <si>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</si>
  <si>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</si>
  <si>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</si>
  <si>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</si>
  <si>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</si>
  <si>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</si>
  <si>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</si>
  <si>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</si>
  <si>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</si>
  <si>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</si>
  <si>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</si>
  <si>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</si>
  <si>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</si>
  <si>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</si>
  <si>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</si>
  <si>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</si>
  <si>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</si>
  <si>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</si>
  <si>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</si>
  <si>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</si>
  <si>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</si>
  <si>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</si>
  <si>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</si>
  <si>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</si>
  <si>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</si>
  <si>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</si>
  <si>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</si>
  <si>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</si>
  <si>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</si>
  <si>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</si>
  <si>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</si>
  <si>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</si>
  <si>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</si>
  <si>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</si>
  <si>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</si>
  <si>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</si>
  <si>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</si>
  <si>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</si>
  <si>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</si>
  <si>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</si>
  <si>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</si>
  <si>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</si>
  <si>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</si>
  <si>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</si>
  <si>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</si>
  <si>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</si>
  <si>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</si>
  <si>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</si>
  <si>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</si>
  <si>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</si>
  <si>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</si>
  <si>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</si>
  <si>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</si>
  <si>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</si>
  <si>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</si>
  <si>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</si>
  <si>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</si>
  <si>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</si>
  <si>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</si>
  <si>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</si>
  <si>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</si>
  <si>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</si>
  <si>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</si>
  <si>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</si>
  <si>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</si>
  <si>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</si>
  <si>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</si>
  <si>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</si>
  <si>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</si>
  <si>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</si>
  <si>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</si>
  <si>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</si>
  <si>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</si>
  <si>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</si>
  <si>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</si>
  <si>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</si>
  <si>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</si>
  <si>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</si>
  <si>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</si>
  <si>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</si>
  <si>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</si>
  <si>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</si>
  <si>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</si>
  <si>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</si>
  <si>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</si>
  <si>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</si>
  <si>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</si>
  <si>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</si>
  <si>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</si>
  <si>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</si>
  <si>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</si>
  <si>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</si>
  <si>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</si>
  <si>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</si>
  <si>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</si>
  <si>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</si>
  <si>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</si>
  <si>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</si>
  <si>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</si>
  <si>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</si>
  <si>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</si>
  <si>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</si>
  <si>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</si>
  <si>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</si>
  <si>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</si>
  <si>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</si>
  <si>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</si>
  <si>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</si>
  <si>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</si>
  <si>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</si>
  <si>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</si>
  <si>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</si>
  <si>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</si>
  <si>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</si>
  <si>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</si>
  <si>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</si>
  <si>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</si>
  <si>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</si>
  <si>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</si>
  <si>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</si>
  <si>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</si>
  <si>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</si>
  <si>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</si>
  <si>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</si>
  <si>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</si>
  <si>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</si>
  <si>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</si>
  <si>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</si>
  <si>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</si>
  <si>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</si>
  <si>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</si>
  <si>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</si>
  <si>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</si>
  <si>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</si>
  <si>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</si>
  <si>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</si>
  <si>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</si>
  <si>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</si>
  <si>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</si>
  <si>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</si>
  <si>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</si>
  <si>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</si>
  <si>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</si>
  <si>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</si>
  <si>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</si>
  <si>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</si>
  <si>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</si>
  <si>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</si>
  <si>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</si>
  <si>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</si>
  <si>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</si>
  <si>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</si>
  <si>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</si>
  <si>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</si>
  <si>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</si>
  <si>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</si>
  <si>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</si>
  <si>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</si>
  <si>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</si>
  <si>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</si>
  <si>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</si>
  <si>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</si>
  <si>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</si>
  <si>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</si>
  <si>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</si>
  <si>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</si>
  <si>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</si>
  <si>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</si>
  <si>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</si>
  <si>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</si>
  <si>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</si>
  <si>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</si>
  <si>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</si>
  <si>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</si>
  <si>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</si>
  <si>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</si>
  <si>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</si>
  <si>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</si>
  <si>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</si>
  <si>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</si>
  <si>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</si>
  <si>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</si>
  <si>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</si>
  <si>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</si>
  <si>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</si>
  <si>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</si>
  <si>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</si>
  <si>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</si>
  <si>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</si>
  <si>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</si>
  <si>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</si>
  <si>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</si>
  <si>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</si>
  <si>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</si>
  <si>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</si>
  <si>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</si>
  <si>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</si>
  <si>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</si>
  <si>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</si>
  <si>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</si>
  <si>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</si>
  <si>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</si>
  <si>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</si>
  <si>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</si>
  <si>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</si>
  <si>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</si>
  <si>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</si>
  <si>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</si>
  <si>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</si>
  <si>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</si>
  <si>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</si>
  <si>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</si>
  <si>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</si>
  <si>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</si>
  <si>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</si>
  <si>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</si>
  <si>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</si>
  <si>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</si>
  <si>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</si>
  <si>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</si>
  <si>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</si>
  <si>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</si>
  <si>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</si>
  <si>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</si>
  <si>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</si>
  <si>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</si>
  <si>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</si>
  <si>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</si>
  <si>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</si>
  <si>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</si>
  <si>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</si>
  <si>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</si>
  <si>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</si>
  <si>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</si>
  <si>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</si>
  <si>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</si>
  <si>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</si>
  <si>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</si>
  <si>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</si>
  <si>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</si>
  <si>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</si>
  <si>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</si>
  <si>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</si>
  <si>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</si>
  <si>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</si>
  <si>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</si>
  <si>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</si>
  <si>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</si>
  <si>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</si>
  <si>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</si>
  <si>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</si>
  <si>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</si>
  <si>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</si>
  <si>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</si>
  <si>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</si>
  <si>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</si>
  <si>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</si>
  <si>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</si>
  <si>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</si>
  <si>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</si>
  <si>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</si>
  <si>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</si>
  <si>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</si>
  <si>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</si>
  <si>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</si>
  <si>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</si>
  <si>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</si>
  <si>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</si>
  <si>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</si>
  <si>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</si>
  <si>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</si>
  <si>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</si>
  <si>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</si>
  <si>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</si>
  <si>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</si>
  <si>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</si>
  <si>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</si>
  <si>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</si>
  <si>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</si>
  <si>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</si>
  <si>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</si>
  <si>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</si>
  <si>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</si>
  <si>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</si>
  <si>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</si>
  <si>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</si>
  <si>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</si>
  <si>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</si>
  <si>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</si>
  <si>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</si>
  <si>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</si>
  <si>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</si>
  <si>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</si>
  <si>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</si>
  <si>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</si>
  <si>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</si>
  <si>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</si>
  <si>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</si>
  <si>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</si>
  <si>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</si>
  <si>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</si>
  <si>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</si>
  <si>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</si>
  <si>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</si>
  <si>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</si>
  <si>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</si>
  <si>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</si>
  <si>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</si>
  <si>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</si>
  <si>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</si>
  <si>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</si>
  <si>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</si>
  <si>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</si>
  <si>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</si>
  <si>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</si>
  <si>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</si>
  <si>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</si>
  <si>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</si>
  <si>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</si>
  <si>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</si>
  <si>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</si>
  <si>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</si>
  <si>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</si>
  <si>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</si>
  <si>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</si>
  <si>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</si>
  <si>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</si>
  <si>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</si>
  <si>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</si>
  <si>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</si>
  <si>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</si>
  <si>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</si>
  <si>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</si>
  <si>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</si>
  <si>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</si>
  <si>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</si>
  <si>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</si>
  <si>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</si>
  <si>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</si>
  <si>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</si>
  <si>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</si>
  <si>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</si>
  <si>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</si>
  <si>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</si>
  <si>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</si>
  <si>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</si>
  <si>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</si>
  <si>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</si>
  <si>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</si>
  <si>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</si>
  <si>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</si>
  <si>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</si>
  <si>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</si>
  <si>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</si>
  <si>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</si>
  <si>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</si>
  <si>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</si>
  <si>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</si>
  <si>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</si>
  <si>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</si>
  <si>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</si>
  <si>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</si>
  <si>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</si>
  <si>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</si>
  <si>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</si>
  <si>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</si>
  <si>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</si>
  <si>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</si>
  <si>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</si>
  <si>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</si>
  <si>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</si>
  <si>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</si>
  <si>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</si>
  <si>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</si>
  <si>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</si>
  <si>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</si>
  <si>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</si>
  <si>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</si>
  <si>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</si>
  <si>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</si>
  <si>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</si>
  <si>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</si>
  <si>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</si>
  <si>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</si>
  <si>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</si>
  <si>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</si>
  <si>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</si>
  <si>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</si>
  <si>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</si>
  <si>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</si>
  <si>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</si>
  <si>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</si>
  <si>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</si>
  <si>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</si>
  <si>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</si>
  <si>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</si>
  <si>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</si>
  <si>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</si>
  <si>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</si>
  <si>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</si>
  <si>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</si>
  <si>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</si>
  <si>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</si>
  <si>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</si>
  <si>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</si>
  <si>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</si>
  <si>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</si>
  <si>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</si>
  <si>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</si>
  <si>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</si>
  <si>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</si>
  <si>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</si>
  <si>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</si>
  <si>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</si>
  <si>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</si>
  <si>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</si>
  <si>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</si>
  <si>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</si>
  <si>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</si>
  <si>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</si>
  <si>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</si>
  <si>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</si>
  <si>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</si>
  <si>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</si>
  <si>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</si>
  <si>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</si>
  <si>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</si>
  <si>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</si>
  <si>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</si>
  <si>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</si>
  <si>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</si>
  <si>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</si>
  <si>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</si>
  <si>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</si>
  <si>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</si>
  <si>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</si>
  <si>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</si>
  <si>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</si>
  <si>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</si>
  <si>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</si>
  <si>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</si>
  <si>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</si>
  <si>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</si>
  <si>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</si>
  <si>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</si>
  <si>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</si>
  <si>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</si>
  <si>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</si>
  <si>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</si>
  <si>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</si>
  <si>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</si>
  <si>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</si>
  <si>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</si>
  <si>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</si>
  <si>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</si>
  <si>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</si>
  <si>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</si>
  <si>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</si>
  <si>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</si>
  <si>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</si>
  <si>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</si>
  <si>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</si>
  <si>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</si>
  <si>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</si>
  <si>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</si>
  <si>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</si>
  <si>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</si>
  <si>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</si>
  <si>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</si>
  <si>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</si>
  <si>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</si>
  <si>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</si>
  <si>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</si>
  <si>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</si>
  <si>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</si>
  <si>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</si>
  <si>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</si>
  <si>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</si>
  <si>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</si>
  <si>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</si>
  <si>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</si>
  <si>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</si>
  <si>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</si>
  <si>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</si>
  <si>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</si>
  <si>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</si>
  <si>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</si>
  <si>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</si>
  <si>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</si>
  <si>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</si>
  <si>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</si>
  <si>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</si>
  <si>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</si>
  <si>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</si>
  <si>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</si>
  <si>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</si>
  <si>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</si>
  <si>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</si>
  <si>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</si>
  <si>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</si>
  <si>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</si>
  <si>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</si>
  <si>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</si>
  <si>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</si>
  <si>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</si>
  <si>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</si>
  <si>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</si>
  <si>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</si>
  <si>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</si>
  <si>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</si>
  <si>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</si>
  <si>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</si>
  <si>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</si>
  <si>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</si>
  <si>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</si>
  <si>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</si>
  <si>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</si>
  <si>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</si>
  <si>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</si>
  <si>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</si>
  <si>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</si>
  <si>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</si>
  <si>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</si>
  <si>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</si>
  <si>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</si>
  <si>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</si>
  <si>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</si>
  <si>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</si>
  <si>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</si>
  <si>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</si>
  <si>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</si>
  <si>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</si>
  <si>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</si>
  <si>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</si>
  <si>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</si>
  <si>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</si>
  <si>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</si>
  <si>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</si>
  <si>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</si>
  <si>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</si>
  <si>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</si>
  <si>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</si>
  <si>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</si>
  <si>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</si>
  <si>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</si>
  <si>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</si>
  <si>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</si>
  <si>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</si>
  <si>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</si>
  <si>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</si>
  <si>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</si>
  <si>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</si>
  <si>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</si>
  <si>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</si>
  <si>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</si>
  <si>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</si>
  <si>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</si>
  <si>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</si>
  <si>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</si>
  <si>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</si>
  <si>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</si>
  <si>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</si>
  <si>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</si>
  <si>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</si>
  <si>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</si>
  <si>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</si>
  <si>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</si>
  <si>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</si>
  <si>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</si>
  <si>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</si>
  <si>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</si>
  <si>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</si>
  <si>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</si>
  <si>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</si>
  <si>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</si>
  <si>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</si>
  <si>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</si>
  <si>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</si>
  <si>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</si>
  <si>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</si>
  <si>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</si>
  <si>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</si>
  <si>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</si>
  <si>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</si>
  <si>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</si>
  <si>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</si>
  <si>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</si>
  <si>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</si>
  <si>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</si>
  <si>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</si>
  <si>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</si>
  <si>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</si>
  <si>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</si>
  <si>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</si>
  <si>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</si>
  <si>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</si>
  <si>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</si>
  <si>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</si>
  <si>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</si>
  <si>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</si>
  <si>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</si>
  <si>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</si>
  <si>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</si>
  <si>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</si>
  <si>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</si>
  <si>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</si>
  <si>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</si>
  <si>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</si>
  <si>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</si>
  <si>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</si>
  <si>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</si>
  <si>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</si>
  <si>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</si>
  <si>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</si>
  <si>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</si>
  <si>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</si>
  <si>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</si>
  <si>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</si>
  <si>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</si>
  <si>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</si>
  <si>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</si>
  <si>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</si>
  <si>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</si>
  <si>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</si>
  <si>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</si>
  <si>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</si>
  <si>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</si>
  <si>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</si>
  <si>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</si>
  <si>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</si>
  <si>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</si>
  <si>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</si>
  <si>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</si>
  <si>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</si>
  <si>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</si>
  <si>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</si>
  <si>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</si>
  <si>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</si>
  <si>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</si>
  <si>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</si>
  <si>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</si>
  <si>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</si>
  <si>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</si>
  <si>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</si>
  <si>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</si>
  <si>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</si>
  <si>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</si>
  <si>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</si>
  <si>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</si>
  <si>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</si>
  <si>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</si>
  <si>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</si>
  <si>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</si>
  <si>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</si>
  <si>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</si>
  <si>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</si>
  <si>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</si>
  <si>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</si>
  <si>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</si>
  <si>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</si>
  <si>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</si>
  <si>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</si>
  <si>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</si>
  <si>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</si>
  <si>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</si>
  <si>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</si>
  <si>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</si>
  <si>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</si>
  <si>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</si>
  <si>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</si>
  <si>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</si>
  <si>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</si>
  <si>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</si>
  <si>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</si>
  <si>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</si>
  <si>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</si>
  <si>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</si>
  <si>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</si>
  <si>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</si>
  <si>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</si>
  <si>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</si>
  <si>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</si>
  <si>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</si>
  <si>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</si>
  <si>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</si>
  <si>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</si>
  <si>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</si>
  <si>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</si>
  <si>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</si>
  <si>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</si>
  <si>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</si>
  <si>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</si>
  <si>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</si>
  <si>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</si>
  <si>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</si>
  <si>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</si>
  <si>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</si>
  <si>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</si>
  <si>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</si>
  <si>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</si>
  <si>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</si>
  <si>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</si>
  <si>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</si>
  <si>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</si>
  <si>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</si>
  <si>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</si>
  <si>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</si>
  <si>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</si>
  <si>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</si>
  <si>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</si>
  <si>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</si>
  <si>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</si>
  <si>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</si>
  <si>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</si>
  <si>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</si>
  <si>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</si>
  <si>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</si>
  <si>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</si>
  <si>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</si>
  <si>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</si>
  <si>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</si>
  <si>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</si>
  <si>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</si>
  <si>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</si>
  <si>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</si>
  <si>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</si>
  <si>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</si>
  <si>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</si>
  <si>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</si>
  <si>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</si>
  <si>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</si>
  <si>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</si>
  <si>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</si>
  <si>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</si>
  <si>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</si>
  <si>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</si>
  <si>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</si>
  <si>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</si>
  <si>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</si>
  <si>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</si>
  <si>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</si>
  <si>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</si>
  <si>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</si>
  <si>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</si>
  <si>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</si>
  <si>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</si>
  <si>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</si>
  <si>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</si>
  <si>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</si>
  <si>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</si>
  <si>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</si>
  <si>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</si>
  <si>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</si>
  <si>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</si>
  <si>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</si>
  <si>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</si>
  <si>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</si>
  <si>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</si>
  <si>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</si>
  <si>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</si>
  <si>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</si>
  <si>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</si>
  <si>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</si>
  <si>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</si>
  <si>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</si>
  <si>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</si>
  <si>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</si>
  <si>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</si>
  <si>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</si>
  <si>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</si>
  <si>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</si>
  <si>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</si>
  <si>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</si>
  <si>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</si>
  <si>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</si>
  <si>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</si>
  <si>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</si>
  <si>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</si>
  <si>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</si>
  <si>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</si>
  <si>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</si>
  <si>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</si>
  <si>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</si>
  <si>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</si>
  <si>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</si>
  <si>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</si>
  <si>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</si>
  <si>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</si>
  <si>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</si>
  <si>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</si>
  <si>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</si>
  <si>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</si>
  <si>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</si>
  <si>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</si>
  <si>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</si>
  <si>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</si>
  <si>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</si>
  <si>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</si>
  <si>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</si>
  <si>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</si>
  <si>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</si>
  <si>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</si>
  <si>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</si>
  <si>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</si>
  <si>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</si>
  <si>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</si>
  <si>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</si>
  <si>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</si>
  <si>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</si>
  <si>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</si>
  <si>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</si>
  <si>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</si>
  <si>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</si>
  <si>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</si>
  <si>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</si>
  <si>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</si>
  <si>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</si>
  <si>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</si>
  <si>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</si>
  <si>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</si>
  <si>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</si>
  <si>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</si>
  <si>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</si>
  <si>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</si>
  <si>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</si>
  <si>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</si>
  <si>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</si>
  <si>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</si>
  <si>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</si>
  <si>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</si>
  <si>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</si>
  <si>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</si>
  <si>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</si>
  <si>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</si>
  <si>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</si>
  <si>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</si>
  <si>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</si>
  <si>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</si>
  <si>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</si>
  <si>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</si>
  <si>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</si>
  <si>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</si>
  <si>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</si>
  <si>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</si>
  <si>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</si>
  <si>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</si>
  <si>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</si>
  <si>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</si>
  <si>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</si>
  <si>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</si>
  <si>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</si>
  <si>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</si>
  <si>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</si>
  <si>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</si>
  <si>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</si>
  <si>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</si>
  <si>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</si>
  <si>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</si>
  <si>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</si>
  <si>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</si>
  <si>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</si>
  <si>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</si>
  <si>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</si>
  <si>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</si>
  <si>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</si>
  <si>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</si>
  <si>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</si>
  <si>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</si>
  <si>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</si>
  <si>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</si>
  <si>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</si>
  <si>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</si>
  <si>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</si>
  <si>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</si>
  <si>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</si>
  <si>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</si>
  <si>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</si>
  <si>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</si>
  <si>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</si>
  <si>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</si>
  <si>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</si>
  <si>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</si>
  <si>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</si>
  <si>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</si>
  <si>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</si>
  <si>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</si>
  <si>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</si>
  <si>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</si>
  <si>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</si>
  <si>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</si>
  <si>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</si>
  <si>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</si>
  <si>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</si>
  <si>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</si>
  <si>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</si>
  <si>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</si>
  <si>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</si>
  <si>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</si>
  <si>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</si>
  <si>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</si>
  <si>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</si>
  <si>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</si>
  <si>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</si>
  <si>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</si>
  <si>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</si>
  <si>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</si>
  <si>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</si>
  <si>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</si>
  <si>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</si>
  <si>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</si>
  <si>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</si>
  <si>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</si>
  <si>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</si>
  <si>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</si>
  <si>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</si>
  <si>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</si>
  <si>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</si>
  <si>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</si>
  <si>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</si>
  <si>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</si>
  <si>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</si>
  <si>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</si>
  <si>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</si>
  <si>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</si>
  <si>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</si>
  <si>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</si>
  <si>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</si>
  <si>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</si>
  <si>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</si>
  <si>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</si>
  <si>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</si>
  <si>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</si>
  <si>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</si>
  <si>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</si>
  <si>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</si>
  <si>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</si>
  <si>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</si>
  <si>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</si>
  <si>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</si>
  <si>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</si>
  <si>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</si>
  <si>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</si>
  <si>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</si>
  <si>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</si>
  <si>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</si>
  <si>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</si>
  <si>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</si>
  <si>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</si>
  <si>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</si>
  <si>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</si>
  <si>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</si>
  <si>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</si>
  <si>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</si>
  <si>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</si>
  <si>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</si>
  <si>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</si>
  <si>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</si>
  <si>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</si>
  <si>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</si>
  <si>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</si>
  <si>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</si>
  <si>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</si>
  <si>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</si>
  <si>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</si>
  <si>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</si>
  <si>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</si>
  <si>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</si>
  <si>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</si>
  <si>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</si>
  <si>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</si>
  <si>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</si>
  <si>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</si>
  <si>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</si>
  <si>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</si>
  <si>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</si>
  <si>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</si>
  <si>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</si>
  <si>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</si>
  <si>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</si>
  <si>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</si>
  <si>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</si>
  <si>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</si>
  <si>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</si>
  <si>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</si>
  <si>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</si>
  <si>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</si>
  <si>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</si>
  <si>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</si>
  <si>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</si>
  <si>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</si>
  <si>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</si>
  <si>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</si>
  <si>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</si>
  <si>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</si>
  <si>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</si>
  <si>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</si>
  <si>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</si>
  <si>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</si>
  <si>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</si>
  <si>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</si>
  <si>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</si>
  <si>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</si>
  <si>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</si>
  <si>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</si>
  <si>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</si>
  <si>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</si>
  <si>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</si>
  <si>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</si>
  <si>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</si>
  <si>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</si>
  <si>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</si>
  <si>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</si>
  <si>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</si>
  <si>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</si>
  <si>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</si>
  <si>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</si>
  <si>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</si>
  <si>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</si>
  <si>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</si>
  <si>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</si>
  <si>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</si>
  <si>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</si>
  <si>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</si>
  <si>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</si>
  <si>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</si>
  <si>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</si>
  <si>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</si>
  <si>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</si>
  <si>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</si>
  <si>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</si>
  <si>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</si>
  <si>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</si>
  <si>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</si>
  <si>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</si>
  <si>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</si>
  <si>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</si>
  <si>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</si>
  <si>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</si>
  <si>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</si>
  <si>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</si>
  <si>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</si>
  <si>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</si>
  <si>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</si>
  <si>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</si>
  <si>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</si>
  <si>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</si>
  <si>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</si>
  <si>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</si>
  <si>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</si>
  <si>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</si>
  <si>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</si>
  <si>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</si>
  <si>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</si>
  <si>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</si>
  <si>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</si>
  <si>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</si>
  <si>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</si>
  <si>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</si>
  <si>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</si>
  <si>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</si>
  <si>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</si>
  <si>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</si>
  <si>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</si>
  <si>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</si>
  <si>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</si>
  <si>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</si>
  <si>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</si>
  <si>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</si>
  <si>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</si>
  <si>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</si>
  <si>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</si>
  <si>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</si>
  <si>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</si>
  <si>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</si>
  <si>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</si>
  <si>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</si>
  <si>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</si>
  <si>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</si>
  <si>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</si>
  <si>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</si>
  <si>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</si>
  <si>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</si>
  <si>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</si>
  <si>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</si>
  <si>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</si>
  <si>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</si>
  <si>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</si>
  <si>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</si>
  <si>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</si>
  <si>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</si>
  <si>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</si>
  <si>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</si>
  <si>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</si>
  <si>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</si>
  <si>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</si>
  <si>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</si>
  <si>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</si>
  <si>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</si>
  <si>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</si>
  <si>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</si>
  <si>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</si>
  <si>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</si>
  <si>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</si>
  <si>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</si>
  <si>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</si>
  <si>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</si>
  <si>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</si>
  <si>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</si>
  <si>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</si>
  <si>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</si>
  <si>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</si>
  <si>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</si>
  <si>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</si>
  <si>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</si>
  <si>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</si>
  <si>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</si>
  <si>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</si>
  <si>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</si>
  <si>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</si>
  <si>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</si>
  <si>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</si>
  <si>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</si>
  <si>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</si>
  <si>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</si>
  <si>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</si>
  <si>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</si>
  <si>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</si>
  <si>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</si>
  <si>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</si>
  <si>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</si>
  <si>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</si>
  <si>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</si>
  <si>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</si>
  <si>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</si>
  <si>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</si>
  <si>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</si>
  <si>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</si>
  <si>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</si>
  <si>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</si>
  <si>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</si>
  <si>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</si>
  <si>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</si>
  <si>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</si>
  <si>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</si>
  <si>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</si>
  <si>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</si>
  <si>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</si>
  <si>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</si>
  <si>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</si>
  <si>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</si>
  <si>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</si>
  <si>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</si>
  <si>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</si>
  <si>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</si>
  <si>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</si>
  <si>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</si>
  <si>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</si>
  <si>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</si>
  <si>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</si>
  <si>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</si>
  <si>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</si>
  <si>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</si>
  <si>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</si>
  <si>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</si>
  <si>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</si>
  <si>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</si>
  <si>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</si>
  <si>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</si>
  <si>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</si>
  <si>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</si>
  <si>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</si>
  <si>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</si>
  <si>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</si>
  <si>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</si>
  <si>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</si>
  <si>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</si>
  <si>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</si>
  <si>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</si>
  <si>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</si>
  <si>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</si>
  <si>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</si>
  <si>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</si>
  <si>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</si>
  <si>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</si>
  <si>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</si>
  <si>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</si>
  <si>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</si>
  <si>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</si>
  <si>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</si>
  <si>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</si>
  <si>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</si>
  <si>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</si>
  <si>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</si>
  <si>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</si>
  <si>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</si>
  <si>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</si>
  <si>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</si>
  <si>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</si>
  <si>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</si>
  <si>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</si>
  <si>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</si>
  <si>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</si>
  <si>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</si>
  <si>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</si>
  <si>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</si>
  <si>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</si>
  <si>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</si>
  <si>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</si>
  <si>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</si>
  <si>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</si>
  <si>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</si>
  <si>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</si>
  <si>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</si>
  <si>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</si>
  <si>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</si>
  <si>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</si>
  <si>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</si>
  <si>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</si>
  <si>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</si>
  <si>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</si>
  <si>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</si>
  <si>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</si>
  <si>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</si>
  <si>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</si>
  <si>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</si>
  <si>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</si>
  <si>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</si>
  <si>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</si>
  <si>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</si>
  <si>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</si>
  <si>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</si>
  <si>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</si>
  <si>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</si>
  <si>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</si>
  <si>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</si>
  <si>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</si>
  <si>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</si>
  <si>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</si>
  <si>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</si>
  <si>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</si>
  <si>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</si>
  <si>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</si>
  <si>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</si>
  <si>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</si>
  <si>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</si>
  <si>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</si>
  <si>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</si>
  <si>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</si>
  <si>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</si>
  <si>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</si>
  <si>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</si>
  <si>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</si>
  <si>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</si>
  <si>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</si>
  <si>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</si>
  <si>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</si>
  <si>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</si>
  <si>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</si>
  <si>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</si>
  <si>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</si>
  <si>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</si>
  <si>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</si>
  <si>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</si>
  <si>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</si>
  <si>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</si>
  <si>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</si>
  <si>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</si>
  <si>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</si>
  <si>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</si>
  <si>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</si>
  <si>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</si>
  <si>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</si>
  <si>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</si>
  <si>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</si>
  <si>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</si>
  <si>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</si>
  <si>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</si>
  <si>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</si>
  <si>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</si>
  <si>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</si>
  <si>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</si>
  <si>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</si>
  <si>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</si>
  <si>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</si>
  <si>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</si>
  <si>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</si>
  <si>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</si>
  <si>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</si>
  <si>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</si>
  <si>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</si>
  <si>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</si>
  <si>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</si>
  <si>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</si>
  <si>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</si>
  <si>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</si>
  <si>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</si>
  <si>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</si>
  <si>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</si>
  <si>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</si>
  <si>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</si>
  <si>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</si>
  <si>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</si>
  <si>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</si>
  <si>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</si>
  <si>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</si>
  <si>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</si>
  <si>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</si>
  <si>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</si>
  <si>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</si>
  <si>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</si>
  <si>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</si>
  <si>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</si>
  <si>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</si>
  <si>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</si>
  <si>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</si>
  <si>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</si>
  <si>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</si>
  <si>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</si>
  <si>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</si>
  <si>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</si>
  <si>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</si>
  <si>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</si>
  <si>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</si>
  <si>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</si>
  <si>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</si>
  <si>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</si>
  <si>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</si>
  <si>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</si>
  <si>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1904 STATE STREET</t>
  </si>
  <si>
    <t>ALTON</t>
  </si>
  <si>
    <t>IL</t>
  </si>
  <si>
    <t>618-465-4999</t>
  </si>
  <si>
    <t>618-465-5050</t>
  </si>
  <si>
    <t>066-005060</t>
  </si>
  <si>
    <t>DROSECPA@DRA-CPA.COM</t>
  </si>
  <si>
    <t>MADISON</t>
  </si>
  <si>
    <t>1800 STOREY LANE</t>
  </si>
  <si>
    <t>COTTAGE HILLS</t>
  </si>
  <si>
    <t>MLENGER@REGION3SEC.ORG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</si>
  <si>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</si>
  <si>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</si>
  <si>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</si>
  <si>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</si>
  <si>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</si>
  <si>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</si>
  <si>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</si>
  <si>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</si>
  <si>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</si>
  <si>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</si>
  <si>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</si>
  <si>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</si>
  <si>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</si>
  <si>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</si>
  <si>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</si>
  <si>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</si>
  <si>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</si>
  <si>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</si>
  <si>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</si>
  <si>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</si>
  <si>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</si>
  <si>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</si>
  <si>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</si>
  <si>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</si>
  <si>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</si>
  <si>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</si>
  <si>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</si>
  <si>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</si>
  <si>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</si>
  <si>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</si>
  <si>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</si>
  <si>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</si>
  <si>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</si>
  <si>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</si>
  <si>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</si>
  <si>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</si>
  <si>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</si>
  <si>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U.S. DEPARTMENT OF EDUCATION:</t>
  </si>
  <si>
    <t>PASS THROUGH ILLINOIS STATE BOARD OF EDUCATION:</t>
  </si>
  <si>
    <t>SP. ED. - PRESCHOOL FLOW THROUGH               (M)</t>
  </si>
  <si>
    <t>SP.ED. - PRESCHOOL FLOW THROUGH                (M)</t>
  </si>
  <si>
    <t>SP.ED. - I.D.E.A. FLOW THROUGH                          (M)</t>
  </si>
  <si>
    <t>TOTAL U.S. DEPARTMENT OF EDUCATION</t>
  </si>
  <si>
    <t>U.S. DEPARTMENT OF HEALTH AND HUMAN SERVICES:</t>
  </si>
  <si>
    <t>PASS THROUGH ILLINOIS DEPARTMENT OF HEALTHCARE &amp; FAMILY SERVICES:</t>
  </si>
  <si>
    <t>MEDICAID MATCHING</t>
  </si>
  <si>
    <t>TOTAL FEDERAL PROGRAMS</t>
  </si>
  <si>
    <t>84.173A</t>
  </si>
  <si>
    <t>2019-4600-00</t>
  </si>
  <si>
    <t>2020-4600-00</t>
  </si>
  <si>
    <t>84.027A</t>
  </si>
  <si>
    <t>2019-4620-00</t>
  </si>
  <si>
    <t>2020-4620-00</t>
  </si>
  <si>
    <t>2020-4400-00</t>
  </si>
  <si>
    <t>INFORMATIONAL ONLY:</t>
  </si>
  <si>
    <t>TOTAL CFDA #84.173A</t>
  </si>
  <si>
    <t>TOTAL CFDA #84.027A</t>
  </si>
  <si>
    <t>TOTAL CFDA #93.778</t>
  </si>
  <si>
    <t>TOTAL ALL PROGRAMS</t>
  </si>
  <si>
    <t>CLUSTER PROGRAMS</t>
  </si>
  <si>
    <t>84.173A, 84.027A</t>
  </si>
  <si>
    <t>The accompanying Schedule of Expenditures of Federal Awards includes the federal grant activity of Region III Special Education Cooperative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</si>
  <si>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Region III Special Education Cooperative provided federal awards to subrecipients as follows:</t>
  </si>
  <si>
    <r>
      <t xml:space="preserve">The following amounts were expended in the form of non-cash assistance by Region III Special Education Cooperative and </t>
    </r>
    <r>
      <rPr>
        <b/>
        <sz val="9"/>
        <rFont val="Calibri"/>
        <family val="2"/>
        <scheme val="minor"/>
      </rPr>
      <t>should be</t>
    </r>
    <r>
      <rPr>
        <sz val="9"/>
        <rFont val="Calibri"/>
        <family val="2"/>
        <scheme val="minor"/>
      </rPr>
      <t xml:space="preserve"> included in the Schedule of Expenditures of Federal Awards:</t>
    </r>
  </si>
  <si>
    <t>SP.ED. I.D.E.A. FLOW THROUGH</t>
  </si>
  <si>
    <t>SP.ED. PRESCHOOL FLOW THROUGH</t>
  </si>
  <si>
    <t>2019-001</t>
  </si>
  <si>
    <t>THE JOINT AGREEMENT DID NOT SUBMIT ACCURATE EXPENDITURE REPORTS FOR JUNE 30, 2019.</t>
  </si>
  <si>
    <t>2019-002</t>
  </si>
  <si>
    <t>SP. ED. PRESCHOOL FLOW THROUGH (2019 PROJECT)</t>
  </si>
  <si>
    <t>EAST ALTON ELEMENTARY SCHOOL DISTRICT NO. 13</t>
  </si>
  <si>
    <t>SP. ED. PRESCHOOL FLOW THROUGH (2020 PROJECT)</t>
  </si>
  <si>
    <t>BETHALTO COMMUNITY UNIT SCHOOL DISTRICT NO. 8</t>
  </si>
  <si>
    <t>JERSEY COMMUNITY UNIT SCHOOL DISTRICT NO. 100</t>
  </si>
  <si>
    <t>SOUTHWESTERN COMMUNITY UNIT SCHOOL DISTRICT NO. 9</t>
  </si>
  <si>
    <t>WOOD RIVER - HARTFORD SCHOOL DISTRICT NO. 15</t>
  </si>
  <si>
    <t>SP. ED. I.D.E.A. FLOW THROUGH (2019 PROJECT)</t>
  </si>
  <si>
    <t>SP. ED. I.D.E.A. FLOW THROUGH (2020 PROJECT)</t>
  </si>
  <si>
    <t>EAST ALTON - WOOD RIVER HIGH SCHOOL DISTRICT NO. 14</t>
  </si>
  <si>
    <t>NONE</t>
  </si>
  <si>
    <t>DONNA HOGGATT</t>
  </si>
  <si>
    <t>UNMODIFIED</t>
  </si>
  <si>
    <t>CURRENT YEAR REPORTS SUBMITTED ACCURATELY</t>
  </si>
  <si>
    <t xml:space="preserve">   Region III Special 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</si>
</sst>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2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57" fillId="27" borderId="0" xfId="20" applyNumberFormat="1" applyFont="1" applyFill="1" applyAlignment="1">
      <alignment horizontal="center"/>
    </xf>
    <xf numFmtId="38" fontId="57" fillId="0" borderId="185"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6" xfId="20" applyNumberFormat="1" applyFont="1" applyFill="1" applyBorder="1" applyAlignment="1">
      <alignment horizontal="center" wrapText="1"/>
    </xf>
    <xf numFmtId="0" fontId="57" fillId="0" borderId="188" xfId="20" applyFont="1" applyBorder="1" applyAlignment="1">
      <alignment horizontal="center"/>
    </xf>
    <xf numFmtId="38" fontId="57" fillId="0" borderId="189" xfId="20" applyNumberFormat="1" applyFont="1" applyBorder="1" applyAlignment="1" applyProtection="1">
      <alignment horizontal="center"/>
      <protection locked="0"/>
    </xf>
    <xf numFmtId="38" fontId="57" fillId="0" borderId="188" xfId="20" applyNumberFormat="1" applyFont="1" applyBorder="1" applyAlignment="1" applyProtection="1">
      <alignment horizontal="center"/>
      <protection locked="0"/>
    </xf>
    <xf numFmtId="0" fontId="57" fillId="0" borderId="191" xfId="20" applyFont="1" applyBorder="1" applyAlignment="1">
      <alignment horizontal="center"/>
    </xf>
    <xf numFmtId="38" fontId="57" fillId="0" borderId="192" xfId="20" applyNumberFormat="1" applyFont="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54" fillId="0" borderId="0" xfId="3" applyFont="1" applyAlignment="1" applyProtection="1">
      <alignment horizontal="center"/>
    </xf>
    <xf numFmtId="0" fontId="62" fillId="0" borderId="0" xfId="3" applyFont="1" applyBorder="1" applyAlignment="1" applyProtection="1">
      <alignment horizontal="left" vertical="top" wrapText="1"/>
    </xf>
    <xf numFmtId="0" fontId="55" fillId="0" borderId="0" xfId="3" applyFont="1" applyBorder="1" applyAlignment="1" applyProtection="1">
      <alignment wrapText="1"/>
    </xf>
    <xf numFmtId="0" fontId="68" fillId="0" borderId="0" xfId="3" applyFont="1" applyBorder="1" applyAlignment="1" applyProtection="1">
      <alignment horizontal="center" wrapText="1"/>
    </xf>
    <xf numFmtId="0" fontId="57" fillId="0" borderId="0" xfId="3" applyFont="1" applyBorder="1" applyAlignment="1" applyProtection="1">
      <alignment wrapText="1"/>
      <protection locked="0"/>
    </xf>
    <xf numFmtId="0" fontId="57" fillId="0" borderId="0" xfId="3" applyFont="1" applyAlignment="1" applyProtection="1">
      <alignment wrapText="1"/>
      <protection locked="0"/>
    </xf>
    <xf numFmtId="0" fontId="57" fillId="0" borderId="78" xfId="3" applyFont="1" applyBorder="1" applyAlignment="1" applyProtection="1">
      <alignment wrapText="1"/>
      <protection locked="0"/>
    </xf>
    <xf numFmtId="0" fontId="57" fillId="0" borderId="0" xfId="3" applyFont="1" applyBorder="1" applyAlignment="1" applyProtection="1">
      <alignment wrapText="1"/>
    </xf>
    <xf numFmtId="0" fontId="57" fillId="0" borderId="0" xfId="3" applyFont="1" applyAlignment="1" applyProtection="1">
      <alignment wrapText="1"/>
    </xf>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7" xfId="20" applyFont="1" applyBorder="1"/>
    <xf numFmtId="0" fontId="57" fillId="0" borderId="188" xfId="20" applyFont="1" applyBorder="1"/>
    <xf numFmtId="0" fontId="57" fillId="0" borderId="190" xfId="20" applyFont="1" applyBorder="1"/>
    <xf numFmtId="0" fontId="57" fillId="0" borderId="191"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7" xfId="20" applyFont="1" applyBorder="1" applyAlignment="1">
      <alignment wrapText="1"/>
    </xf>
    <xf numFmtId="0" fontId="57" fillId="0" borderId="18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59B102AD-5242-4297-986B-412C7DCD2D4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sec1.isbe.net/attachmgr/default.aspx" TargetMode="External"/><Relationship Id="rId4"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7.bin"/><Relationship Id="rId7" Type="http://schemas.openxmlformats.org/officeDocument/2006/relationships/hyperlink" Target="https://www.isbe.net/Documents/Accounting-Rules-Part-100.pdf"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s://sec1.isbe.net/attachmgr/default.aspx" TargetMode="External"/><Relationship Id="rId5" Type="http://schemas.openxmlformats.org/officeDocument/2006/relationships/hyperlink" Target="http://www.isbe.net/rules/archive/pdfs/100ARK.pdf" TargetMode="External"/><Relationship Id="rId4" Type="http://schemas.openxmlformats.org/officeDocument/2006/relationships/hyperlink" Target="https://www.isbe.net/Pages/Single-Audi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0.bin"/><Relationship Id="rId5" Type="http://schemas.openxmlformats.org/officeDocument/2006/relationships/hyperlink" Target="https://www.isbe.net/Pages/School-District-Financial-Profile.aspx" TargetMode="External"/><Relationship Id="rId4"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6.bin"/><Relationship Id="rId4"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59.bin"/><Relationship Id="rId7" Type="http://schemas.openxmlformats.org/officeDocument/2006/relationships/oleObject" Target="../embeddings/oleObject1.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vmlDrawing" Target="../drawings/vmlDrawing5.vml"/><Relationship Id="rId5" Type="http://schemas.openxmlformats.org/officeDocument/2006/relationships/drawing" Target="../drawings/drawing1.xml"/><Relationship Id="rId10" Type="http://schemas.openxmlformats.org/officeDocument/2006/relationships/image" Target="../media/image2.emf"/><Relationship Id="rId4" Type="http://schemas.openxmlformats.org/officeDocument/2006/relationships/printerSettings" Target="../printerSettings/printerSettings60.bin"/><Relationship Id="rId9" Type="http://schemas.openxmlformats.org/officeDocument/2006/relationships/oleObject" Target="../embeddings/oleObject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drawing" Target="../drawings/drawing2.xml"/><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drawing" Target="../drawings/drawing3.xml"/><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87.bin"/><Relationship Id="rId7" Type="http://schemas.openxmlformats.org/officeDocument/2006/relationships/oleObject" Target="../embeddings/oleObject3.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vmlDrawing" Target="../drawings/vmlDrawing6.vml"/><Relationship Id="rId5" Type="http://schemas.openxmlformats.org/officeDocument/2006/relationships/drawing" Target="../drawings/drawing4.xml"/><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7.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hyperlink" Target="https://www.isbe.net/Pages/School-Nutrition-Programs-Food-Distribution.aspx" TargetMode="External"/><Relationship Id="rId5" Type="http://schemas.openxmlformats.org/officeDocument/2006/relationships/hyperlink" Target="https://www.isbe.net/Pages/School-Nutrition-Programs-Food-Distribution.aspx" TargetMode="External"/><Relationship Id="rId4" Type="http://schemas.openxmlformats.org/officeDocument/2006/relationships/hyperlink" Target="https://harvester.census.gov/facweb/Default.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printerSettings" Target="../printerSettings/printerSettings1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drawing" Target="../drawings/drawing5.xml"/><Relationship Id="rId4" Type="http://schemas.openxmlformats.org/officeDocument/2006/relationships/printerSettings" Target="../printerSettings/printerSettings12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5" Type="http://schemas.openxmlformats.org/officeDocument/2006/relationships/drawing" Target="../drawings/drawing6.xml"/><Relationship Id="rId4" Type="http://schemas.openxmlformats.org/officeDocument/2006/relationships/printerSettings" Target="../printerSettings/printerSettings1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drawing" Target="../drawings/drawing7.xml"/><Relationship Id="rId4" Type="http://schemas.openxmlformats.org/officeDocument/2006/relationships/printerSettings" Target="../printerSettings/printerSettings13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drawing" Target="../drawings/drawing8.xml"/><Relationship Id="rId4"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7">
        <f>+'AFR20'!E4</f>
        <v>44119</v>
      </c>
      <c r="C1" s="2197"/>
      <c r="D1" s="2198"/>
      <c r="I1" s="2156" t="s">
        <v>402</v>
      </c>
      <c r="J1" s="2157"/>
      <c r="K1" s="2157"/>
      <c r="L1" s="2157"/>
      <c r="M1" s="2157"/>
      <c r="N1" s="2157"/>
      <c r="O1" s="2157"/>
      <c r="P1" s="2157"/>
      <c r="Q1" s="2157"/>
      <c r="R1" s="2157"/>
      <c r="S1" s="2157"/>
    </row>
    <row r="2" spans="1:32" ht="12" customHeight="1" x14ac:dyDescent="0.2">
      <c r="A2" s="1889" t="str">
        <f>"Due to ISBE on "</f>
        <v xml:space="preserve">Due to ISBE on </v>
      </c>
      <c r="B2" s="2199">
        <f>+'AFR20'!F4</f>
        <v>44151</v>
      </c>
      <c r="C2" s="2199"/>
      <c r="D2" s="2200"/>
      <c r="I2" s="2158" t="s">
        <v>2003</v>
      </c>
      <c r="J2" s="2157"/>
      <c r="K2" s="2157"/>
      <c r="L2" s="2157"/>
      <c r="M2" s="2157"/>
      <c r="N2" s="2157"/>
      <c r="O2" s="2157"/>
      <c r="P2" s="2157"/>
      <c r="Q2" s="2157"/>
      <c r="R2" s="2157"/>
      <c r="S2" s="2157"/>
    </row>
    <row r="3" spans="1:32" ht="12" customHeight="1" x14ac:dyDescent="0.2">
      <c r="A3" s="1892" t="str">
        <f>"SD/JA"&amp;MID('AFR20'!E2,3,2)</f>
        <v>SD/JA20</v>
      </c>
      <c r="B3" s="151"/>
      <c r="C3" s="151"/>
      <c r="D3" s="152"/>
      <c r="I3" s="2158" t="s">
        <v>52</v>
      </c>
      <c r="J3" s="2157"/>
      <c r="K3" s="2157"/>
      <c r="L3" s="2157"/>
      <c r="M3" s="2157"/>
      <c r="N3" s="2157"/>
      <c r="O3" s="2157"/>
      <c r="P3" s="2157"/>
      <c r="Q3" s="2157"/>
      <c r="R3" s="2157"/>
      <c r="S3" s="2157"/>
    </row>
    <row r="4" spans="1:32" ht="12" customHeight="1" x14ac:dyDescent="0.2">
      <c r="A4" s="37"/>
      <c r="I4" s="2158" t="s">
        <v>521</v>
      </c>
      <c r="J4" s="2157"/>
      <c r="K4" s="2157"/>
      <c r="L4" s="2157"/>
      <c r="M4" s="2157"/>
      <c r="N4" s="2157"/>
      <c r="O4" s="2157"/>
      <c r="P4" s="2157"/>
      <c r="Q4" s="2157"/>
      <c r="R4" s="2157"/>
      <c r="S4" s="2157"/>
    </row>
    <row r="5" spans="1:32" ht="14.1" customHeight="1" x14ac:dyDescent="0.2">
      <c r="B5" s="101"/>
      <c r="C5" s="26" t="s">
        <v>904</v>
      </c>
      <c r="D5" s="81"/>
      <c r="E5" s="81"/>
      <c r="H5" s="38"/>
      <c r="I5" s="2166" t="s">
        <v>675</v>
      </c>
      <c r="J5" s="2165"/>
      <c r="K5" s="2165"/>
      <c r="L5" s="2165"/>
      <c r="M5" s="2165"/>
      <c r="N5" s="2165"/>
      <c r="O5" s="2165"/>
      <c r="P5" s="2165"/>
      <c r="Q5" s="2165"/>
      <c r="R5" s="2165"/>
      <c r="S5" s="2165"/>
      <c r="AF5" s="1885"/>
    </row>
    <row r="6" spans="1:32" ht="14.1" customHeight="1" x14ac:dyDescent="0.2">
      <c r="B6" s="101" t="s">
        <v>2018</v>
      </c>
      <c r="C6" s="26" t="s">
        <v>905</v>
      </c>
      <c r="D6" s="81"/>
      <c r="E6" s="81"/>
      <c r="I6" s="2164" t="s">
        <v>877</v>
      </c>
      <c r="J6" s="2165"/>
      <c r="K6" s="2165"/>
      <c r="L6" s="2165"/>
      <c r="M6" s="2165"/>
      <c r="N6" s="2165"/>
      <c r="O6" s="2165"/>
      <c r="P6" s="2165"/>
      <c r="Q6" s="2165"/>
      <c r="R6" s="2165"/>
      <c r="S6" s="2165"/>
    </row>
    <row r="7" spans="1:32" ht="12.2" customHeight="1" x14ac:dyDescent="0.2">
      <c r="I7" s="2159" t="str">
        <f>"June 30, "&amp;'AFR20'!E2</f>
        <v>June 30, 2020</v>
      </c>
      <c r="J7" s="2160"/>
      <c r="K7" s="2160"/>
      <c r="L7" s="2160"/>
      <c r="M7" s="2160"/>
      <c r="N7" s="2160"/>
      <c r="O7" s="2160"/>
      <c r="P7" s="2160"/>
      <c r="Q7" s="2160"/>
      <c r="R7" s="2160"/>
      <c r="S7" s="216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1" t="s">
        <v>669</v>
      </c>
      <c r="J9" s="2162"/>
      <c r="K9" s="2162"/>
      <c r="L9" s="2162"/>
      <c r="M9" s="2162"/>
      <c r="N9" s="2162"/>
      <c r="O9" s="2162"/>
      <c r="P9" s="2162"/>
      <c r="Q9" s="2162"/>
      <c r="R9" s="2162"/>
      <c r="S9" s="2163"/>
      <c r="T9" s="2214" t="s">
        <v>530</v>
      </c>
      <c r="U9" s="2215"/>
      <c r="V9" s="2215"/>
      <c r="W9" s="2215"/>
      <c r="X9" s="2215"/>
      <c r="Y9" s="2215"/>
      <c r="Z9" s="2215"/>
      <c r="AA9" s="2216"/>
    </row>
    <row r="10" spans="1:32" ht="13.5" customHeight="1" x14ac:dyDescent="0.2">
      <c r="A10" s="2221" t="s">
        <v>670</v>
      </c>
      <c r="B10" s="2222"/>
      <c r="C10" s="2222"/>
      <c r="D10" s="2222"/>
      <c r="E10" s="2222"/>
      <c r="F10" s="2222"/>
      <c r="G10" s="2222"/>
      <c r="H10" s="2223"/>
      <c r="I10" s="29"/>
      <c r="J10" s="30"/>
      <c r="K10" s="28"/>
      <c r="R10" s="30"/>
      <c r="S10" s="30"/>
      <c r="T10" s="2217"/>
      <c r="U10" s="2165"/>
      <c r="V10" s="2165"/>
      <c r="W10" s="2165"/>
      <c r="X10" s="2165"/>
      <c r="Y10" s="2165"/>
      <c r="Z10" s="2165"/>
      <c r="AA10" s="2171"/>
    </row>
    <row r="11" spans="1:32" ht="14.25" customHeight="1" x14ac:dyDescent="0.2">
      <c r="A11" s="2224" t="s">
        <v>949</v>
      </c>
      <c r="B11" s="2225"/>
      <c r="C11" s="2225"/>
      <c r="D11" s="2225"/>
      <c r="E11" s="2225"/>
      <c r="F11" s="2225"/>
      <c r="G11" s="2225"/>
      <c r="H11" s="2226"/>
      <c r="I11" s="27"/>
      <c r="J11" s="71"/>
      <c r="K11" s="27"/>
      <c r="O11" s="144"/>
      <c r="P11" s="97" t="s">
        <v>199</v>
      </c>
      <c r="Q11" s="30"/>
      <c r="R11" s="28"/>
      <c r="S11" s="27"/>
      <c r="T11" s="2218"/>
      <c r="U11" s="2219"/>
      <c r="V11" s="2219"/>
      <c r="W11" s="2219"/>
      <c r="X11" s="2219"/>
      <c r="Y11" s="2219"/>
      <c r="Z11" s="2219"/>
      <c r="AA11" s="2220"/>
    </row>
    <row r="12" spans="1:32" ht="13.5" customHeight="1" x14ac:dyDescent="0.2">
      <c r="A12" s="82" t="s">
        <v>919</v>
      </c>
      <c r="B12" s="73"/>
      <c r="C12" s="73"/>
      <c r="D12" s="73"/>
      <c r="E12" s="73"/>
      <c r="F12" s="73"/>
      <c r="G12" s="73"/>
      <c r="H12" s="50"/>
      <c r="I12" s="29"/>
      <c r="J12" s="30"/>
      <c r="K12" s="28"/>
      <c r="O12" s="145" t="s">
        <v>2018</v>
      </c>
      <c r="P12" s="97" t="s">
        <v>200</v>
      </c>
      <c r="Q12" s="71"/>
      <c r="R12" s="30"/>
      <c r="S12" s="30"/>
      <c r="T12" s="82" t="s">
        <v>263</v>
      </c>
      <c r="U12" s="48"/>
      <c r="V12" s="48"/>
      <c r="W12" s="48"/>
      <c r="X12" s="48"/>
      <c r="Y12" s="43"/>
      <c r="Z12" s="43"/>
      <c r="AA12" s="44"/>
    </row>
    <row r="13" spans="1:32" ht="13.5" customHeight="1" x14ac:dyDescent="0.2">
      <c r="A13" s="2177">
        <v>41057801060</v>
      </c>
      <c r="B13" s="2178"/>
      <c r="C13" s="2178"/>
      <c r="D13" s="2178"/>
      <c r="E13" s="2178"/>
      <c r="F13" s="2178"/>
      <c r="G13" s="2178"/>
      <c r="H13" s="2179"/>
      <c r="I13" s="31"/>
      <c r="J13" s="30"/>
      <c r="K13" s="28"/>
      <c r="L13" s="30"/>
      <c r="M13" s="30"/>
      <c r="N13" s="30"/>
      <c r="O13" s="30"/>
      <c r="P13" s="30"/>
      <c r="Q13" s="30"/>
      <c r="R13" s="30"/>
      <c r="S13" s="30"/>
      <c r="T13" s="2183" t="s">
        <v>2019</v>
      </c>
      <c r="U13" s="2184"/>
      <c r="V13" s="2184"/>
      <c r="W13" s="2184"/>
      <c r="X13" s="2184"/>
      <c r="Y13" s="2185"/>
      <c r="Z13" s="2185"/>
      <c r="AA13" s="218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80" t="s">
        <v>2027</v>
      </c>
      <c r="B15" s="2181"/>
      <c r="C15" s="2181"/>
      <c r="D15" s="2181"/>
      <c r="E15" s="2181"/>
      <c r="F15" s="2181"/>
      <c r="G15" s="2181"/>
      <c r="H15" s="2182"/>
      <c r="T15" s="2187" t="s">
        <v>2111</v>
      </c>
      <c r="U15" s="2144"/>
      <c r="V15" s="2144"/>
      <c r="W15" s="2144"/>
      <c r="X15" s="2144"/>
      <c r="Y15" s="2188"/>
      <c r="Z15" s="2188"/>
      <c r="AA15" s="218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50" t="s">
        <v>2114</v>
      </c>
      <c r="B17" s="2151"/>
      <c r="C17" s="2151"/>
      <c r="D17" s="2151"/>
      <c r="E17" s="2151"/>
      <c r="F17" s="2151"/>
      <c r="G17" s="2151"/>
      <c r="H17" s="2176"/>
      <c r="T17" s="2194" t="s">
        <v>2020</v>
      </c>
      <c r="U17" s="2195"/>
      <c r="V17" s="2195"/>
      <c r="W17" s="2195"/>
      <c r="X17" s="2195"/>
      <c r="Y17" s="2195"/>
      <c r="Z17" s="2195"/>
      <c r="AA17" s="2196"/>
    </row>
    <row r="18" spans="1:27" ht="13.5" customHeight="1" x14ac:dyDescent="0.2">
      <c r="A18" s="82" t="s">
        <v>527</v>
      </c>
      <c r="B18" s="73"/>
      <c r="C18" s="69"/>
      <c r="D18" s="73"/>
      <c r="E18" s="73"/>
      <c r="F18" s="73"/>
      <c r="G18" s="73"/>
      <c r="H18" s="53"/>
      <c r="I18" s="2175" t="s">
        <v>671</v>
      </c>
      <c r="J18" s="2126"/>
      <c r="K18" s="2126"/>
      <c r="L18" s="2126"/>
      <c r="M18" s="2126"/>
      <c r="N18" s="2126"/>
      <c r="O18" s="2126"/>
      <c r="P18" s="2126"/>
      <c r="Q18" s="2126"/>
      <c r="R18" s="2126"/>
      <c r="S18" s="2127"/>
      <c r="T18" s="82" t="s">
        <v>706</v>
      </c>
      <c r="U18" s="48"/>
      <c r="V18" s="69"/>
      <c r="W18" s="47"/>
      <c r="X18" s="82" t="s">
        <v>264</v>
      </c>
      <c r="Y18" s="78"/>
      <c r="Z18" s="154" t="s">
        <v>672</v>
      </c>
      <c r="AA18" s="44"/>
    </row>
    <row r="19" spans="1:27" ht="13.5" customHeight="1" x14ac:dyDescent="0.2">
      <c r="A19" s="2180" t="s">
        <v>2028</v>
      </c>
      <c r="B19" s="2136"/>
      <c r="C19" s="2136"/>
      <c r="D19" s="2136"/>
      <c r="E19" s="2136"/>
      <c r="F19" s="2136"/>
      <c r="G19" s="2136"/>
      <c r="H19" s="2116"/>
      <c r="I19" s="30"/>
      <c r="J19" s="96"/>
      <c r="K19" s="40"/>
      <c r="L19" s="38"/>
      <c r="M19" s="109" t="s">
        <v>312</v>
      </c>
      <c r="P19" s="27"/>
      <c r="Q19" s="27"/>
      <c r="R19" s="27"/>
      <c r="S19" s="31"/>
      <c r="T19" s="2180" t="s">
        <v>2021</v>
      </c>
      <c r="U19" s="2115"/>
      <c r="V19" s="2115"/>
      <c r="W19" s="2116"/>
      <c r="X19" s="2192" t="s">
        <v>2022</v>
      </c>
      <c r="Y19" s="2193"/>
      <c r="Z19" s="2190">
        <v>62002</v>
      </c>
      <c r="AA19" s="219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4" t="s">
        <v>2029</v>
      </c>
      <c r="B21" s="2115"/>
      <c r="C21" s="2115"/>
      <c r="D21" s="2115"/>
      <c r="E21" s="2115"/>
      <c r="F21" s="2115"/>
      <c r="G21" s="2115"/>
      <c r="H21" s="2116"/>
      <c r="I21" s="2170" t="s">
        <v>673</v>
      </c>
      <c r="J21" s="2165"/>
      <c r="K21" s="2165"/>
      <c r="L21" s="2165"/>
      <c r="M21" s="2165"/>
      <c r="N21" s="2165"/>
      <c r="O21" s="2165"/>
      <c r="P21" s="2165"/>
      <c r="Q21" s="2165"/>
      <c r="R21" s="2165"/>
      <c r="S21" s="2171"/>
      <c r="T21" s="2205" t="s">
        <v>2023</v>
      </c>
      <c r="U21" s="2206"/>
      <c r="V21" s="2206"/>
      <c r="W21" s="2206"/>
      <c r="X21" s="2211" t="s">
        <v>2024</v>
      </c>
      <c r="Y21" s="2212"/>
      <c r="Z21" s="2212"/>
      <c r="AA21" s="2213"/>
    </row>
    <row r="22" spans="1:27" ht="13.5" customHeight="1" x14ac:dyDescent="0.2">
      <c r="A22" s="84" t="s">
        <v>528</v>
      </c>
      <c r="B22" s="56"/>
      <c r="C22" s="56"/>
      <c r="D22" s="56"/>
      <c r="E22" s="56"/>
      <c r="F22" s="56"/>
      <c r="G22" s="56"/>
      <c r="H22" s="57"/>
      <c r="I22" s="2172" t="s">
        <v>1415</v>
      </c>
      <c r="J22" s="2173"/>
      <c r="K22" s="2173"/>
      <c r="L22" s="2173"/>
      <c r="M22" s="2173"/>
      <c r="N22" s="2173"/>
      <c r="O22" s="2173"/>
      <c r="P22" s="2173"/>
      <c r="Q22" s="2173"/>
      <c r="R22" s="2173"/>
      <c r="S22" s="2174"/>
      <c r="T22" s="82" t="s">
        <v>1502</v>
      </c>
      <c r="U22" s="48"/>
      <c r="V22" s="69"/>
      <c r="W22" s="48"/>
      <c r="X22" s="155" t="s">
        <v>1309</v>
      </c>
      <c r="Z22" s="43"/>
      <c r="AA22" s="44"/>
    </row>
    <row r="23" spans="1:27" ht="13.5" customHeight="1" x14ac:dyDescent="0.2">
      <c r="A23" s="2167" t="s">
        <v>2030</v>
      </c>
      <c r="B23" s="2168"/>
      <c r="C23" s="2168"/>
      <c r="D23" s="2168"/>
      <c r="E23" s="2168"/>
      <c r="F23" s="2168"/>
      <c r="G23" s="2168"/>
      <c r="H23" s="2169"/>
      <c r="T23" s="2150" t="s">
        <v>2025</v>
      </c>
      <c r="U23" s="2204"/>
      <c r="V23" s="2204"/>
      <c r="W23" s="2204"/>
      <c r="X23" s="2208">
        <v>44530</v>
      </c>
      <c r="Y23" s="2209"/>
      <c r="Z23" s="2209"/>
      <c r="AA23" s="2210"/>
    </row>
    <row r="24" spans="1:27" ht="14.1" customHeight="1" x14ac:dyDescent="0.2">
      <c r="A24" s="85" t="s">
        <v>672</v>
      </c>
      <c r="B24" s="46"/>
      <c r="C24" s="46"/>
      <c r="D24" s="46"/>
      <c r="E24" s="46"/>
      <c r="F24" s="46"/>
      <c r="G24" s="46"/>
      <c r="H24" s="58"/>
      <c r="J24" s="2137" t="str">
        <f>IF(B5="x",IF(AUDITCHECK!D29="AFR form Incomplete.","",IF(AUDITCHECK!D29="Deficit reduction plan is required.","School District must complete a deficit reduction plan in the 2019-2020 Budget",)),"")</f>
        <v/>
      </c>
      <c r="K24" s="2137"/>
      <c r="L24" s="2137"/>
      <c r="M24" s="2137"/>
      <c r="N24" s="2137"/>
      <c r="O24" s="2137"/>
      <c r="P24" s="2137"/>
      <c r="Q24" s="2137"/>
      <c r="R24" s="2137"/>
      <c r="S24" s="2138"/>
      <c r="T24" s="102" t="s">
        <v>528</v>
      </c>
      <c r="U24" s="103"/>
      <c r="V24" s="103"/>
      <c r="W24" s="103"/>
      <c r="X24" s="104"/>
      <c r="Y24" s="104"/>
      <c r="Z24" s="104"/>
      <c r="AA24" s="105"/>
    </row>
    <row r="25" spans="1:27" ht="14.1" customHeight="1" x14ac:dyDescent="0.2">
      <c r="A25" s="2114">
        <v>62018</v>
      </c>
      <c r="B25" s="2115"/>
      <c r="C25" s="2115"/>
      <c r="D25" s="2115"/>
      <c r="E25" s="2115"/>
      <c r="F25" s="2115"/>
      <c r="G25" s="2115"/>
      <c r="H25" s="2116"/>
      <c r="I25" s="110"/>
      <c r="J25" s="2139"/>
      <c r="K25" s="2139"/>
      <c r="L25" s="2139"/>
      <c r="M25" s="2139"/>
      <c r="N25" s="2139"/>
      <c r="O25" s="2139"/>
      <c r="P25" s="2139"/>
      <c r="Q25" s="2139"/>
      <c r="R25" s="2139"/>
      <c r="S25" s="2140"/>
      <c r="T25" s="2201" t="s">
        <v>2026</v>
      </c>
      <c r="U25" s="2202"/>
      <c r="V25" s="2202"/>
      <c r="W25" s="2202"/>
      <c r="X25" s="2202"/>
      <c r="Y25" s="2202"/>
      <c r="Z25" s="2202"/>
      <c r="AA25" s="220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5" t="s">
        <v>1497</v>
      </c>
      <c r="J27" s="2126"/>
      <c r="K27" s="2126"/>
      <c r="L27" s="2126"/>
      <c r="M27" s="2126"/>
      <c r="N27" s="2126"/>
      <c r="O27" s="2126"/>
      <c r="P27" s="2126"/>
      <c r="Q27" s="2126"/>
      <c r="R27" s="2126"/>
      <c r="S27" s="212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6"/>
      <c r="Q35" s="2115"/>
      <c r="R35" s="211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50"/>
      <c r="B38" s="2151"/>
      <c r="C38" s="2151"/>
      <c r="D38" s="2151"/>
      <c r="E38" s="2151"/>
      <c r="F38" s="2115"/>
      <c r="G38" s="2115"/>
      <c r="H38" s="2116"/>
      <c r="I38" s="2143"/>
      <c r="J38" s="2144"/>
      <c r="K38" s="2144"/>
      <c r="L38" s="2144"/>
      <c r="M38" s="2144"/>
      <c r="N38" s="2144"/>
      <c r="O38" s="2144"/>
      <c r="P38" s="2145"/>
      <c r="Q38" s="2145"/>
      <c r="R38" s="2145"/>
      <c r="S38" s="2146"/>
      <c r="T38" s="2187"/>
      <c r="U38" s="2144"/>
      <c r="V38" s="2144"/>
      <c r="W38" s="2144"/>
      <c r="X38" s="2145"/>
      <c r="Y38" s="2145"/>
      <c r="Z38" s="2145"/>
      <c r="AA38" s="2146"/>
    </row>
    <row r="39" spans="1:27" ht="12" customHeight="1" x14ac:dyDescent="0.2">
      <c r="A39" s="2120" t="s">
        <v>528</v>
      </c>
      <c r="B39" s="2121"/>
      <c r="C39" s="69"/>
      <c r="D39" s="66"/>
      <c r="E39" s="66"/>
      <c r="F39" s="76"/>
      <c r="G39" s="66"/>
      <c r="H39" s="53"/>
      <c r="I39" s="2120" t="s">
        <v>528</v>
      </c>
      <c r="J39" s="2121"/>
      <c r="K39" s="2121"/>
      <c r="L39" s="2121"/>
      <c r="M39" s="2121"/>
      <c r="N39" s="64"/>
      <c r="O39" s="69"/>
      <c r="P39" s="69"/>
      <c r="Q39" s="75"/>
      <c r="R39" s="69"/>
      <c r="S39" s="53"/>
      <c r="T39" s="69" t="s">
        <v>528</v>
      </c>
      <c r="U39" s="48"/>
      <c r="V39" s="69"/>
      <c r="W39" s="47"/>
      <c r="X39" s="75"/>
      <c r="Y39" s="43"/>
      <c r="Z39" s="43"/>
      <c r="AA39" s="44"/>
    </row>
    <row r="40" spans="1:27" ht="13.5" customHeight="1" x14ac:dyDescent="0.2">
      <c r="A40" s="2128"/>
      <c r="B40" s="2129"/>
      <c r="C40" s="2130"/>
      <c r="D40" s="2130"/>
      <c r="E40" s="2130"/>
      <c r="F40" s="2131"/>
      <c r="G40" s="2131"/>
      <c r="H40" s="2132"/>
      <c r="I40" s="2153"/>
      <c r="J40" s="2154"/>
      <c r="K40" s="2154"/>
      <c r="L40" s="2154"/>
      <c r="M40" s="2154"/>
      <c r="N40" s="2154"/>
      <c r="O40" s="2154"/>
      <c r="P40" s="2154"/>
      <c r="Q40" s="2154"/>
      <c r="R40" s="2154"/>
      <c r="S40" s="2155"/>
      <c r="T40" s="2153"/>
      <c r="U40" s="2207"/>
      <c r="V40" s="2154"/>
      <c r="W40" s="2154"/>
      <c r="X40" s="2154"/>
      <c r="Y40" s="2154"/>
      <c r="Z40" s="2154"/>
      <c r="AA40" s="215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c r="B42" s="2134"/>
      <c r="C42" s="2135"/>
      <c r="D42" s="2133"/>
      <c r="E42" s="2134"/>
      <c r="F42" s="2134"/>
      <c r="G42" s="2134"/>
      <c r="H42" s="2135"/>
      <c r="I42" s="2117"/>
      <c r="J42" s="2118"/>
      <c r="K42" s="2118"/>
      <c r="L42" s="2118"/>
      <c r="M42" s="2118"/>
      <c r="N42" s="2118"/>
      <c r="O42" s="2119"/>
      <c r="P42" s="2152"/>
      <c r="Q42" s="2118"/>
      <c r="R42" s="2118"/>
      <c r="S42" s="2119"/>
      <c r="T42" s="2117"/>
      <c r="U42" s="2118"/>
      <c r="V42" s="2118"/>
      <c r="W42" s="2119"/>
      <c r="X42" s="2152"/>
      <c r="Y42" s="2118"/>
      <c r="Z42" s="2118"/>
      <c r="AA42" s="211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7"/>
      <c r="B44" s="2148"/>
      <c r="C44" s="2148"/>
      <c r="D44" s="2148"/>
      <c r="E44" s="2148"/>
      <c r="F44" s="2148"/>
      <c r="G44" s="2148"/>
      <c r="H44" s="2149"/>
      <c r="I44" s="2122"/>
      <c r="J44" s="2123"/>
      <c r="K44" s="2123"/>
      <c r="L44" s="2123"/>
      <c r="M44" s="2123"/>
      <c r="N44" s="2123"/>
      <c r="O44" s="2123"/>
      <c r="P44" s="2123"/>
      <c r="Q44" s="2123"/>
      <c r="R44" s="2123"/>
      <c r="S44" s="2124"/>
      <c r="T44" s="2122"/>
      <c r="U44" s="2141"/>
      <c r="V44" s="2141"/>
      <c r="W44" s="2141"/>
      <c r="X44" s="2141"/>
      <c r="Y44" s="2141"/>
      <c r="Z44" s="2123"/>
      <c r="AA44" s="2124"/>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27400517-D544-41E2-9D13-0D8FC40AA704}" showGridLines="0">
      <selection activeCell="A23" sqref="A23:H23"/>
      <pageMargins left="0.75" right="0.75" top="1" bottom="0.5" header="0.5" footer="0.5"/>
      <printOptions horizontalCentered="1"/>
      <pageSetup scale="67" orientation="landscape" useFirstPageNumber="1" r:id="rId1"/>
      <headerFooter>
        <oddFooter>&amp;C&amp;"Times New Roman,Regular"
&amp;P</oddFooter>
      </headerFooter>
    </customSheetView>
    <customSheetView guid="{00BB9B19-FC1B-492E-A95E-CC052A0B5070}" showGridLines="0">
      <selection activeCell="A23" sqref="A23:H23"/>
      <pageMargins left="0.75" right="0.75" top="1" bottom="0.5" header="0.5" footer="0.5"/>
      <printOptions horizontalCentered="1"/>
      <pageSetup scale="67" orientation="landscape" useFirstPageNumber="1" r:id="rId2"/>
      <headerFooter>
        <oddFooter>&amp;C&amp;"Times New Roman,Regular"
&amp;P</oddFooter>
      </headerFooter>
    </customSheetView>
    <customSheetView guid="{DCE9EA22-7307-4505-BC41-9954A9C79245}" showGridLines="0">
      <selection activeCell="A23" sqref="A23:H23"/>
      <pageMargins left="0.75" right="0.75" top="1" bottom="0.5" header="0.5" footer="0.5"/>
      <printOptions horizontalCentered="1"/>
      <pageSetup scale="67" orientation="landscape" useFirstPageNumber="1" r:id="rId3"/>
      <headerFooter>
        <oddFooter>&amp;C&amp;"Times New Roman,Regular"
&amp;P</oddFooter>
      </headerFooter>
    </customSheetView>
  </customSheetViews>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4" display="www.isbe.net/sfms/afr/afr.htm" xr:uid="{00000000-0004-0000-0000-000000000000}"/>
    <hyperlink ref="I22:S22" r:id="rId5" display="   Send ISBE a File" xr:uid="{00000000-0004-0000-0000-000001000000}"/>
  </hyperlinks>
  <printOptions horizontalCentered="1"/>
  <pageMargins left="0.75" right="0.75" top="1" bottom="0.5" header="0.5" footer="0.5"/>
  <pageSetup scale="67" orientation="landscape" useFirstPageNumber="1" r:id="rId6"/>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view="pageBreakPreview" zoomScale="60" zoomScaleNormal="110" workbookViewId="0">
      <selection activeCell="O89" sqref="O8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30" t="s">
        <v>1058</v>
      </c>
      <c r="B35" s="2230"/>
      <c r="C35" s="2230"/>
      <c r="D35" s="2230"/>
      <c r="E35" s="223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7" t="s">
        <v>686</v>
      </c>
      <c r="B40" s="2227"/>
      <c r="C40" s="2227"/>
      <c r="D40" s="2227"/>
      <c r="E40" s="2227"/>
    </row>
    <row r="41" spans="1:5" x14ac:dyDescent="0.2">
      <c r="A41" s="2228" t="s">
        <v>1594</v>
      </c>
      <c r="B41" s="2228"/>
      <c r="C41" s="2228"/>
      <c r="D41" s="2228"/>
      <c r="E41" s="2228"/>
    </row>
    <row r="42" spans="1:5" ht="12.75" customHeight="1" x14ac:dyDescent="0.2">
      <c r="A42" s="2229" t="s">
        <v>1015</v>
      </c>
      <c r="B42" s="2229"/>
      <c r="C42" s="2229"/>
      <c r="D42" s="2229"/>
      <c r="E42" s="222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27400517-D544-41E2-9D13-0D8FC40AA704}" scale="60" showPageBreaks="1" showGridLines="0" hiddenRows="1" view="pageBreakPreview">
      <selection activeCell="O89" sqref="O89"/>
      <pageMargins left="0.75" right="0.75" top="0.75" bottom="0.5" header="0.5" footer="0.5"/>
      <printOptions horizontalCentered="1"/>
      <pageSetup scale="72" fitToHeight="0" orientation="portrait" r:id="rId1"/>
      <headerFooter>
        <oddHeader>&amp;C&amp;"Times New Roman,Regular"REGION III SPECIAL EDUCATION COOPERATIVE</oddHeader>
        <oddFooter>&amp;C&amp;"Times New Roman,Regular"
&amp;P</oddFooter>
      </headerFooter>
    </customSheetView>
    <customSheetView guid="{00BB9B19-FC1B-492E-A95E-CC052A0B5070}" scale="60" showPageBreaks="1" showGridLines="0" hiddenRows="1" view="pageBreakPreview">
      <selection activeCell="O89" sqref="O89"/>
      <pageMargins left="0.75" right="0.75" top="0.75" bottom="0.5" header="0.5" footer="0.5"/>
      <printOptions horizontalCentered="1"/>
      <pageSetup scale="72" fitToHeight="0" orientation="portrait" r:id="rId2"/>
      <headerFooter>
        <oddHeader>&amp;C&amp;"Times New Roman,Regular"REGION III SPECIAL EDUCATION COOPERATIVE</oddHeader>
        <oddFooter>&amp;C&amp;"Times New Roman,Regular"
&amp;P</oddFooter>
      </headerFooter>
    </customSheetView>
    <customSheetView guid="{DCE9EA22-7307-4505-BC41-9954A9C79245}" scale="60" showPageBreaks="1" showGridLines="0" hiddenRows="1" view="pageBreakPreview">
      <selection activeCell="O89" sqref="O89"/>
      <pageMargins left="0.75" right="0.75" top="0.75" bottom="0.5" header="0.5" footer="0.5"/>
      <printOptions horizontalCentered="1"/>
      <pageSetup scale="72" fitToHeight="0" orientation="portrait" r:id="rId3"/>
      <headerFooter>
        <oddHeader>&amp;C&amp;"Times New Roman,Regular"REGION III SPECIAL EDUCATION COOPERATIVE</oddHeader>
        <oddFooter>&amp;C&amp;"Times New Roman,Regular"
&amp;P</oddFooter>
      </headerFooter>
    </customSheetView>
  </customSheetViews>
  <mergeCells count="4">
    <mergeCell ref="A40:E40"/>
    <mergeCell ref="A41:E41"/>
    <mergeCell ref="A42:E42"/>
    <mergeCell ref="A35:E35"/>
  </mergeCells>
  <hyperlinks>
    <hyperlink ref="B71" r:id="rId4" display="Federal Single Audit 2 CFR 200.500" xr:uid="{00000000-0004-0000-0100-000000000000}"/>
    <hyperlink ref="A42" r:id="rId5" xr:uid="{00000000-0004-0000-0100-000001000000}"/>
    <hyperlink ref="B54" r:id="rId6"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7" display="23, Illinois Administrative Code 100, Subtitle A, Chapter I, Subchapter C (Part 100)" xr:uid="{00000000-0004-0000-0100-00001A000000}"/>
  </hyperlinks>
  <printOptions horizontalCentered="1"/>
  <pageMargins left="0.75" right="0.75" top="0.75" bottom="0.5" header="0.5" footer="0.5"/>
  <pageSetup scale="72" fitToHeight="0" orientation="portrait" r:id="rId8"/>
  <headerFooter>
    <oddHeader>&amp;C&amp;"Times New Roman,Regular"REGION III SPECIAL EDUCATION COOPERATIVE</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R110" sqref="R11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1" t="s">
        <v>1160</v>
      </c>
      <c r="B2" s="2231"/>
      <c r="C2" s="2231"/>
      <c r="D2" s="2231"/>
      <c r="E2" s="2231"/>
      <c r="F2" s="2231"/>
      <c r="G2" s="2231"/>
      <c r="H2" s="2231"/>
      <c r="I2" s="2231"/>
      <c r="J2" s="223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5" t="s">
        <v>1619</v>
      </c>
      <c r="B35" s="2246"/>
      <c r="C35" s="2246"/>
      <c r="D35" s="2246"/>
      <c r="E35" s="2247"/>
      <c r="F35" s="2247"/>
      <c r="G35" s="2247"/>
      <c r="H35" s="2247"/>
      <c r="I35" s="224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5" t="s">
        <v>310</v>
      </c>
      <c r="B47" s="2248"/>
      <c r="C47" s="2248"/>
      <c r="D47" s="2248"/>
      <c r="E47" s="2249"/>
      <c r="F47" s="2249"/>
      <c r="G47" s="2249"/>
      <c r="H47" s="2249"/>
      <c r="I47" s="224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2"/>
      <c r="C57" s="2253"/>
      <c r="D57" s="2253"/>
      <c r="E57" s="2253"/>
      <c r="F57" s="2253"/>
      <c r="G57" s="2253"/>
      <c r="H57" s="2253"/>
      <c r="I57" s="2253"/>
      <c r="J57" s="2254"/>
    </row>
    <row r="58" spans="1:10" s="176" customFormat="1" x14ac:dyDescent="0.2">
      <c r="A58" s="248"/>
      <c r="B58" s="2255"/>
      <c r="C58" s="2256"/>
      <c r="D58" s="2256"/>
      <c r="E58" s="2256"/>
      <c r="F58" s="2256"/>
      <c r="G58" s="2256"/>
      <c r="H58" s="2256"/>
      <c r="I58" s="2256"/>
      <c r="J58" s="2257"/>
    </row>
    <row r="59" spans="1:10" s="176" customFormat="1" x14ac:dyDescent="0.2">
      <c r="A59" s="248"/>
      <c r="B59" s="2255"/>
      <c r="C59" s="2256"/>
      <c r="D59" s="2256"/>
      <c r="E59" s="2256"/>
      <c r="F59" s="2256"/>
      <c r="G59" s="2256"/>
      <c r="H59" s="2256"/>
      <c r="I59" s="2256"/>
      <c r="J59" s="2257"/>
    </row>
    <row r="60" spans="1:10" s="176" customFormat="1" x14ac:dyDescent="0.2">
      <c r="A60" s="248"/>
      <c r="B60" s="2255"/>
      <c r="C60" s="2256"/>
      <c r="D60" s="2256"/>
      <c r="E60" s="2256"/>
      <c r="F60" s="2256"/>
      <c r="G60" s="2256"/>
      <c r="H60" s="2256"/>
      <c r="I60" s="2256"/>
      <c r="J60" s="2257"/>
    </row>
    <row r="61" spans="1:10" s="176" customFormat="1" x14ac:dyDescent="0.2">
      <c r="A61" s="248"/>
      <c r="B61" s="2255"/>
      <c r="C61" s="2256"/>
      <c r="D61" s="2256"/>
      <c r="E61" s="2256"/>
      <c r="F61" s="2256"/>
      <c r="G61" s="2256"/>
      <c r="H61" s="2256"/>
      <c r="I61" s="2256"/>
      <c r="J61" s="2257"/>
    </row>
    <row r="62" spans="1:10" s="176" customFormat="1" x14ac:dyDescent="0.2">
      <c r="A62" s="248"/>
      <c r="B62" s="2255"/>
      <c r="C62" s="2256"/>
      <c r="D62" s="2256"/>
      <c r="E62" s="2256"/>
      <c r="F62" s="2256"/>
      <c r="G62" s="2256"/>
      <c r="H62" s="2256"/>
      <c r="I62" s="2256"/>
      <c r="J62" s="2257"/>
    </row>
    <row r="63" spans="1:10" s="176" customFormat="1" x14ac:dyDescent="0.2">
      <c r="A63" s="248"/>
      <c r="B63" s="2255"/>
      <c r="C63" s="2256"/>
      <c r="D63" s="2256"/>
      <c r="E63" s="2256"/>
      <c r="F63" s="2256"/>
      <c r="G63" s="2256"/>
      <c r="H63" s="2256"/>
      <c r="I63" s="2256"/>
      <c r="J63" s="2257"/>
    </row>
    <row r="64" spans="1:10" s="176" customFormat="1" x14ac:dyDescent="0.2">
      <c r="A64" s="248"/>
      <c r="B64" s="2255"/>
      <c r="C64" s="2256"/>
      <c r="D64" s="2256"/>
      <c r="E64" s="2256"/>
      <c r="F64" s="2256"/>
      <c r="G64" s="2256"/>
      <c r="H64" s="2256"/>
      <c r="I64" s="2256"/>
      <c r="J64" s="2257"/>
    </row>
    <row r="65" spans="1:11" s="176" customFormat="1" x14ac:dyDescent="0.2">
      <c r="A65" s="248"/>
      <c r="B65" s="2255"/>
      <c r="C65" s="2256"/>
      <c r="D65" s="2256"/>
      <c r="E65" s="2256"/>
      <c r="F65" s="2256"/>
      <c r="G65" s="2256"/>
      <c r="H65" s="2256"/>
      <c r="I65" s="2256"/>
      <c r="J65" s="2257"/>
    </row>
    <row r="66" spans="1:11" s="176" customFormat="1" x14ac:dyDescent="0.2">
      <c r="A66" s="248"/>
      <c r="B66" s="2255"/>
      <c r="C66" s="2256"/>
      <c r="D66" s="2256"/>
      <c r="E66" s="2256"/>
      <c r="F66" s="2256"/>
      <c r="G66" s="2256"/>
      <c r="H66" s="2256"/>
      <c r="I66" s="2256"/>
      <c r="J66" s="2257"/>
    </row>
    <row r="67" spans="1:11" s="176" customFormat="1" ht="9" customHeight="1" x14ac:dyDescent="0.2">
      <c r="A67" s="249"/>
      <c r="B67" s="2258"/>
      <c r="C67" s="2259"/>
      <c r="D67" s="2259"/>
      <c r="E67" s="2259"/>
      <c r="F67" s="2259"/>
      <c r="G67" s="2259"/>
      <c r="H67" s="2259"/>
      <c r="I67" s="2259"/>
      <c r="J67" s="226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5" t="s">
        <v>1314</v>
      </c>
      <c r="B70" s="2248"/>
      <c r="C70" s="2248"/>
      <c r="D70" s="2248"/>
      <c r="E70" s="2249"/>
      <c r="F70" s="2249"/>
      <c r="G70" s="2249"/>
      <c r="H70" s="2249"/>
      <c r="I70" s="224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50" t="s">
        <v>1311</v>
      </c>
      <c r="B83" s="2250"/>
      <c r="C83" s="2250"/>
      <c r="D83" s="225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61" t="s">
        <v>1989</v>
      </c>
      <c r="B85" s="2261"/>
      <c r="C85" s="2261"/>
      <c r="D85" s="2262"/>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63" t="s">
        <v>1989</v>
      </c>
      <c r="B88" s="2264"/>
      <c r="C88" s="2264"/>
      <c r="D88" s="2265"/>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32"/>
      <c r="C102" s="2233"/>
      <c r="D102" s="2233"/>
      <c r="E102" s="2233"/>
      <c r="F102" s="2233"/>
      <c r="G102" s="2233"/>
      <c r="H102" s="2233"/>
      <c r="I102" s="2234"/>
    </row>
    <row r="103" spans="1:9" s="176" customFormat="1" ht="11.25" customHeight="1" x14ac:dyDescent="0.2">
      <c r="A103" s="294"/>
      <c r="B103" s="2235"/>
      <c r="C103" s="2236"/>
      <c r="D103" s="2236"/>
      <c r="E103" s="2236"/>
      <c r="F103" s="2236"/>
      <c r="G103" s="2236"/>
      <c r="H103" s="2236"/>
      <c r="I103" s="2237"/>
    </row>
    <row r="104" spans="1:9" s="176" customFormat="1" ht="11.25" customHeight="1" x14ac:dyDescent="0.2">
      <c r="A104" s="294"/>
      <c r="B104" s="2235"/>
      <c r="C104" s="2236"/>
      <c r="D104" s="2236"/>
      <c r="E104" s="2236"/>
      <c r="F104" s="2236"/>
      <c r="G104" s="2236"/>
      <c r="H104" s="2236"/>
      <c r="I104" s="2237"/>
    </row>
    <row r="105" spans="1:9" s="176" customFormat="1" x14ac:dyDescent="0.2">
      <c r="A105" s="294"/>
      <c r="B105" s="2235"/>
      <c r="C105" s="2236"/>
      <c r="D105" s="2236"/>
      <c r="E105" s="2236"/>
      <c r="F105" s="2236"/>
      <c r="G105" s="2236"/>
      <c r="H105" s="2236"/>
      <c r="I105" s="2237"/>
    </row>
    <row r="106" spans="1:9" s="176" customFormat="1" ht="11.25" customHeight="1" x14ac:dyDescent="0.2">
      <c r="A106" s="294"/>
      <c r="B106" s="2235"/>
      <c r="C106" s="2236"/>
      <c r="D106" s="2236"/>
      <c r="E106" s="2236"/>
      <c r="F106" s="2236"/>
      <c r="G106" s="2236"/>
      <c r="H106" s="2236"/>
      <c r="I106" s="2237"/>
    </row>
    <row r="107" spans="1:9" s="176" customFormat="1" ht="11.25" customHeight="1" x14ac:dyDescent="0.2">
      <c r="A107" s="294"/>
      <c r="B107" s="2235"/>
      <c r="C107" s="2236"/>
      <c r="D107" s="2236"/>
      <c r="E107" s="2236"/>
      <c r="F107" s="2236"/>
      <c r="G107" s="2236"/>
      <c r="H107" s="2236"/>
      <c r="I107" s="2237"/>
    </row>
    <row r="108" spans="1:9" s="176" customFormat="1" ht="11.25" customHeight="1" x14ac:dyDescent="0.2">
      <c r="A108" s="294"/>
      <c r="B108" s="2235"/>
      <c r="C108" s="2236"/>
      <c r="D108" s="2236"/>
      <c r="E108" s="2236"/>
      <c r="F108" s="2236"/>
      <c r="G108" s="2236"/>
      <c r="H108" s="2236"/>
      <c r="I108" s="2237"/>
    </row>
    <row r="109" spans="1:9" s="176" customFormat="1" ht="11.25" customHeight="1" x14ac:dyDescent="0.2">
      <c r="A109" s="294"/>
      <c r="B109" s="2235"/>
      <c r="C109" s="2236"/>
      <c r="D109" s="2236"/>
      <c r="E109" s="2236"/>
      <c r="F109" s="2236"/>
      <c r="G109" s="2236"/>
      <c r="H109" s="2236"/>
      <c r="I109" s="2237"/>
    </row>
    <row r="110" spans="1:9" s="176" customFormat="1" ht="11.25" customHeight="1" x14ac:dyDescent="0.2">
      <c r="A110" s="294"/>
      <c r="B110" s="2235"/>
      <c r="C110" s="2236"/>
      <c r="D110" s="2236"/>
      <c r="E110" s="2236"/>
      <c r="F110" s="2236"/>
      <c r="G110" s="2236"/>
      <c r="H110" s="2236"/>
      <c r="I110" s="2237"/>
    </row>
    <row r="111" spans="1:9" s="176" customFormat="1" ht="11.25" customHeight="1" x14ac:dyDescent="0.2">
      <c r="A111" s="294"/>
      <c r="B111" s="2235"/>
      <c r="C111" s="2236"/>
      <c r="D111" s="2236"/>
      <c r="E111" s="2236"/>
      <c r="F111" s="2236"/>
      <c r="G111" s="2236"/>
      <c r="H111" s="2236"/>
      <c r="I111" s="2237"/>
    </row>
    <row r="112" spans="1:9" s="176" customFormat="1" ht="11.25" customHeight="1" x14ac:dyDescent="0.2">
      <c r="A112" s="294"/>
      <c r="B112" s="2238"/>
      <c r="C112" s="2239"/>
      <c r="D112" s="2239"/>
      <c r="E112" s="2239"/>
      <c r="F112" s="2239"/>
      <c r="G112" s="2239"/>
      <c r="H112" s="2239"/>
      <c r="I112" s="224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1" t="s">
        <v>2019</v>
      </c>
      <c r="D114" s="224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2" t="s">
        <v>1321</v>
      </c>
      <c r="D117" s="2243"/>
      <c r="E117" s="2244"/>
      <c r="F117" s="2244"/>
      <c r="G117" s="2244"/>
      <c r="H117" s="2244"/>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27400517-D544-41E2-9D13-0D8FC40AA704}" colorId="8" showGridLines="0" hiddenRows="1">
      <selection activeCell="R110" sqref="R110"/>
      <pageMargins left="0.75" right="0.75" top="0.65" bottom="0.5" header="0.5" footer="0.5"/>
      <printOptions horizontalCentered="1"/>
      <pageSetup scale="48" firstPageNumber="2" orientation="portrait" r:id="rId1"/>
      <headerFooter>
        <oddHeader>&amp;C&amp;"Times New Roman,Regular"REGION III SPECIAL EDUCATION COOPERATIVE</oddHeader>
        <oddFooter>&amp;C&amp;"Times New Roman,Regular"
&amp;P</oddFooter>
      </headerFooter>
    </customSheetView>
    <customSheetView guid="{00BB9B19-FC1B-492E-A95E-CC052A0B5070}" colorId="8" showGridLines="0" hiddenRows="1">
      <selection activeCell="R110" sqref="R110"/>
      <pageMargins left="0.75" right="0.75" top="0.65" bottom="0.5" header="0.5" footer="0.5"/>
      <printOptions horizontalCentered="1"/>
      <pageSetup scale="48" firstPageNumber="2" orientation="portrait" r:id="rId2"/>
      <headerFooter>
        <oddHeader>&amp;C&amp;"Times New Roman,Regular"REGION III SPECIAL EDUCATION COOPERATIVE</oddHeader>
        <oddFooter>&amp;C&amp;"Times New Roman,Regular"
&amp;P</oddFooter>
      </headerFooter>
    </customSheetView>
    <customSheetView guid="{DCE9EA22-7307-4505-BC41-9954A9C79245}" colorId="8" showGridLines="0" hiddenRows="1">
      <selection activeCell="R110" sqref="R110"/>
      <pageMargins left="0.75" right="0.75" top="0.65" bottom="0.5" header="0.5" footer="0.5"/>
      <printOptions horizontalCentered="1"/>
      <pageSetup scale="48" firstPageNumber="2" orientation="portrait" r:id="rId3"/>
      <headerFooter>
        <oddHeader>&amp;C&amp;"Times New Roman,Regular"REGION III SPECIAL EDUCATION COOPERATIVE</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75" right="0.75" top="0.65" bottom="0.5" header="0.5" footer="0.5"/>
  <pageSetup scale="48" firstPageNumber="2" orientation="portrait" r:id="rId4"/>
  <headerFooter>
    <oddHeader>&amp;C&amp;"Times New Roman,Regular"REGION III SPECIAL EDUCATION COOPERATIVE</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P32" sqref="P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6" t="s">
        <v>383</v>
      </c>
      <c r="B1" s="2266"/>
      <c r="C1" s="2266"/>
      <c r="D1" s="2266"/>
      <c r="E1" s="2266"/>
      <c r="F1" s="2266"/>
      <c r="G1" s="2266"/>
      <c r="H1" s="2266"/>
      <c r="I1" s="2266"/>
      <c r="J1" s="2266"/>
      <c r="K1" s="2266"/>
      <c r="L1" s="2266"/>
      <c r="M1" s="226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276" t="str">
        <f>IF(SUM(J10)&lt;=0.0999999,"","Enter the Tax Rates by moving the decimal two places to the left.")</f>
        <v/>
      </c>
      <c r="E11" s="2277"/>
      <c r="F11" s="2277"/>
      <c r="G11" s="2277"/>
      <c r="H11" s="2277"/>
      <c r="I11" s="2277"/>
      <c r="J11" s="227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5226575</v>
      </c>
      <c r="E16" s="1597"/>
      <c r="F16" s="1596">
        <f>SUM('Acct Summary 7-8'!C17,'Acct Summary 7-8'!D17,'Acct Summary 7-8'!F17)</f>
        <v>5114423</v>
      </c>
      <c r="G16" s="1597"/>
      <c r="H16" s="1596">
        <f>SUM(D16-F16)</f>
        <v>112152</v>
      </c>
      <c r="I16" s="1598"/>
      <c r="J16" s="1596">
        <f>SUM('Acct Summary 7-8'!C81,'Acct Summary 7-8'!D81,'Acct Summary 7-8'!F81,'Acct Summary 7-8'!I81)</f>
        <v>628559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7"/>
      <c r="C54" s="2268"/>
      <c r="D54" s="2268"/>
      <c r="E54" s="2268"/>
      <c r="F54" s="2268"/>
      <c r="G54" s="2268"/>
      <c r="H54" s="2268"/>
      <c r="I54" s="2268"/>
      <c r="J54" s="2268"/>
      <c r="K54" s="2268"/>
      <c r="L54" s="2269"/>
      <c r="M54" s="357"/>
    </row>
    <row r="55" spans="1:13" ht="12.75" customHeight="1" x14ac:dyDescent="0.2">
      <c r="B55" s="2270"/>
      <c r="C55" s="2271"/>
      <c r="D55" s="2271"/>
      <c r="E55" s="2271"/>
      <c r="F55" s="2271"/>
      <c r="G55" s="2271"/>
      <c r="H55" s="2271"/>
      <c r="I55" s="2271"/>
      <c r="J55" s="2271"/>
      <c r="K55" s="2271"/>
      <c r="L55" s="2272"/>
      <c r="M55" s="357"/>
    </row>
    <row r="56" spans="1:13" ht="12.75" customHeight="1" x14ac:dyDescent="0.2">
      <c r="B56" s="2270"/>
      <c r="C56" s="2271"/>
      <c r="D56" s="2271"/>
      <c r="E56" s="2271"/>
      <c r="F56" s="2271"/>
      <c r="G56" s="2271"/>
      <c r="H56" s="2271"/>
      <c r="I56" s="2271"/>
      <c r="J56" s="2271"/>
      <c r="K56" s="2271"/>
      <c r="L56" s="2272"/>
      <c r="M56" s="217"/>
    </row>
    <row r="57" spans="1:13" ht="12.75" customHeight="1" x14ac:dyDescent="0.2">
      <c r="B57" s="2270"/>
      <c r="C57" s="2271"/>
      <c r="D57" s="2271"/>
      <c r="E57" s="2271"/>
      <c r="F57" s="2271"/>
      <c r="G57" s="2271"/>
      <c r="H57" s="2271"/>
      <c r="I57" s="2271"/>
      <c r="J57" s="2271"/>
      <c r="K57" s="2271"/>
      <c r="L57" s="2272"/>
      <c r="M57" s="217"/>
    </row>
    <row r="58" spans="1:13" x14ac:dyDescent="0.2">
      <c r="B58" s="2273"/>
      <c r="C58" s="2274"/>
      <c r="D58" s="2274"/>
      <c r="E58" s="2274"/>
      <c r="F58" s="2274"/>
      <c r="G58" s="2274"/>
      <c r="H58" s="2274"/>
      <c r="I58" s="2274"/>
      <c r="J58" s="2274"/>
      <c r="K58" s="2274"/>
      <c r="L58" s="227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8"/>
      <c r="D61" s="227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customSheetViews>
    <customSheetView guid="{27400517-D544-41E2-9D13-0D8FC40AA704}" scale="60" colorId="8" showPageBreaks="1" showGridLines="0" hiddenRows="1" view="pageBreakPreview">
      <selection activeCell="P32" sqref="P32"/>
      <pageMargins left="0.75" right="0.75" top="1" bottom="0.5" header="0.5" footer="0.5"/>
      <printOptions horizontalCentered="1"/>
      <pageSetup scale="90" firstPageNumber="3" orientation="portrait" r:id="rId1"/>
      <headerFooter>
        <oddHeader>&amp;C&amp;"Times New Roman,Regular"REGION III SPECIAL EDUCATION COOPERATIVE</oddHeader>
        <oddFooter>&amp;C&amp;"Times New Roman,Regular"
&amp;P</oddFooter>
      </headerFooter>
    </customSheetView>
    <customSheetView guid="{00BB9B19-FC1B-492E-A95E-CC052A0B5070}" scale="60" colorId="8" showPageBreaks="1" showGridLines="0" hiddenRows="1" view="pageBreakPreview">
      <selection activeCell="P32" sqref="P32"/>
      <pageMargins left="0.75" right="0.75" top="1" bottom="0.5" header="0.5" footer="0.5"/>
      <printOptions horizontalCentered="1"/>
      <pageSetup scale="90" firstPageNumber="3" orientation="portrait" r:id="rId2"/>
      <headerFooter>
        <oddHeader>&amp;C&amp;"Times New Roman,Regular"REGION III SPECIAL EDUCATION COOPERATIVE</oddHeader>
        <oddFooter>&amp;C&amp;"Times New Roman,Regular"
&amp;P</oddFooter>
      </headerFooter>
    </customSheetView>
    <customSheetView guid="{DCE9EA22-7307-4505-BC41-9954A9C79245}" scale="60" colorId="8" showPageBreaks="1" showGridLines="0" hiddenRows="1" view="pageBreakPreview">
      <selection activeCell="P32" sqref="P32"/>
      <pageMargins left="0.75" right="0.75" top="1" bottom="0.5" header="0.5" footer="0.5"/>
      <printOptions horizontalCentered="1"/>
      <pageSetup scale="90" firstPageNumber="3" orientation="portrait" r:id="rId3"/>
      <headerFooter>
        <oddHeader>&amp;C&amp;"Times New Roman,Regular"REGION III SPECIAL EDUCATION COOPERATIVE</oddHeader>
        <oddFooter>&amp;C&amp;"Times New Roman,Regular"
&amp;P</oddFooter>
      </headerFooter>
    </customSheetView>
  </customSheetViews>
  <mergeCells count="4">
    <mergeCell ref="A1:M1"/>
    <mergeCell ref="B54:L58"/>
    <mergeCell ref="D11:J11"/>
    <mergeCell ref="C61:D61"/>
  </mergeCells>
  <phoneticPr fontId="15" type="noConversion"/>
  <printOptions horizontalCentered="1"/>
  <pageMargins left="0.75" right="0.75" top="1" bottom="0.5" header="0.5" footer="0.5"/>
  <pageSetup scale="90" firstPageNumber="3" orientation="portrait" r:id="rId4"/>
  <headerFooter>
    <oddHeader>&amp;C&amp;"Times New Roman,Regular"REGION III SPECIAL EDUCATION COOPERATIVE</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U20" sqref="U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1"/>
      <c r="B1" s="2282"/>
      <c r="C1" s="2282"/>
      <c r="D1" s="361"/>
      <c r="E1" s="361"/>
      <c r="F1" s="361"/>
      <c r="G1" s="361"/>
      <c r="H1" s="361"/>
      <c r="I1" s="361"/>
      <c r="J1" s="361"/>
      <c r="K1" s="361"/>
      <c r="L1" s="361"/>
      <c r="M1" s="361"/>
      <c r="N1" s="361"/>
      <c r="O1" s="2281"/>
      <c r="P1" s="2282"/>
      <c r="Q1" s="2282"/>
    </row>
    <row r="2" spans="1:18" ht="15" x14ac:dyDescent="0.2">
      <c r="A2" s="2285" t="s">
        <v>552</v>
      </c>
      <c r="B2" s="2285"/>
      <c r="C2" s="2285"/>
      <c r="D2" s="2285"/>
      <c r="E2" s="2285"/>
      <c r="F2" s="2285"/>
      <c r="G2" s="2285"/>
      <c r="H2" s="2285"/>
      <c r="I2" s="2285"/>
      <c r="J2" s="2285"/>
      <c r="K2" s="2285"/>
      <c r="L2" s="2285"/>
      <c r="M2" s="2285"/>
      <c r="N2" s="2285"/>
      <c r="O2" s="2285"/>
      <c r="P2" s="2285"/>
      <c r="Q2" s="2285"/>
      <c r="R2" s="2285"/>
    </row>
    <row r="3" spans="1:18" ht="12.75" x14ac:dyDescent="0.2">
      <c r="A3" s="2286" t="s">
        <v>1399</v>
      </c>
      <c r="B3" s="2286"/>
      <c r="C3" s="2286"/>
      <c r="D3" s="2286"/>
      <c r="E3" s="2286"/>
      <c r="F3" s="2286"/>
      <c r="G3" s="2286"/>
      <c r="H3" s="2286"/>
      <c r="I3" s="2286"/>
      <c r="J3" s="2286"/>
      <c r="K3" s="2286"/>
      <c r="L3" s="2286"/>
      <c r="M3" s="2286"/>
      <c r="N3" s="2286"/>
      <c r="O3" s="2286"/>
      <c r="P3" s="2286"/>
      <c r="Q3" s="2286"/>
      <c r="R3" s="2286"/>
    </row>
    <row r="4" spans="1:18" x14ac:dyDescent="0.2">
      <c r="A4" s="2287" t="s">
        <v>1540</v>
      </c>
      <c r="B4" s="2287"/>
      <c r="C4" s="2287"/>
      <c r="D4" s="2287"/>
      <c r="E4" s="2287"/>
      <c r="F4" s="2287"/>
      <c r="G4" s="2287"/>
      <c r="H4" s="2287"/>
      <c r="I4" s="2287"/>
      <c r="J4" s="2287"/>
      <c r="K4" s="2287"/>
      <c r="L4" s="2287"/>
      <c r="M4" s="2287"/>
      <c r="N4" s="2287"/>
      <c r="O4" s="2287"/>
      <c r="P4" s="2287"/>
      <c r="Q4" s="2287"/>
      <c r="R4" s="228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Region III Special Ed Co-op</v>
      </c>
      <c r="E7" s="368"/>
      <c r="G7" s="247"/>
      <c r="H7" s="364"/>
      <c r="I7" s="364"/>
      <c r="J7" s="364"/>
      <c r="K7" s="364"/>
      <c r="L7" s="307"/>
      <c r="M7" s="307"/>
      <c r="N7" s="307"/>
      <c r="O7" s="307"/>
      <c r="P7" s="307"/>
    </row>
    <row r="8" spans="1:18" ht="12.75" x14ac:dyDescent="0.2">
      <c r="A8" s="307"/>
      <c r="B8" s="307"/>
      <c r="C8" s="366" t="s">
        <v>1117</v>
      </c>
      <c r="D8" s="369">
        <f>COVER!A13</f>
        <v>41057801060</v>
      </c>
      <c r="E8" s="370"/>
      <c r="G8" s="307"/>
      <c r="H8" s="307"/>
      <c r="I8" s="307"/>
      <c r="J8" s="307"/>
      <c r="K8" s="307"/>
      <c r="L8" s="307"/>
      <c r="M8" s="307"/>
      <c r="N8" s="307"/>
      <c r="O8" s="307"/>
      <c r="P8" s="307"/>
    </row>
    <row r="9" spans="1:18" ht="12.75" x14ac:dyDescent="0.2">
      <c r="A9" s="307"/>
      <c r="B9" s="307"/>
      <c r="C9" s="366" t="s">
        <v>708</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3</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628559</v>
      </c>
      <c r="I12" s="380"/>
      <c r="J12" s="380"/>
      <c r="K12" s="1609">
        <f>TRUNC((H12/H13*100000),5)/100000</f>
        <v>0.1202621219</v>
      </c>
      <c r="L12" s="381"/>
      <c r="M12" s="337" t="s">
        <v>1136</v>
      </c>
      <c r="N12" s="337"/>
      <c r="O12" s="1612">
        <v>0.35</v>
      </c>
      <c r="P12" s="213"/>
      <c r="Q12" s="213"/>
    </row>
    <row r="13" spans="1:18" s="382" customFormat="1" ht="12.75" x14ac:dyDescent="0.2">
      <c r="A13" s="213"/>
      <c r="B13" s="377"/>
      <c r="C13" s="2283" t="s">
        <v>1315</v>
      </c>
      <c r="D13" s="2284"/>
      <c r="E13" s="213"/>
      <c r="F13" s="383" t="s">
        <v>788</v>
      </c>
      <c r="G13" s="378"/>
      <c r="H13" s="1601">
        <f>SUM('Acct Summary 7-8'!C8+'Acct Summary 7-8'!D8+'Acct Summary 7-8'!F8+'Acct Summary 7-8'!I8)+H14</f>
        <v>5226575</v>
      </c>
      <c r="I13" s="380"/>
      <c r="J13" s="380"/>
      <c r="K13" s="1608"/>
      <c r="L13" s="213"/>
      <c r="M13" s="337" t="s">
        <v>1137</v>
      </c>
      <c r="N13" s="337"/>
      <c r="O13" s="1613">
        <f>(O11*O12)</f>
        <v>1.0499999999999998</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5114423</v>
      </c>
      <c r="I17" s="380"/>
      <c r="J17" s="389"/>
      <c r="K17" s="1609">
        <f>TRUNC((H17/H18*100000),5)/100000</f>
        <v>0.97854197060000003</v>
      </c>
      <c r="L17" s="381"/>
      <c r="M17" s="390" t="s">
        <v>1163</v>
      </c>
      <c r="O17" s="1615" t="str">
        <f>IF(AND(O16="2", J20 &gt; 2),"1",IF(AND(O16 = "1", J20 &gt; 2),"2",IF(AND(O16="1", J20 &gt;1),"1","0")))</f>
        <v>0</v>
      </c>
      <c r="P17" s="213"/>
    </row>
    <row r="18" spans="1:18" s="382" customFormat="1" ht="11.25" x14ac:dyDescent="0.2">
      <c r="A18" s="213"/>
      <c r="B18" s="377"/>
      <c r="C18" s="2283" t="s">
        <v>1308</v>
      </c>
      <c r="D18" s="2284"/>
      <c r="E18" s="213"/>
      <c r="F18" s="391" t="s">
        <v>789</v>
      </c>
      <c r="G18" s="378"/>
      <c r="H18" s="1601">
        <f>SUM('Acct Summary 7-8'!C8+'Acct Summary 7-8'!D8+'Acct Summary 7-8'!F8+'Acct Summary 7-8'!I8)+H19</f>
        <v>5226575</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2</v>
      </c>
      <c r="P23" s="211"/>
      <c r="R23" s="361"/>
    </row>
    <row r="24" spans="1:18" s="382" customFormat="1" ht="11.25" x14ac:dyDescent="0.2">
      <c r="A24" s="213"/>
      <c r="B24" s="377"/>
      <c r="C24" s="2280" t="s">
        <v>1398</v>
      </c>
      <c r="D24" s="2280"/>
      <c r="E24" s="213"/>
      <c r="F24" s="213" t="s">
        <v>442</v>
      </c>
      <c r="G24" s="378"/>
      <c r="H24" s="1601">
        <f>SUM('Assets-Liab 5-6'!C4+'Assets-Liab 5-6'!D4+'Assets-Liab 5-6'!F4+'Assets-Liab 5-6'!I4+'Assets-Liab 5-6'!C5+'Assets-Liab 5-6'!D5+'Assets-Liab 5-6'!F5+'Assets-Liab 5-6'!I5)</f>
        <v>617265</v>
      </c>
      <c r="I24" s="394"/>
      <c r="J24" s="394"/>
      <c r="K24" s="1605">
        <f>TRUNC(((H24/H25*100000)/100000),2)</f>
        <v>43.44</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14206.73056</v>
      </c>
      <c r="I25" s="396"/>
      <c r="J25" s="396"/>
      <c r="K25" s="1608"/>
      <c r="L25" s="213"/>
      <c r="M25" s="337" t="s">
        <v>1137</v>
      </c>
      <c r="N25" s="337"/>
      <c r="O25" s="1613">
        <f>O23*O24</f>
        <v>0.2</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27400517-D544-41E2-9D13-0D8FC40AA704}" scale="60" showPageBreaks="1" showGridLines="0" printArea="1" hiddenColumns="1" view="pageBreakPreview">
      <selection activeCell="U20" sqref="U20"/>
      <pageMargins left="0.75" right="0.75" top="1" bottom="0.5" header="0.5" footer="0.5"/>
      <printOptions horizontalCentered="1"/>
      <pageSetup scale="80" firstPageNumber="4" orientation="landscape" r:id="rId1"/>
      <headerFooter>
        <oddHeader>&amp;C&amp;"Times New Roman,Regular"REGION III SPECIAL EDUCATION COOPERATIVE</oddHeader>
        <oddFooter>&amp;C&amp;"Times New Roman,Regular"
&amp;P</oddFooter>
      </headerFooter>
    </customSheetView>
    <customSheetView guid="{00BB9B19-FC1B-492E-A95E-CC052A0B5070}" scale="60" showPageBreaks="1" showGridLines="0" printArea="1" hiddenColumns="1" view="pageBreakPreview">
      <selection activeCell="U20" sqref="U20"/>
      <pageMargins left="0.75" right="0.75" top="1" bottom="0.5" header="0.5" footer="0.5"/>
      <printOptions horizontalCentered="1"/>
      <pageSetup scale="80" firstPageNumber="4" orientation="landscape" r:id="rId2"/>
      <headerFooter>
        <oddHeader>&amp;C&amp;"Times New Roman,Regular"REGION III SPECIAL EDUCATION COOPERATIVE</oddHeader>
        <oddFooter>&amp;C&amp;"Times New Roman,Regular"
&amp;P</oddFooter>
      </headerFooter>
    </customSheetView>
    <customSheetView guid="{DCE9EA22-7307-4505-BC41-9954A9C79245}" scale="60" showPageBreaks="1" showGridLines="0" printArea="1" hiddenColumns="1" view="pageBreakPreview">
      <selection activeCell="U20" sqref="U20"/>
      <pageMargins left="0.75" right="0.75" top="1" bottom="0.5" header="0.5" footer="0.5"/>
      <printOptions horizontalCentered="1"/>
      <pageSetup scale="80" firstPageNumber="4" orientation="landscape" r:id="rId3"/>
      <headerFooter>
        <oddHeader>&amp;C&amp;"Times New Roman,Regular"REGION III SPECIAL EDUCATION COOPERATIVE</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5" type="noConversion"/>
  <hyperlinks>
    <hyperlink ref="A4" r:id="rId4" display="www.isbe.net/sfms/p/profile.htm" xr:uid="{00000000-0004-0000-0400-000000000000}"/>
    <hyperlink ref="A4:R4" r:id="rId5" display="https://www.isbe.net/Pages/School-District-Financial-Profile.aspx" xr:uid="{00000000-0004-0000-0400-000001000000}"/>
  </hyperlinks>
  <printOptions horizontalCentered="1"/>
  <pageMargins left="0.75" right="0.75" top="1" bottom="0.5" header="0.5" footer="0.5"/>
  <pageSetup scale="80" firstPageNumber="4" orientation="landscape" r:id="rId6"/>
  <headerFooter>
    <oddHeader>&amp;C&amp;"Times New Roman,Regular"REGION III SPECIAL EDUCATION COOPERATIVE</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G1" colorId="8" zoomScale="110" zoomScaleNormal="110" workbookViewId="0">
      <pane ySplit="2" topLeftCell="A26" activePane="bottomLeft" state="frozen"/>
      <selection activeCell="A17" sqref="A17:H17"/>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90" t="s">
        <v>967</v>
      </c>
      <c r="B3" s="2291"/>
      <c r="C3" s="1351"/>
      <c r="D3" s="1352"/>
      <c r="E3" s="1352"/>
      <c r="F3" s="1352"/>
      <c r="G3" s="1352"/>
      <c r="H3" s="1352"/>
      <c r="I3" s="1352"/>
      <c r="J3" s="1352"/>
      <c r="K3" s="1352"/>
      <c r="L3" s="1352"/>
      <c r="M3" s="1353"/>
      <c r="N3" s="1354"/>
    </row>
    <row r="4" spans="1:14" ht="13.5" customHeight="1" x14ac:dyDescent="0.2">
      <c r="A4" s="427" t="s">
        <v>1635</v>
      </c>
      <c r="B4" s="428"/>
      <c r="C4" s="1622">
        <v>617265</v>
      </c>
      <c r="D4" s="1623"/>
      <c r="E4" s="1623"/>
      <c r="F4" s="1623"/>
      <c r="G4" s="1623"/>
      <c r="H4" s="1623"/>
      <c r="I4" s="1623"/>
      <c r="J4" s="1624"/>
      <c r="K4" s="1623"/>
      <c r="L4" s="1623"/>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v>456101</v>
      </c>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1073366</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292" t="s">
        <v>146</v>
      </c>
      <c r="B14" s="2293"/>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44150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191272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17402</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7859</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260683</v>
      </c>
      <c r="N23" s="1644">
        <f>SUM(N21:N22)</f>
        <v>0</v>
      </c>
    </row>
    <row r="24" spans="1:14" ht="18" customHeight="1" thickTop="1" x14ac:dyDescent="0.2">
      <c r="A24" s="2294" t="s">
        <v>594</v>
      </c>
      <c r="B24" s="2295"/>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v>423833</v>
      </c>
      <c r="D26" s="1624"/>
      <c r="E26" s="1624"/>
      <c r="F26" s="1624"/>
      <c r="G26" s="1624"/>
      <c r="H26" s="1624"/>
      <c r="I26" s="1624"/>
      <c r="J26" s="1629"/>
      <c r="K26" s="1624"/>
      <c r="L26" s="1625"/>
      <c r="M26" s="1625"/>
      <c r="N26" s="1625"/>
    </row>
    <row r="27" spans="1:14" ht="13.5" customHeight="1" x14ac:dyDescent="0.2">
      <c r="A27" s="430" t="s">
        <v>642</v>
      </c>
      <c r="B27" s="429">
        <v>430</v>
      </c>
      <c r="C27" s="1624">
        <v>20974</v>
      </c>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c r="M33" s="1625"/>
      <c r="N33" s="1626"/>
    </row>
    <row r="34" spans="1:14" ht="13.5" customHeight="1" thickBot="1" x14ac:dyDescent="0.25">
      <c r="A34" s="1476" t="s">
        <v>649</v>
      </c>
      <c r="B34" s="1477"/>
      <c r="C34" s="1650">
        <f>SUM(C25:C33)</f>
        <v>444807</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296" t="s">
        <v>526</v>
      </c>
      <c r="B35" s="2297"/>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628559</v>
      </c>
      <c r="D39" s="1623"/>
      <c r="E39" s="1623"/>
      <c r="F39" s="1623"/>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260683</v>
      </c>
      <c r="N40" s="1654"/>
    </row>
    <row r="41" spans="1:14" ht="13.5" customHeight="1" thickBot="1" x14ac:dyDescent="0.25">
      <c r="A41" s="1475" t="s">
        <v>650</v>
      </c>
      <c r="B41" s="1454"/>
      <c r="C41" s="1644">
        <f>(SUM(C34,C37,C38,C39))</f>
        <v>1073366</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260683</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27400517-D544-41E2-9D13-0D8FC40AA704}" scale="60" colorId="8" showPageBreaks="1" showGridLines="0" view="pageBreakPreview">
      <pane ySplit="2" topLeftCell="A3" activePane="bottomLeft" state="frozen"/>
      <selection pane="bottomLeft" activeCell="M61" sqref="M61"/>
      <pageMargins left="0.75" right="0.75" top="1" bottom="0.5" header="0.5" footer="0.5"/>
      <printOptions horizontalCentered="1"/>
      <pageSetup scale="56" firstPageNumber="13" orientation="landscape" useFirstPageNumber="1" r:id="rId1"/>
      <headerFooter>
        <oddHeader xml:space="preserve">&amp;C&amp;"Times New Roman,Regular"REGION III SPECIAL EDUCATION COOPERATIVE
STATEMENT OF POSITION - MODIFIED ACCRUAL - REGULATORY BASIS
ALL FUNDS AND ACCOUNT GROUPS
JUNE 30, 2020
</oddHeader>
        <oddFooter>&amp;C&amp;"Times New Roman,Regular"See Notes to Financial Statements and Independent Auditor’s Reports
&amp;P</oddFooter>
      </headerFooter>
    </customSheetView>
    <customSheetView guid="{00BB9B19-FC1B-492E-A95E-CC052A0B5070}" scale="60" colorId="8" showPageBreaks="1" showGridLines="0" view="pageBreakPreview">
      <pane ySplit="2" topLeftCell="A3" activePane="bottomLeft" state="frozen"/>
      <selection pane="bottomLeft" activeCell="M61" sqref="M61"/>
      <pageMargins left="0.75" right="0.75" top="1" bottom="0.5" header="0.5" footer="0.5"/>
      <printOptions horizontalCentered="1"/>
      <pageSetup scale="56" firstPageNumber="13" orientation="landscape" useFirstPageNumber="1" r:id="rId2"/>
      <headerFooter>
        <oddHeader xml:space="preserve">&amp;C&amp;"Times New Roman,Regular"REGION III SPECIAL EDUCATION COOPERATIVE
STATEMENT OF POSITION - MODIFIED ACCRUAL - REGULATORY BASIS
ALL FUNDS AND ACCOUNT GROUPS
JUNE 30, 2020
</oddHeader>
        <oddFooter>&amp;C&amp;"Times New Roman,Regular"See Notes to Financial Statements and Independent Auditor’s Reports
&amp;P</oddFooter>
      </headerFooter>
    </customSheetView>
    <customSheetView guid="{DCE9EA22-7307-4505-BC41-9954A9C79245}" scale="60" colorId="8" showPageBreaks="1" showGridLines="0" view="pageBreakPreview">
      <pane ySplit="2" topLeftCell="A3" activePane="bottomLeft" state="frozen"/>
      <selection pane="bottomLeft" activeCell="M61" sqref="M61"/>
      <pageMargins left="0.75" right="0.75" top="1" bottom="0.5" header="0.5" footer="0.5"/>
      <printOptions horizontalCentered="1"/>
      <pageSetup scale="56" firstPageNumber="13" orientation="landscape" useFirstPageNumber="1" r:id="rId3"/>
      <headerFooter>
        <oddHeader xml:space="preserve">&amp;C&amp;"Times New Roman,Regular"REGION III SPECIAL EDUCATION COOPERATIVE
STATEMENT OF POSITION - MODIFIED ACCRUAL - REGULATORY BASIS
ALL FUNDS AND ACCOUNT GROUPS
JUNE 30, 2020
</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5" type="noConversion"/>
  <printOptions horizontalCentered="1" gridLinesSet="0"/>
  <pageMargins left="0.75" right="0.75" top="1" bottom="0.5" header="0.5" footer="0.5"/>
  <pageSetup scale="56" firstPageNumber="13" orientation="landscape" useFirstPageNumber="1" r:id="rId4"/>
  <headerFooter>
    <oddHeader xml:space="preserve">&amp;C&amp;"Times New Roman,Regular"REGION III SPECIAL EDUCATION COOPERATIVE
STATEMENT OF POSITION - MODIFIED ACCRUAL - REGULATORY BASIS
ALL FUNDS AND ACCOUNT GROUPS
JUNE 30, 2020
</oddHeader>
    <oddFooter>&amp;C&amp;"Times New Roman,Regular"See Notes to Financial Statements and Independent Auditor’s Reports
&amp;P</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63" activePane="bottomLeft" state="frozen"/>
      <selection activeCell="A17" sqref="A17:H17"/>
      <selection pane="bottomLeft" activeCell="D20" sqref="D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8" t="s">
        <v>1167</v>
      </c>
      <c r="B3" s="2319"/>
      <c r="C3" s="1356"/>
      <c r="D3" s="1357"/>
      <c r="E3" s="1357"/>
      <c r="F3" s="1357"/>
      <c r="G3" s="1357"/>
      <c r="H3" s="1357"/>
      <c r="I3" s="1357"/>
      <c r="J3" s="1357"/>
      <c r="K3" s="1358"/>
      <c r="L3" s="446"/>
    </row>
    <row r="4" spans="1:13" ht="15.75" customHeight="1" x14ac:dyDescent="0.2">
      <c r="A4" s="1587" t="s">
        <v>1485</v>
      </c>
      <c r="B4" s="1588">
        <v>1000</v>
      </c>
      <c r="C4" s="1656">
        <f>'Revenues 9-14'!C109</f>
        <v>2295079</v>
      </c>
      <c r="D4" s="1656">
        <f>'Revenues 9-14'!D109</f>
        <v>0</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2227476</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336066</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367954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5226575</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v>855780</v>
      </c>
      <c r="D9" s="1663"/>
      <c r="E9" s="1636"/>
      <c r="F9" s="1636"/>
      <c r="G9" s="1664"/>
      <c r="H9" s="1636"/>
      <c r="I9" s="1659" t="s">
        <v>1161</v>
      </c>
      <c r="J9" s="1633"/>
      <c r="K9" s="1636"/>
      <c r="L9" s="325"/>
    </row>
    <row r="10" spans="1:13" s="452" customFormat="1" ht="13.5" thickBot="1" x14ac:dyDescent="0.25">
      <c r="A10" s="1475" t="s">
        <v>1165</v>
      </c>
      <c r="B10" s="1456"/>
      <c r="C10" s="1644">
        <f>SUM(C8:C9)</f>
        <v>6082355</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292" t="s">
        <v>1168</v>
      </c>
      <c r="B11" s="2293"/>
      <c r="C11" s="1652"/>
      <c r="D11" s="1653"/>
      <c r="E11" s="1653"/>
      <c r="F11" s="1653"/>
      <c r="G11" s="1653"/>
      <c r="H11" s="1653"/>
      <c r="I11" s="1653"/>
      <c r="J11" s="1653"/>
      <c r="K11" s="1665"/>
      <c r="L11" s="451"/>
    </row>
    <row r="12" spans="1:13" ht="15.75" customHeight="1" x14ac:dyDescent="0.2">
      <c r="A12" s="1359" t="s">
        <v>453</v>
      </c>
      <c r="B12" s="1361">
        <v>1000</v>
      </c>
      <c r="C12" s="1656">
        <f>'Expenditures 15-22'!K33</f>
        <v>1695508</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930853</v>
      </c>
      <c r="D13" s="1657">
        <f>'Expenditures 15-22'!K129</f>
        <v>0</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2488062</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5114423</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855780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5970203</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308" t="s">
        <v>1639</v>
      </c>
      <c r="B20" s="2309"/>
      <c r="C20" s="1672">
        <f>C8-C17</f>
        <v>112152</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x14ac:dyDescent="0.2">
      <c r="A21" s="2320" t="s">
        <v>591</v>
      </c>
      <c r="B21" s="2321"/>
      <c r="C21" s="1652"/>
      <c r="D21" s="1653"/>
      <c r="E21" s="1653"/>
      <c r="F21" s="1653"/>
      <c r="G21" s="1653"/>
      <c r="H21" s="1653"/>
      <c r="I21" s="1653"/>
      <c r="J21" s="1653"/>
      <c r="K21" s="1665"/>
      <c r="L21" s="453"/>
    </row>
    <row r="22" spans="1:12" ht="15.75" customHeight="1" collapsed="1" x14ac:dyDescent="0.2">
      <c r="A22" s="2316" t="s">
        <v>592</v>
      </c>
      <c r="B22" s="2317"/>
      <c r="C22" s="1632"/>
      <c r="D22" s="1632"/>
      <c r="E22" s="1632"/>
      <c r="F22" s="1632"/>
      <c r="G22" s="1632"/>
      <c r="H22" s="1632"/>
      <c r="I22" s="1632"/>
      <c r="J22" s="1632"/>
      <c r="K22" s="1632"/>
      <c r="L22" s="325"/>
    </row>
    <row r="23" spans="1:12" s="433" customFormat="1" ht="15.75" customHeight="1" x14ac:dyDescent="0.2">
      <c r="A23" s="2312" t="s">
        <v>290</v>
      </c>
      <c r="B23" s="2313"/>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1771</v>
      </c>
      <c r="B30" s="455">
        <v>7160</v>
      </c>
      <c r="C30" s="1632"/>
      <c r="D30" s="1624"/>
      <c r="E30" s="1632"/>
      <c r="F30" s="1632"/>
      <c r="G30" s="1632"/>
      <c r="H30" s="1632"/>
      <c r="I30" s="1632"/>
      <c r="J30" s="1632"/>
      <c r="K30" s="1632"/>
      <c r="L30" s="453"/>
    </row>
    <row r="31" spans="1:12" s="433" customFormat="1" ht="26.25" x14ac:dyDescent="0.2">
      <c r="A31" s="1305" t="s">
        <v>1775</v>
      </c>
      <c r="B31" s="455">
        <v>7170</v>
      </c>
      <c r="C31" s="1632"/>
      <c r="D31" s="1632"/>
      <c r="E31" s="1629"/>
      <c r="F31" s="1632"/>
      <c r="G31" s="1632"/>
      <c r="H31" s="1632"/>
      <c r="I31" s="1632"/>
      <c r="J31" s="1632"/>
      <c r="K31" s="1632"/>
      <c r="L31" s="453"/>
    </row>
    <row r="32" spans="1:12" s="433" customFormat="1" ht="15.75" customHeight="1" x14ac:dyDescent="0.2">
      <c r="A32" s="2314" t="s">
        <v>974</v>
      </c>
      <c r="B32" s="2315"/>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322" t="s">
        <v>371</v>
      </c>
      <c r="B44" s="2323"/>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6" t="s">
        <v>108</v>
      </c>
      <c r="B45" s="2317"/>
      <c r="C45" s="1675"/>
      <c r="D45" s="1675"/>
      <c r="E45" s="1675"/>
      <c r="F45" s="1675"/>
      <c r="G45" s="1675"/>
      <c r="H45" s="1675"/>
      <c r="I45" s="1675"/>
      <c r="J45" s="1675"/>
      <c r="K45" s="1675"/>
      <c r="L45" s="325"/>
    </row>
    <row r="46" spans="1:12" s="433" customFormat="1" ht="15.75" customHeight="1" x14ac:dyDescent="0.2">
      <c r="A46" s="2324" t="s">
        <v>109</v>
      </c>
      <c r="B46" s="2325"/>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98" t="s">
        <v>437</v>
      </c>
      <c r="B76" s="2299"/>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300" t="s">
        <v>1169</v>
      </c>
      <c r="B77" s="2301"/>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304" t="s">
        <v>593</v>
      </c>
      <c r="B78" s="2305"/>
      <c r="C78" s="1679">
        <f t="shared" ref="C78:K78" si="9">C20+C77</f>
        <v>112152</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x14ac:dyDescent="0.2">
      <c r="A79" s="1902" t="str">
        <f>"Fund Balances - July 1, "&amp;'AFR20'!E2-1</f>
        <v>Fund Balances - July 1, 2019</v>
      </c>
      <c r="B79" s="458"/>
      <c r="C79" s="1633">
        <v>516407</v>
      </c>
      <c r="D79" s="1680"/>
      <c r="E79" s="1680"/>
      <c r="F79" s="1680"/>
      <c r="G79" s="1680"/>
      <c r="H79" s="1680"/>
      <c r="I79" s="1680"/>
      <c r="J79" s="1680"/>
      <c r="K79" s="1680"/>
      <c r="L79" s="325"/>
    </row>
    <row r="80" spans="1:12" x14ac:dyDescent="0.2">
      <c r="A80" s="2310" t="s">
        <v>1772</v>
      </c>
      <c r="B80" s="2311"/>
      <c r="C80" s="1624"/>
      <c r="D80" s="1624"/>
      <c r="E80" s="1624"/>
      <c r="F80" s="1624"/>
      <c r="G80" s="1624"/>
      <c r="H80" s="1624"/>
      <c r="I80" s="1624"/>
      <c r="J80" s="1624"/>
      <c r="K80" s="1624"/>
      <c r="L80" s="325"/>
    </row>
    <row r="81" spans="1:12" ht="13.5" thickBot="1" x14ac:dyDescent="0.25">
      <c r="A81" s="2302" t="str">
        <f>"Fund Balances - June 30, "&amp;'AFR20'!E2</f>
        <v>Fund Balances - June 30, 2020</v>
      </c>
      <c r="B81" s="2303"/>
      <c r="C81" s="1644">
        <f>(SUM(C78:C80))</f>
        <v>628559</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112152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0.17842716435529521</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27400517-D544-41E2-9D13-0D8FC40AA704}" colorId="8" showPageBreaks="1" showGridLines="0" printArea="1" hiddenRows="1" view="pageBreakPreview">
      <pane ySplit="2" topLeftCell="A54" activePane="bottomLeft" state="frozen"/>
      <selection pane="bottomLeft" activeCell="A17" sqref="A17:H17"/>
      <pageMargins left="0.75" right="0.75" top="1.25" bottom="0.5" header="0.5" footer="0.5"/>
      <printOptions horizontalCentered="1"/>
      <pageSetup scale="48" firstPageNumber="7" orientation="portrait" r:id="rId1"/>
      <headerFooter>
        <oddHeader xml:space="preserve">&amp;C&amp;"Times New Roman,Regular"REGION III SPECIAL EDUCATION COOPERATIVE
STATEMENT OF REVENUES, EXPENDITURES, OTHER SOURCES (USES), AND CHANGES IN FUND BALANCES - MODIFIED ACCRUAL - REGULATORY BASIS
ALL FUNDS
FOR THE YEAR ENDED JUNE 30, 2020
</oddHeader>
        <oddFooter>&amp;C&amp;"Times New Roman,Regular"See Notes to Financial Statements and Independent Auditor’s Reports
&amp;P</oddFooter>
      </headerFooter>
    </customSheetView>
    <customSheetView guid="{00BB9B19-FC1B-492E-A95E-CC052A0B5070}" colorId="8" showPageBreaks="1" showGridLines="0" printArea="1" hiddenRows="1" view="pageBreakPreview">
      <pane ySplit="2" topLeftCell="A54" activePane="bottomLeft" state="frozen"/>
      <selection pane="bottomLeft" activeCell="A17" sqref="A17:H17"/>
      <pageMargins left="0.75" right="0.75" top="1.25" bottom="0.5" header="0.5" footer="0.5"/>
      <printOptions horizontalCentered="1"/>
      <pageSetup scale="48" firstPageNumber="7" orientation="portrait" r:id="rId2"/>
      <headerFooter>
        <oddHeader xml:space="preserve">&amp;C&amp;"Times New Roman,Regular"REGION III SPECIAL EDUCATION COOPERATIVE
STATEMENT OF REVENUES, EXPENDITURES, OTHER SOURCES (USES), AND CHANGES IN FUND BALANCES - MODIFIED ACCRUAL - REGULATORY BASIS
ALL FUNDS
FOR THE YEAR ENDED JUNE 30, 2020
</oddHeader>
        <oddFooter>&amp;C&amp;"Times New Roman,Regular"See Notes to Financial Statements and Independent Auditor’s Reports
&amp;P</oddFooter>
      </headerFooter>
    </customSheetView>
    <customSheetView guid="{DCE9EA22-7307-4505-BC41-9954A9C79245}" colorId="8" showPageBreaks="1" showGridLines="0" printArea="1" hiddenRows="1" view="pageBreakPreview">
      <pane ySplit="2" topLeftCell="A54" activePane="bottomLeft" state="frozen"/>
      <selection pane="bottomLeft" activeCell="A17" sqref="A17:H17"/>
      <pageMargins left="0.75" right="0.75" top="1.25" bottom="0.5" header="0.5" footer="0.5"/>
      <printOptions horizontalCentered="1"/>
      <pageSetup scale="48" firstPageNumber="7" orientation="portrait" r:id="rId3"/>
      <headerFooter>
        <oddHeader xml:space="preserve">&amp;C&amp;"Times New Roman,Regular"REGION III SPECIAL EDUCATION COOPERATIVE
STATEMENT OF REVENUES, EXPENDITURES, OTHER SOURCES (USES), AND CHANGES IN FUND BALANCES - MODIFIED ACCRUAL - REGULATORY BASIS
ALL FUNDS
FOR THE YEAR ENDED JUNE 30, 2020
</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pageMargins left="0.75" right="0.75" top="1.25" bottom="0.5" header="0.5" footer="0.5"/>
  <pageSetup scale="48" firstPageNumber="7" orientation="portrait" r:id="rId4"/>
  <headerFooter>
    <oddHeader xml:space="preserve">&amp;C&amp;"Times New Roman,Regular"REGION III SPECIAL EDUCATION COOPERATIVE
STATEMENT OF REVENUES, EXPENDITURES, OTHER SOURCES (USES), AND CHANGES IN FUND BALANCES - MODIFIED ACCRUAL - REGULATORY BASIS
ALL FUNDS
FOR THE YEAR ENDED JUNE 30, 2020
</oddHeader>
    <oddFooter>&amp;C&amp;"Times New Roman,Regular"See Notes to Financial Statements and Independent Auditor’s Reports
&amp;P</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1" activePane="bottomLeft" state="frozen"/>
      <selection activeCell="A17" sqref="A17:H17"/>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6" t="s">
        <v>1779</v>
      </c>
      <c r="B1" s="416"/>
      <c r="C1" s="417" t="s">
        <v>422</v>
      </c>
      <c r="D1" s="417" t="s">
        <v>423</v>
      </c>
      <c r="E1" s="417" t="s">
        <v>424</v>
      </c>
      <c r="F1" s="417" t="s">
        <v>425</v>
      </c>
      <c r="G1" s="417" t="s">
        <v>426</v>
      </c>
      <c r="H1" s="417" t="s">
        <v>427</v>
      </c>
      <c r="I1" s="417" t="s">
        <v>428</v>
      </c>
      <c r="J1" s="417" t="s">
        <v>429</v>
      </c>
      <c r="K1" s="417" t="s">
        <v>751</v>
      </c>
    </row>
    <row r="2" spans="1:12" ht="36" x14ac:dyDescent="0.2">
      <c r="A2" s="230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f>2025002+250912</f>
        <v>2275914</v>
      </c>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2275914</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75</v>
      </c>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75</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v>30</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6616</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12444</v>
      </c>
      <c r="D107" s="1623"/>
      <c r="E107" s="1623"/>
      <c r="F107" s="1623"/>
      <c r="G107" s="1623"/>
      <c r="H107" s="1623"/>
      <c r="I107" s="1623"/>
      <c r="J107" s="1624"/>
      <c r="K107" s="1623"/>
    </row>
    <row r="108" spans="1:12" ht="12.75" customHeight="1" thickBot="1" x14ac:dyDescent="0.25">
      <c r="A108" s="1455" t="s">
        <v>484</v>
      </c>
      <c r="B108" s="1457"/>
      <c r="C108" s="1683">
        <f>SUM(C95:C107)</f>
        <v>19090</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2295079</v>
      </c>
      <c r="D109" s="1691">
        <f t="shared" si="4"/>
        <v>0</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v>2227476</v>
      </c>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2227476</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306966</v>
      </c>
      <c r="D117" s="1636"/>
      <c r="E117" s="1623"/>
      <c r="F117" s="1636"/>
      <c r="G117" s="1636"/>
      <c r="H117" s="1623"/>
      <c r="I117" s="1625"/>
      <c r="J117" s="1624"/>
      <c r="K117" s="1623"/>
    </row>
    <row r="118" spans="1:11" ht="12.75" customHeight="1" x14ac:dyDescent="0.2">
      <c r="A118" s="427" t="s">
        <v>1776</v>
      </c>
      <c r="B118" s="478">
        <v>3002</v>
      </c>
      <c r="C118" s="1682"/>
      <c r="D118" s="1623"/>
      <c r="E118" s="1623"/>
      <c r="F118" s="1623"/>
      <c r="G118" s="1623"/>
      <c r="H118" s="1623"/>
      <c r="I118" s="1625"/>
      <c r="J118" s="1624"/>
      <c r="K118" s="1623"/>
    </row>
    <row r="119" spans="1:11" ht="12.75" customHeight="1" x14ac:dyDescent="0.2">
      <c r="A119" s="427" t="s">
        <v>1777</v>
      </c>
      <c r="B119" s="478">
        <v>3005</v>
      </c>
      <c r="C119" s="1682"/>
      <c r="D119" s="1623"/>
      <c r="E119" s="1623"/>
      <c r="F119" s="1623"/>
      <c r="G119" s="1623"/>
      <c r="H119" s="1623"/>
      <c r="I119" s="1625"/>
      <c r="J119" s="1624"/>
      <c r="K119" s="1623"/>
    </row>
    <row r="120" spans="1:11" ht="12.75" customHeight="1" x14ac:dyDescent="0.2">
      <c r="A120" s="1589" t="s">
        <v>1895</v>
      </c>
      <c r="B120" s="478">
        <v>3030</v>
      </c>
      <c r="C120" s="1682"/>
      <c r="D120" s="1623"/>
      <c r="E120" s="1623"/>
      <c r="F120" s="1623"/>
      <c r="G120" s="1623"/>
      <c r="H120" s="1623"/>
      <c r="I120" s="1625"/>
      <c r="J120" s="1624"/>
      <c r="K120" s="1623"/>
    </row>
    <row r="121" spans="1:11" x14ac:dyDescent="0.2">
      <c r="A121" s="1311" t="s">
        <v>1778</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306966</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29100</v>
      </c>
      <c r="D168" s="1705"/>
      <c r="E168" s="1705"/>
      <c r="F168" s="1705"/>
      <c r="G168" s="1706"/>
      <c r="H168" s="1707"/>
      <c r="I168" s="1706"/>
      <c r="J168" s="1706"/>
      <c r="K168" s="1707"/>
    </row>
    <row r="169" spans="1:11" ht="12.75" customHeight="1" thickTop="1" thickBot="1" x14ac:dyDescent="0.25">
      <c r="A169" s="2326" t="s">
        <v>395</v>
      </c>
      <c r="B169" s="2327"/>
      <c r="C169" s="1708">
        <f t="shared" ref="C169:K169" si="6">SUM(C132,C141,C145,C146:C150,C155,C156:C167,C168)</f>
        <v>29100</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336066</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8" t="s">
        <v>1478</v>
      </c>
      <c r="B172" s="2329"/>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332" t="s">
        <v>1649</v>
      </c>
      <c r="B175" s="2333"/>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6" t="s">
        <v>1648</v>
      </c>
      <c r="B176" s="2337"/>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334" t="s">
        <v>780</v>
      </c>
      <c r="B181" s="2335"/>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30" t="s">
        <v>1780</v>
      </c>
      <c r="B182" s="2331"/>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3503</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213803</v>
      </c>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217306</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1896</v>
      </c>
      <c r="B261" s="429">
        <v>4981</v>
      </c>
      <c r="C261" s="1700"/>
      <c r="D261" s="1701"/>
      <c r="E261" s="1625"/>
      <c r="F261" s="1701"/>
      <c r="G261" s="1701"/>
      <c r="H261" s="1625"/>
      <c r="I261" s="1625"/>
      <c r="J261" s="1625"/>
      <c r="K261" s="1625"/>
    </row>
    <row r="262" spans="1:11" ht="12.75" customHeight="1" thickTop="1" thickBot="1" x14ac:dyDescent="0.25">
      <c r="A262" s="1590" t="s">
        <v>1897</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36919</v>
      </c>
      <c r="D263" s="1701"/>
      <c r="E263" s="1625"/>
      <c r="F263" s="1701"/>
      <c r="G263" s="1701"/>
      <c r="H263" s="1625"/>
      <c r="I263" s="1625"/>
      <c r="J263" s="1625"/>
      <c r="K263" s="1625"/>
    </row>
    <row r="264" spans="1:11" ht="12.75" customHeight="1" thickTop="1" thickBot="1" x14ac:dyDescent="0.25">
      <c r="A264" s="427" t="s">
        <v>374</v>
      </c>
      <c r="B264" s="429">
        <v>4992</v>
      </c>
      <c r="C264" s="1700">
        <v>113729</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367954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367954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5226575</v>
      </c>
      <c r="D268" s="1691">
        <f t="shared" si="12"/>
        <v>0</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27400517-D544-41E2-9D13-0D8FC40AA704}" scale="75" colorId="8" showPageBreaks="1" showGridLines="0" view="pageBreakPreview">
      <pane ySplit="2" topLeftCell="A225" activePane="bottomLeft" state="frozen"/>
      <selection pane="bottomLeft" activeCell="E251" sqref="E251"/>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1"/>
      <headerFooter>
        <oddHeader xml:space="preserve">&amp;C&amp;"Times New Roman,Regular"REGION III SPECIAL EDUCATION COOPERATIVE
STATEMENT OF REVENUES - MODIFIED ACCRUAL - REGULATORY BASIS
ALL FUNDS
FOR THE YEAR ENDED JUNE 30, 2020
</oddHeader>
        <oddFooter>&amp;C&amp;"Times New Roman,Regular"See Notes to Financial Statements and Independent Auditor’s Reports
&amp;P</oddFooter>
      </headerFooter>
    </customSheetView>
    <customSheetView guid="{00BB9B19-FC1B-492E-A95E-CC052A0B5070}" scale="75" colorId="8" showPageBreaks="1" showGridLines="0" view="pageBreakPreview">
      <pane ySplit="2" topLeftCell="A225" activePane="bottomLeft" state="frozen"/>
      <selection pane="bottomLeft" activeCell="E251" sqref="E251"/>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2"/>
      <headerFooter>
        <oddHeader xml:space="preserve">&amp;C&amp;"Times New Roman,Regular"REGION III SPECIAL EDUCATION COOPERATIVE
STATEMENT OF REVENUES - MODIFIED ACCRUAL - REGULATORY BASIS
ALL FUNDS
FOR THE YEAR ENDED JUNE 30, 2020
</oddHeader>
        <oddFooter>&amp;C&amp;"Times New Roman,Regular"See Notes to Financial Statements and Independent Auditor’s Reports
&amp;P</oddFooter>
      </headerFooter>
    </customSheetView>
    <customSheetView guid="{DCE9EA22-7307-4505-BC41-9954A9C79245}" scale="75" colorId="8" showPageBreaks="1" showGridLines="0" view="pageBreakPreview">
      <pane ySplit="2" topLeftCell="A225" activePane="bottomLeft" state="frozen"/>
      <selection pane="bottomLeft" activeCell="E251" sqref="E251"/>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3"/>
      <headerFooter>
        <oddHeader xml:space="preserve">&amp;C&amp;"Times New Roman,Regular"REGION III SPECIAL EDUCATION COOPERATIVE
STATEMENT OF REVENUES - MODIFIED ACCRUAL - REGULATORY BASIS
ALL FUNDS
FOR THE YEAR ENDED JUNE 30, 2020
</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5" type="noConversion"/>
  <printOptions horizontalCentered="1"/>
  <pageMargins left="0.75" right="0.75" top="0.95" bottom="0.5" header="0.5" footer="0.5"/>
  <pageSetup scale="62" firstPageNumber="9" orientation="landscape" r:id="rId4"/>
  <headerFooter>
    <oddHeader xml:space="preserve">&amp;C&amp;"Times New Roman,Regular"REGION III SPECIAL EDUCATION COOPERATIVE
STATEMENT OF REVENUES - MODIFIED ACCRUAL - REGULATORY BASIS
ALL FUNDS
FOR THE YEAR ENDED JUNE 30, 2020
</oddHeader>
    <oddFooter>&amp;C&amp;"Times New Roman,Regular"See Notes to Financial Statements and Independent Auditor’s Reports
&amp;P</oddFooter>
  </headerFooter>
  <rowBreaks count="4" manualBreakCount="4">
    <brk id="56" max="16383" man="1"/>
    <brk id="109" max="16383" man="1"/>
    <brk id="161" max="16383" man="1"/>
    <brk id="213" max="1638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0" activePane="bottomLeft" state="frozen"/>
      <selection activeCell="A17" sqref="A17:H17"/>
      <selection pane="bottomLeft" activeCell="C45" sqref="C4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6"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4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46" t="s">
        <v>294</v>
      </c>
      <c r="B3" s="2347"/>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v>0</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c r="D7" s="1624"/>
      <c r="E7" s="1624"/>
      <c r="F7" s="1624"/>
      <c r="G7" s="1624"/>
      <c r="H7" s="1624"/>
      <c r="I7" s="1624"/>
      <c r="J7" s="1624"/>
      <c r="K7" s="1722">
        <f t="shared" ref="K7:K32" si="0">SUM(C7:J7)</f>
        <v>0</v>
      </c>
      <c r="L7" s="1623">
        <v>0</v>
      </c>
    </row>
    <row r="8" spans="1:14" x14ac:dyDescent="0.2">
      <c r="A8" s="1319" t="s">
        <v>163</v>
      </c>
      <c r="B8" s="503">
        <v>1200</v>
      </c>
      <c r="C8" s="1623">
        <v>1265751</v>
      </c>
      <c r="D8" s="1623">
        <v>226520</v>
      </c>
      <c r="E8" s="1623">
        <v>154062</v>
      </c>
      <c r="F8" s="1623">
        <v>36662</v>
      </c>
      <c r="G8" s="1623"/>
      <c r="H8" s="1623"/>
      <c r="I8" s="1624"/>
      <c r="J8" s="1624"/>
      <c r="K8" s="1722">
        <f t="shared" si="0"/>
        <v>1682995</v>
      </c>
      <c r="L8" s="1623">
        <v>1785798</v>
      </c>
    </row>
    <row r="9" spans="1:14" x14ac:dyDescent="0.2">
      <c r="A9" s="1319" t="s">
        <v>716</v>
      </c>
      <c r="B9" s="503" t="s">
        <v>962</v>
      </c>
      <c r="C9" s="1624"/>
      <c r="D9" s="1624"/>
      <c r="E9" s="1624"/>
      <c r="F9" s="1624"/>
      <c r="G9" s="1624"/>
      <c r="H9" s="1624"/>
      <c r="I9" s="1624"/>
      <c r="J9" s="1624"/>
      <c r="K9" s="1722">
        <f t="shared" si="0"/>
        <v>0</v>
      </c>
      <c r="L9" s="1623">
        <v>0</v>
      </c>
    </row>
    <row r="10" spans="1:14" x14ac:dyDescent="0.2">
      <c r="A10" s="1319" t="s">
        <v>717</v>
      </c>
      <c r="B10" s="503">
        <v>1250</v>
      </c>
      <c r="C10" s="1623"/>
      <c r="D10" s="1623"/>
      <c r="E10" s="1623"/>
      <c r="F10" s="1623"/>
      <c r="G10" s="1623"/>
      <c r="H10" s="1623"/>
      <c r="I10" s="1624"/>
      <c r="J10" s="1624"/>
      <c r="K10" s="1722">
        <f t="shared" si="0"/>
        <v>0</v>
      </c>
      <c r="L10" s="1623">
        <v>0</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c r="D13" s="1623"/>
      <c r="E13" s="1623"/>
      <c r="F13" s="1623"/>
      <c r="G13" s="1623"/>
      <c r="H13" s="1623"/>
      <c r="I13" s="1624"/>
      <c r="J13" s="1624"/>
      <c r="K13" s="1722">
        <f t="shared" si="0"/>
        <v>0</v>
      </c>
      <c r="L13" s="1623">
        <v>0</v>
      </c>
    </row>
    <row r="14" spans="1:14" x14ac:dyDescent="0.2">
      <c r="A14" s="1319" t="s">
        <v>957</v>
      </c>
      <c r="B14" s="503">
        <v>1500</v>
      </c>
      <c r="C14" s="1623"/>
      <c r="D14" s="1623"/>
      <c r="E14" s="1623"/>
      <c r="F14" s="1623"/>
      <c r="G14" s="1623"/>
      <c r="H14" s="1623"/>
      <c r="I14" s="1624"/>
      <c r="J14" s="1624"/>
      <c r="K14" s="1722">
        <f t="shared" si="0"/>
        <v>0</v>
      </c>
      <c r="L14" s="1623">
        <v>0</v>
      </c>
    </row>
    <row r="15" spans="1:14" x14ac:dyDescent="0.2">
      <c r="A15" s="1319" t="s">
        <v>958</v>
      </c>
      <c r="B15" s="503">
        <v>1600</v>
      </c>
      <c r="C15" s="1623">
        <v>11562</v>
      </c>
      <c r="D15" s="1623">
        <v>951</v>
      </c>
      <c r="E15" s="1623"/>
      <c r="F15" s="1623"/>
      <c r="G15" s="1623"/>
      <c r="H15" s="1623"/>
      <c r="I15" s="1624"/>
      <c r="J15" s="1624"/>
      <c r="K15" s="1722">
        <f t="shared" si="0"/>
        <v>12513</v>
      </c>
      <c r="L15" s="1623">
        <v>25200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c r="D17" s="1624"/>
      <c r="E17" s="1624"/>
      <c r="F17" s="1624"/>
      <c r="G17" s="1624"/>
      <c r="H17" s="1624"/>
      <c r="I17" s="1624"/>
      <c r="J17" s="1624"/>
      <c r="K17" s="1722">
        <f t="shared" si="0"/>
        <v>0</v>
      </c>
      <c r="L17" s="1623">
        <v>0</v>
      </c>
    </row>
    <row r="18" spans="1:12" x14ac:dyDescent="0.2">
      <c r="A18" s="1319" t="s">
        <v>1080</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c r="I22" s="1723"/>
      <c r="J22" s="1632"/>
      <c r="K22" s="1722">
        <f t="shared" si="0"/>
        <v>0</v>
      </c>
      <c r="L22" s="1627">
        <v>0</v>
      </c>
    </row>
    <row r="23" spans="1:12" x14ac:dyDescent="0.2">
      <c r="A23" s="1320" t="s">
        <v>736</v>
      </c>
      <c r="B23" s="494" t="s">
        <v>723</v>
      </c>
      <c r="C23" s="1632"/>
      <c r="D23" s="1632"/>
      <c r="E23" s="1632"/>
      <c r="F23" s="1632"/>
      <c r="G23" s="1632"/>
      <c r="H23" s="1629"/>
      <c r="I23" s="1723"/>
      <c r="J23" s="1632"/>
      <c r="K23" s="1722">
        <f t="shared" si="0"/>
        <v>0</v>
      </c>
      <c r="L23" s="1627">
        <v>0</v>
      </c>
    </row>
    <row r="24" spans="1:12" ht="12.75" customHeight="1" x14ac:dyDescent="0.2">
      <c r="A24" s="1320" t="s">
        <v>737</v>
      </c>
      <c r="B24" s="494" t="s">
        <v>724</v>
      </c>
      <c r="C24" s="1632"/>
      <c r="D24" s="1632"/>
      <c r="E24" s="1632"/>
      <c r="F24" s="1632"/>
      <c r="G24" s="1632"/>
      <c r="H24" s="1629"/>
      <c r="I24" s="1723"/>
      <c r="J24" s="1632"/>
      <c r="K24" s="1722">
        <f t="shared" si="0"/>
        <v>0</v>
      </c>
      <c r="L24" s="1627">
        <v>0</v>
      </c>
    </row>
    <row r="25" spans="1:12" ht="12.7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75" customHeight="1" thickBot="1" x14ac:dyDescent="0.25">
      <c r="A33" s="1429" t="s">
        <v>1652</v>
      </c>
      <c r="B33" s="1430" t="s">
        <v>566</v>
      </c>
      <c r="C33" s="1724">
        <f>SUM(C5:C32)</f>
        <v>1277313</v>
      </c>
      <c r="D33" s="1724">
        <f t="shared" ref="D33:L33" si="1">SUM(D5:D32)</f>
        <v>227471</v>
      </c>
      <c r="E33" s="1724">
        <f t="shared" si="1"/>
        <v>154062</v>
      </c>
      <c r="F33" s="1724">
        <f t="shared" si="1"/>
        <v>36662</v>
      </c>
      <c r="G33" s="1724">
        <f t="shared" si="1"/>
        <v>0</v>
      </c>
      <c r="H33" s="1724">
        <f t="shared" si="1"/>
        <v>0</v>
      </c>
      <c r="I33" s="1724">
        <f t="shared" si="1"/>
        <v>0</v>
      </c>
      <c r="J33" s="1724">
        <f t="shared" si="1"/>
        <v>0</v>
      </c>
      <c r="K33" s="1724">
        <f t="shared" si="1"/>
        <v>1695508</v>
      </c>
      <c r="L33" s="1724">
        <f t="shared" si="1"/>
        <v>1810998</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v>0</v>
      </c>
    </row>
    <row r="37" spans="1:14" x14ac:dyDescent="0.2">
      <c r="A37" s="1319" t="s">
        <v>1083</v>
      </c>
      <c r="B37" s="503">
        <v>2120</v>
      </c>
      <c r="C37" s="1623"/>
      <c r="D37" s="1623"/>
      <c r="E37" s="1623"/>
      <c r="F37" s="1623"/>
      <c r="G37" s="1623"/>
      <c r="H37" s="1623"/>
      <c r="I37" s="1624"/>
      <c r="J37" s="1624"/>
      <c r="K37" s="1722">
        <f t="shared" si="2"/>
        <v>0</v>
      </c>
      <c r="L37" s="1623">
        <v>0</v>
      </c>
    </row>
    <row r="38" spans="1:14" x14ac:dyDescent="0.2">
      <c r="A38" s="1319" t="s">
        <v>196</v>
      </c>
      <c r="B38" s="503">
        <v>2130</v>
      </c>
      <c r="C38" s="1623">
        <v>253036</v>
      </c>
      <c r="D38" s="1623">
        <v>54419</v>
      </c>
      <c r="E38" s="1623">
        <v>93952</v>
      </c>
      <c r="F38" s="1623">
        <v>4591</v>
      </c>
      <c r="G38" s="1623"/>
      <c r="H38" s="1623"/>
      <c r="I38" s="1624"/>
      <c r="J38" s="1624"/>
      <c r="K38" s="1722">
        <f t="shared" si="2"/>
        <v>405998</v>
      </c>
      <c r="L38" s="1623">
        <v>412437</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v>72549</v>
      </c>
      <c r="D40" s="1623">
        <v>18766</v>
      </c>
      <c r="E40" s="1623">
        <v>2568</v>
      </c>
      <c r="F40" s="1623">
        <v>19123</v>
      </c>
      <c r="G40" s="1623"/>
      <c r="H40" s="1623"/>
      <c r="I40" s="1624"/>
      <c r="J40" s="1624"/>
      <c r="K40" s="1722">
        <f t="shared" si="2"/>
        <v>113006</v>
      </c>
      <c r="L40" s="1623">
        <v>118509</v>
      </c>
    </row>
    <row r="41" spans="1:14" x14ac:dyDescent="0.2">
      <c r="A41" s="1319" t="s">
        <v>1653</v>
      </c>
      <c r="B41" s="503">
        <v>2190</v>
      </c>
      <c r="C41" s="1623"/>
      <c r="D41" s="1623"/>
      <c r="E41" s="1623"/>
      <c r="F41" s="1623"/>
      <c r="G41" s="1623"/>
      <c r="H41" s="1623"/>
      <c r="I41" s="1624"/>
      <c r="J41" s="1624"/>
      <c r="K41" s="1722">
        <f t="shared" si="2"/>
        <v>0</v>
      </c>
      <c r="L41" s="1623">
        <v>0</v>
      </c>
    </row>
    <row r="42" spans="1:14" ht="12.75" customHeight="1" thickBot="1" x14ac:dyDescent="0.25">
      <c r="A42" s="1429" t="s">
        <v>556</v>
      </c>
      <c r="B42" s="1430" t="s">
        <v>711</v>
      </c>
      <c r="C42" s="1724">
        <f>SUM(C36:C41)</f>
        <v>325585</v>
      </c>
      <c r="D42" s="1724">
        <f t="shared" ref="D42:L42" si="3">SUM(D36:D41)</f>
        <v>73185</v>
      </c>
      <c r="E42" s="1724">
        <f t="shared" si="3"/>
        <v>96520</v>
      </c>
      <c r="F42" s="1724">
        <f t="shared" si="3"/>
        <v>23714</v>
      </c>
      <c r="G42" s="1724">
        <f t="shared" si="3"/>
        <v>0</v>
      </c>
      <c r="H42" s="1724">
        <f t="shared" si="3"/>
        <v>0</v>
      </c>
      <c r="I42" s="1724">
        <f t="shared" si="3"/>
        <v>0</v>
      </c>
      <c r="J42" s="1724">
        <f t="shared" si="3"/>
        <v>0</v>
      </c>
      <c r="K42" s="1724">
        <f t="shared" si="3"/>
        <v>519004</v>
      </c>
      <c r="L42" s="1724">
        <f t="shared" si="3"/>
        <v>530946</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3520</v>
      </c>
      <c r="D44" s="1636">
        <v>387</v>
      </c>
      <c r="E44" s="1636">
        <v>25331</v>
      </c>
      <c r="F44" s="1636"/>
      <c r="G44" s="1636"/>
      <c r="H44" s="1636"/>
      <c r="I44" s="1624"/>
      <c r="J44" s="1624"/>
      <c r="K44" s="1728">
        <f>SUM(C44:J44)</f>
        <v>29238</v>
      </c>
      <c r="L44" s="1636">
        <v>0</v>
      </c>
    </row>
    <row r="45" spans="1:14" x14ac:dyDescent="0.2">
      <c r="A45" s="1319" t="s">
        <v>810</v>
      </c>
      <c r="B45" s="503">
        <v>2220</v>
      </c>
      <c r="C45" s="1623"/>
      <c r="D45" s="1623"/>
      <c r="E45" s="1623"/>
      <c r="F45" s="1623"/>
      <c r="G45" s="1623"/>
      <c r="H45" s="1623"/>
      <c r="I45" s="1624"/>
      <c r="J45" s="1624"/>
      <c r="K45" s="1728">
        <f>SUM(C45:J45)</f>
        <v>0</v>
      </c>
      <c r="L45" s="1623">
        <v>0</v>
      </c>
    </row>
    <row r="46" spans="1:14" x14ac:dyDescent="0.2">
      <c r="A46" s="1319" t="s">
        <v>811</v>
      </c>
      <c r="B46" s="503">
        <v>2230</v>
      </c>
      <c r="C46" s="1623"/>
      <c r="D46" s="1623"/>
      <c r="E46" s="1623"/>
      <c r="F46" s="1623"/>
      <c r="G46" s="1623"/>
      <c r="H46" s="1623"/>
      <c r="I46" s="1624"/>
      <c r="J46" s="1624"/>
      <c r="K46" s="1728">
        <f>SUM(C46:J46)</f>
        <v>0</v>
      </c>
      <c r="L46" s="1623">
        <v>0</v>
      </c>
    </row>
    <row r="47" spans="1:14" ht="12.75" customHeight="1" thickBot="1" x14ac:dyDescent="0.25">
      <c r="A47" s="1429" t="s">
        <v>557</v>
      </c>
      <c r="B47" s="1430" t="s">
        <v>32</v>
      </c>
      <c r="C47" s="1724">
        <f>SUM(C44:C46)</f>
        <v>3520</v>
      </c>
      <c r="D47" s="1724">
        <f t="shared" ref="D47:K47" si="4">SUM(D44:D46)</f>
        <v>387</v>
      </c>
      <c r="E47" s="1724">
        <f t="shared" si="4"/>
        <v>25331</v>
      </c>
      <c r="F47" s="1724">
        <f t="shared" si="4"/>
        <v>0</v>
      </c>
      <c r="G47" s="1724">
        <f t="shared" si="4"/>
        <v>0</v>
      </c>
      <c r="H47" s="1724">
        <f t="shared" si="4"/>
        <v>0</v>
      </c>
      <c r="I47" s="1724">
        <f t="shared" si="4"/>
        <v>0</v>
      </c>
      <c r="J47" s="1724">
        <f t="shared" si="4"/>
        <v>0</v>
      </c>
      <c r="K47" s="1724">
        <f t="shared" si="4"/>
        <v>29238</v>
      </c>
      <c r="L47" s="1724">
        <f>SUM(L44:L46)</f>
        <v>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c r="F49" s="1636"/>
      <c r="G49" s="1636"/>
      <c r="H49" s="1636"/>
      <c r="I49" s="1624"/>
      <c r="J49" s="1624"/>
      <c r="K49" s="1728">
        <f>SUM(C49:J49)</f>
        <v>0</v>
      </c>
      <c r="L49" s="1636">
        <v>0</v>
      </c>
    </row>
    <row r="50" spans="1:14" x14ac:dyDescent="0.2">
      <c r="A50" s="1319" t="s">
        <v>813</v>
      </c>
      <c r="B50" s="503">
        <v>2320</v>
      </c>
      <c r="C50" s="1623"/>
      <c r="D50" s="1623"/>
      <c r="E50" s="1623"/>
      <c r="F50" s="1623"/>
      <c r="G50" s="1623"/>
      <c r="H50" s="1623"/>
      <c r="I50" s="1624"/>
      <c r="J50" s="1624"/>
      <c r="K50" s="1728">
        <f>SUM(C50:J50)</f>
        <v>0</v>
      </c>
      <c r="L50" s="1623">
        <v>0</v>
      </c>
    </row>
    <row r="51" spans="1:14" x14ac:dyDescent="0.2">
      <c r="A51" s="1319" t="s">
        <v>42</v>
      </c>
      <c r="B51" s="503">
        <v>2330</v>
      </c>
      <c r="C51" s="1623">
        <v>185113</v>
      </c>
      <c r="D51" s="1623">
        <v>29184</v>
      </c>
      <c r="E51" s="1623">
        <v>107666</v>
      </c>
      <c r="F51" s="1623">
        <v>13987</v>
      </c>
      <c r="G51" s="1623"/>
      <c r="H51" s="1623">
        <v>4174</v>
      </c>
      <c r="I51" s="1624"/>
      <c r="J51" s="1624"/>
      <c r="K51" s="1728">
        <f>SUM(C51:J51)</f>
        <v>340124</v>
      </c>
      <c r="L51" s="1623">
        <v>352912</v>
      </c>
    </row>
    <row r="52" spans="1:14" ht="22.5" x14ac:dyDescent="0.2">
      <c r="A52" s="1320" t="s">
        <v>295</v>
      </c>
      <c r="B52" s="511" t="s">
        <v>363</v>
      </c>
      <c r="C52" s="1629"/>
      <c r="D52" s="1629"/>
      <c r="E52" s="1629"/>
      <c r="F52" s="1629"/>
      <c r="G52" s="1629"/>
      <c r="H52" s="1629"/>
      <c r="I52" s="1629"/>
      <c r="J52" s="1629"/>
      <c r="K52" s="1728">
        <f>SUM(C52:J52)</f>
        <v>0</v>
      </c>
      <c r="L52" s="1629">
        <v>0</v>
      </c>
    </row>
    <row r="53" spans="1:14" ht="12.75" customHeight="1" thickBot="1" x14ac:dyDescent="0.25">
      <c r="A53" s="1429" t="s">
        <v>712</v>
      </c>
      <c r="B53" s="1430" t="s">
        <v>33</v>
      </c>
      <c r="C53" s="1724">
        <f>SUM(C49:C52)</f>
        <v>185113</v>
      </c>
      <c r="D53" s="1724">
        <f t="shared" ref="D53:L53" si="5">SUM(D49:D52)</f>
        <v>29184</v>
      </c>
      <c r="E53" s="1724">
        <f t="shared" si="5"/>
        <v>107666</v>
      </c>
      <c r="F53" s="1724">
        <f t="shared" si="5"/>
        <v>13987</v>
      </c>
      <c r="G53" s="1724">
        <f t="shared" si="5"/>
        <v>0</v>
      </c>
      <c r="H53" s="1724">
        <f t="shared" si="5"/>
        <v>4174</v>
      </c>
      <c r="I53" s="1724">
        <f t="shared" si="5"/>
        <v>0</v>
      </c>
      <c r="J53" s="1724">
        <f t="shared" si="5"/>
        <v>0</v>
      </c>
      <c r="K53" s="1724">
        <f t="shared" si="5"/>
        <v>340124</v>
      </c>
      <c r="L53" s="1724">
        <f t="shared" si="5"/>
        <v>352912</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c r="D55" s="1636"/>
      <c r="E55" s="1636"/>
      <c r="F55" s="1636"/>
      <c r="G55" s="1636"/>
      <c r="H55" s="1636"/>
      <c r="I55" s="1624"/>
      <c r="J55" s="1624"/>
      <c r="K55" s="1728">
        <f>SUM(C55:J55)</f>
        <v>0</v>
      </c>
      <c r="L55" s="1636">
        <v>0</v>
      </c>
    </row>
    <row r="56" spans="1:14" ht="12.75" customHeight="1" x14ac:dyDescent="0.2">
      <c r="A56" s="1323" t="s">
        <v>373</v>
      </c>
      <c r="B56" s="512">
        <v>2490</v>
      </c>
      <c r="C56" s="1623"/>
      <c r="D56" s="1623"/>
      <c r="E56" s="1623"/>
      <c r="F56" s="1623"/>
      <c r="G56" s="1623"/>
      <c r="H56" s="1623"/>
      <c r="I56" s="1624"/>
      <c r="J56" s="1624"/>
      <c r="K56" s="1728">
        <f>SUM(C56:J56)</f>
        <v>0</v>
      </c>
      <c r="L56" s="1623">
        <v>0</v>
      </c>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c r="D60" s="1623"/>
      <c r="E60" s="1623"/>
      <c r="F60" s="1623"/>
      <c r="G60" s="1623"/>
      <c r="H60" s="1623"/>
      <c r="I60" s="1624"/>
      <c r="J60" s="1624"/>
      <c r="K60" s="1728">
        <f t="shared" si="7"/>
        <v>0</v>
      </c>
      <c r="L60" s="1623">
        <v>0</v>
      </c>
      <c r="M60" s="501"/>
      <c r="N60" s="501"/>
    </row>
    <row r="61" spans="1:14" s="321" customFormat="1" x14ac:dyDescent="0.2">
      <c r="A61" s="1319" t="s">
        <v>195</v>
      </c>
      <c r="B61" s="503">
        <v>2540</v>
      </c>
      <c r="C61" s="1623"/>
      <c r="D61" s="1623"/>
      <c r="E61" s="1623">
        <v>23185</v>
      </c>
      <c r="F61" s="1623"/>
      <c r="G61" s="1623"/>
      <c r="H61" s="1623"/>
      <c r="I61" s="1624"/>
      <c r="J61" s="1624"/>
      <c r="K61" s="1728">
        <f t="shared" si="7"/>
        <v>23185</v>
      </c>
      <c r="L61" s="1623">
        <v>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c r="D63" s="1623"/>
      <c r="E63" s="1623"/>
      <c r="F63" s="1623"/>
      <c r="G63" s="1623"/>
      <c r="H63" s="1623"/>
      <c r="I63" s="1624"/>
      <c r="J63" s="1624"/>
      <c r="K63" s="1728">
        <f t="shared" si="7"/>
        <v>0</v>
      </c>
      <c r="L63" s="1623">
        <v>0</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75" customHeight="1" thickBot="1" x14ac:dyDescent="0.25">
      <c r="A65" s="1429" t="s">
        <v>714</v>
      </c>
      <c r="B65" s="1430" t="s">
        <v>35</v>
      </c>
      <c r="C65" s="1724">
        <f>SUM(C59:C64)</f>
        <v>0</v>
      </c>
      <c r="D65" s="1724">
        <f t="shared" ref="D65:L65" si="8">SUM(D59:D64)</f>
        <v>0</v>
      </c>
      <c r="E65" s="1724">
        <f t="shared" si="8"/>
        <v>23185</v>
      </c>
      <c r="F65" s="1724">
        <f t="shared" si="8"/>
        <v>0</v>
      </c>
      <c r="G65" s="1724">
        <f t="shared" si="8"/>
        <v>0</v>
      </c>
      <c r="H65" s="1724">
        <f t="shared" si="8"/>
        <v>0</v>
      </c>
      <c r="I65" s="1724">
        <f t="shared" si="8"/>
        <v>0</v>
      </c>
      <c r="J65" s="1724">
        <f t="shared" si="8"/>
        <v>0</v>
      </c>
      <c r="K65" s="1724">
        <f t="shared" si="8"/>
        <v>23185</v>
      </c>
      <c r="L65" s="1724">
        <f t="shared" si="8"/>
        <v>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v>19302</v>
      </c>
      <c r="F73" s="1699"/>
      <c r="G73" s="1699"/>
      <c r="H73" s="1699"/>
      <c r="I73" s="1677"/>
      <c r="J73" s="1677"/>
      <c r="K73" s="1724">
        <f>SUM(C73:J73)</f>
        <v>19302</v>
      </c>
      <c r="L73" s="1701"/>
      <c r="M73" s="501"/>
      <c r="N73" s="501"/>
    </row>
    <row r="74" spans="1:14" ht="12.75" customHeight="1" thickTop="1" thickBot="1" x14ac:dyDescent="0.25">
      <c r="A74" s="1429" t="s">
        <v>806</v>
      </c>
      <c r="B74" s="1433">
        <v>2000</v>
      </c>
      <c r="C74" s="1731">
        <f>SUM(C42,C47,C53,C57,C65,C72,C73)</f>
        <v>514218</v>
      </c>
      <c r="D74" s="1731">
        <f t="shared" ref="D74:K74" si="10">SUM(D42,D47,D53,D57,D65,D72,D73)</f>
        <v>102756</v>
      </c>
      <c r="E74" s="1731">
        <f t="shared" si="10"/>
        <v>272004</v>
      </c>
      <c r="F74" s="1731">
        <f t="shared" si="10"/>
        <v>37701</v>
      </c>
      <c r="G74" s="1731">
        <f t="shared" si="10"/>
        <v>0</v>
      </c>
      <c r="H74" s="1731">
        <f t="shared" si="10"/>
        <v>4174</v>
      </c>
      <c r="I74" s="1731">
        <f t="shared" si="10"/>
        <v>0</v>
      </c>
      <c r="J74" s="1731">
        <f t="shared" si="10"/>
        <v>0</v>
      </c>
      <c r="K74" s="1731">
        <f t="shared" si="10"/>
        <v>930853</v>
      </c>
      <c r="L74" s="1731">
        <f>SUM(L42,L47,L53,L57,L65,L72,L73)</f>
        <v>883858</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v>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v>0</v>
      </c>
    </row>
    <row r="79" spans="1:14" x14ac:dyDescent="0.2">
      <c r="A79" s="1319" t="s">
        <v>301</v>
      </c>
      <c r="B79" s="503">
        <v>4120</v>
      </c>
      <c r="C79" s="1723"/>
      <c r="D79" s="1723"/>
      <c r="E79" s="1623">
        <v>72504</v>
      </c>
      <c r="F79" s="1723"/>
      <c r="G79" s="1723"/>
      <c r="H79" s="1623">
        <v>2415558</v>
      </c>
      <c r="I79" s="1632"/>
      <c r="J79" s="1632"/>
      <c r="K79" s="1722">
        <f t="shared" si="11"/>
        <v>2488062</v>
      </c>
      <c r="L79" s="1623">
        <v>2246817</v>
      </c>
    </row>
    <row r="80" spans="1:14" x14ac:dyDescent="0.2">
      <c r="A80" s="1319" t="s">
        <v>302</v>
      </c>
      <c r="B80" s="503">
        <v>4130</v>
      </c>
      <c r="C80" s="1723"/>
      <c r="D80" s="1723"/>
      <c r="E80" s="1623"/>
      <c r="F80" s="1723"/>
      <c r="G80" s="1723"/>
      <c r="H80" s="1623"/>
      <c r="I80" s="1632"/>
      <c r="J80" s="1632"/>
      <c r="K80" s="1722">
        <f t="shared" si="11"/>
        <v>0</v>
      </c>
      <c r="L80" s="1623">
        <v>0</v>
      </c>
    </row>
    <row r="81" spans="1:12" x14ac:dyDescent="0.2">
      <c r="A81" s="1319" t="s">
        <v>692</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693</v>
      </c>
      <c r="B83" s="512">
        <v>4190</v>
      </c>
      <c r="C83" s="1723"/>
      <c r="D83" s="1723"/>
      <c r="E83" s="1623"/>
      <c r="F83" s="1723"/>
      <c r="G83" s="1723"/>
      <c r="H83" s="1623"/>
      <c r="I83" s="1632"/>
      <c r="J83" s="1632"/>
      <c r="K83" s="1722">
        <f t="shared" si="11"/>
        <v>0</v>
      </c>
      <c r="L83" s="1623">
        <v>0</v>
      </c>
    </row>
    <row r="84" spans="1:12" ht="13.5" thickBot="1" x14ac:dyDescent="0.25">
      <c r="A84" s="1429" t="s">
        <v>1471</v>
      </c>
      <c r="B84" s="1434">
        <v>4100</v>
      </c>
      <c r="C84" s="1723"/>
      <c r="D84" s="1723"/>
      <c r="E84" s="1724">
        <f>SUM(E78:E83)</f>
        <v>72504</v>
      </c>
      <c r="F84" s="1723"/>
      <c r="G84" s="1723"/>
      <c r="H84" s="1724">
        <f>SUM(H78:H83)</f>
        <v>2415558</v>
      </c>
      <c r="I84" s="1632"/>
      <c r="J84" s="1632"/>
      <c r="K84" s="1724">
        <f>SUM(K78:K83)</f>
        <v>2488062</v>
      </c>
      <c r="L84" s="1724">
        <f>SUM(L78:L83)</f>
        <v>2246817</v>
      </c>
    </row>
    <row r="85" spans="1:12" ht="12.75" customHeight="1" thickTop="1" thickBot="1" x14ac:dyDescent="0.25">
      <c r="A85" s="1326" t="s">
        <v>253</v>
      </c>
      <c r="B85" s="517">
        <v>4210</v>
      </c>
      <c r="C85" s="1723"/>
      <c r="D85" s="1723"/>
      <c r="E85" s="1733"/>
      <c r="F85" s="1723"/>
      <c r="G85" s="1723"/>
      <c r="H85" s="1680"/>
      <c r="I85" s="1632"/>
      <c r="J85" s="1632"/>
      <c r="K85" s="1731">
        <f>H85</f>
        <v>0</v>
      </c>
      <c r="L85" s="1676">
        <v>0</v>
      </c>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75" customHeight="1" thickTop="1" thickBot="1" x14ac:dyDescent="0.25">
      <c r="A88" s="1328" t="s">
        <v>760</v>
      </c>
      <c r="B88" s="519">
        <v>4240</v>
      </c>
      <c r="C88" s="1723"/>
      <c r="D88" s="1723"/>
      <c r="E88" s="1734"/>
      <c r="F88" s="1723"/>
      <c r="G88" s="1723"/>
      <c r="H88" s="1624"/>
      <c r="I88" s="1632"/>
      <c r="J88" s="1632"/>
      <c r="K88" s="1731">
        <f t="shared" si="12"/>
        <v>0</v>
      </c>
      <c r="L88" s="1676">
        <v>0</v>
      </c>
    </row>
    <row r="89" spans="1:12" ht="12.7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7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7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7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7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75" customHeight="1" thickTop="1" thickBot="1" x14ac:dyDescent="0.25">
      <c r="A102" s="1429" t="s">
        <v>1473</v>
      </c>
      <c r="B102" s="1434">
        <v>4000</v>
      </c>
      <c r="C102" s="1723"/>
      <c r="D102" s="1723"/>
      <c r="E102" s="1731">
        <f>SUM(E84,E92,E100,E101)</f>
        <v>72504</v>
      </c>
      <c r="F102" s="1723"/>
      <c r="G102" s="1723"/>
      <c r="H102" s="1731">
        <f>SUM(H84,H92,H100,H101)</f>
        <v>2415558</v>
      </c>
      <c r="I102" s="1632"/>
      <c r="J102" s="1632"/>
      <c r="K102" s="1731">
        <f>SUM(K84,K92,K100,K101)</f>
        <v>2488062</v>
      </c>
      <c r="L102" s="1731">
        <f>SUM(L84,L92,L100,L101)</f>
        <v>2246817</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1791531</v>
      </c>
      <c r="D114" s="1724">
        <f t="shared" ref="D114:K114" si="13">SUM(D33,D74,D75,D102,D112,D113)</f>
        <v>330227</v>
      </c>
      <c r="E114" s="1724">
        <f t="shared" si="13"/>
        <v>498570</v>
      </c>
      <c r="F114" s="1724">
        <f t="shared" si="13"/>
        <v>74363</v>
      </c>
      <c r="G114" s="1724">
        <f t="shared" si="13"/>
        <v>0</v>
      </c>
      <c r="H114" s="1724">
        <f>SUM(H33,H74,H75,H102,H112,H113)</f>
        <v>2419732</v>
      </c>
      <c r="I114" s="1724">
        <f t="shared" si="13"/>
        <v>0</v>
      </c>
      <c r="J114" s="1724">
        <f t="shared" si="13"/>
        <v>0</v>
      </c>
      <c r="K114" s="1724">
        <f t="shared" si="13"/>
        <v>5114423</v>
      </c>
      <c r="L114" s="1724">
        <f>SUM(L33,L74,L75,L102,L112,L113)</f>
        <v>4941673</v>
      </c>
    </row>
    <row r="115" spans="1:14" ht="13.5" thickTop="1" x14ac:dyDescent="0.2">
      <c r="A115" s="2338" t="s">
        <v>989</v>
      </c>
      <c r="B115" s="2339"/>
      <c r="C115" s="1725"/>
      <c r="D115" s="1725"/>
      <c r="E115" s="1725"/>
      <c r="F115" s="1725"/>
      <c r="G115" s="1725"/>
      <c r="H115" s="1725"/>
      <c r="I115" s="1725"/>
      <c r="J115" s="1725"/>
      <c r="K115" s="1739">
        <f>'Revenues 9-14'!C268-'Expenditures 15-22'!K114</f>
        <v>112152</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43" t="s">
        <v>293</v>
      </c>
      <c r="B117" s="2344"/>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1963</v>
      </c>
      <c r="B120" s="512" t="s">
        <v>711</v>
      </c>
      <c r="C120" s="1623"/>
      <c r="D120" s="1623"/>
      <c r="E120" s="1623"/>
      <c r="F120" s="1623"/>
      <c r="G120" s="1623"/>
      <c r="H120" s="1623"/>
      <c r="I120" s="1624"/>
      <c r="J120" s="1624"/>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c r="D124" s="1623"/>
      <c r="E124" s="1623"/>
      <c r="F124" s="1623"/>
      <c r="G124" s="1623"/>
      <c r="H124" s="1623"/>
      <c r="I124" s="1624"/>
      <c r="J124" s="1624"/>
      <c r="K124" s="1724">
        <f>SUM(C124:J124)</f>
        <v>0</v>
      </c>
      <c r="L124" s="1623">
        <v>0</v>
      </c>
    </row>
    <row r="125" spans="1:14" ht="14.25" thickTop="1" thickBot="1" x14ac:dyDescent="0.25">
      <c r="A125" s="1319" t="s">
        <v>947</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7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75" customHeight="1" x14ac:dyDescent="0.2">
      <c r="A146" s="1319" t="s">
        <v>615</v>
      </c>
      <c r="B146" s="503" t="s">
        <v>614</v>
      </c>
      <c r="C146" s="1723"/>
      <c r="D146" s="1723"/>
      <c r="E146" s="1723"/>
      <c r="F146" s="1723"/>
      <c r="G146" s="1723"/>
      <c r="H146" s="1623"/>
      <c r="I146" s="1625"/>
      <c r="J146" s="1723"/>
      <c r="K146" s="1728">
        <f>SUM(H146)</f>
        <v>0</v>
      </c>
      <c r="L146" s="1623">
        <v>0</v>
      </c>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0</v>
      </c>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75" customHeight="1" thickTop="1" thickBot="1" x14ac:dyDescent="0.25">
      <c r="A151" s="2355" t="s">
        <v>616</v>
      </c>
      <c r="B151" s="2335"/>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358" t="s">
        <v>1170</v>
      </c>
      <c r="B152" s="2359"/>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43" t="s">
        <v>617</v>
      </c>
      <c r="B154" s="2345"/>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1818</v>
      </c>
      <c r="C158" s="1723"/>
      <c r="D158" s="1723"/>
      <c r="E158" s="1723"/>
      <c r="F158" s="1723"/>
      <c r="G158" s="1723"/>
      <c r="H158" s="1624"/>
      <c r="I158" s="1723"/>
      <c r="J158" s="1723"/>
      <c r="K158" s="1722">
        <f>H158</f>
        <v>0</v>
      </c>
      <c r="L158" s="1624">
        <v>0</v>
      </c>
      <c r="M158" s="505"/>
      <c r="N158" s="505"/>
    </row>
    <row r="159" spans="1:14" s="506" customFormat="1" ht="12" x14ac:dyDescent="0.2">
      <c r="A159" s="1511" t="s">
        <v>1819</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7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7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v>0</v>
      </c>
    </row>
    <row r="170" spans="1:14" ht="33.75" customHeight="1" x14ac:dyDescent="0.2">
      <c r="A170" s="543" t="s">
        <v>1654</v>
      </c>
      <c r="B170" s="545" t="s">
        <v>31</v>
      </c>
      <c r="C170" s="1723"/>
      <c r="D170" s="1723"/>
      <c r="E170" s="1723"/>
      <c r="F170" s="1723"/>
      <c r="G170" s="1723"/>
      <c r="H170" s="1696"/>
      <c r="I170" s="1723"/>
      <c r="J170" s="1723"/>
      <c r="K170" s="1722">
        <f>SUM(C170:J170)</f>
        <v>0</v>
      </c>
      <c r="L170" s="1696">
        <v>0</v>
      </c>
    </row>
    <row r="171" spans="1:14" ht="15.75" customHeight="1" x14ac:dyDescent="0.2">
      <c r="A171" s="507" t="s">
        <v>761</v>
      </c>
      <c r="B171" s="546" t="s">
        <v>84</v>
      </c>
      <c r="C171" s="1723"/>
      <c r="D171" s="1723"/>
      <c r="E171" s="1623"/>
      <c r="F171" s="1723"/>
      <c r="G171" s="1723"/>
      <c r="H171" s="1696"/>
      <c r="I171" s="1632"/>
      <c r="J171" s="1723"/>
      <c r="K171" s="1722">
        <f>SUM(C171:J171)</f>
        <v>0</v>
      </c>
      <c r="L171" s="1696">
        <v>0</v>
      </c>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338" t="s">
        <v>989</v>
      </c>
      <c r="B175" s="2339"/>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1963</v>
      </c>
      <c r="B180" s="503" t="s">
        <v>711</v>
      </c>
      <c r="C180" s="1623"/>
      <c r="D180" s="1623"/>
      <c r="E180" s="1623"/>
      <c r="F180" s="1623"/>
      <c r="G180" s="1623"/>
      <c r="H180" s="1623"/>
      <c r="I180" s="1624"/>
      <c r="J180" s="1624"/>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c r="F182" s="1623"/>
      <c r="G182" s="1623"/>
      <c r="H182" s="1623"/>
      <c r="I182" s="1624"/>
      <c r="J182" s="1624"/>
      <c r="K182" s="1722">
        <f>SUM(C182:J182)</f>
        <v>0</v>
      </c>
      <c r="L182" s="1623">
        <v>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v>0</v>
      </c>
    </row>
    <row r="184" spans="1:14" ht="12.75" customHeight="1" thickTop="1" thickBot="1" x14ac:dyDescent="0.25">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c r="F189" s="1723"/>
      <c r="G189" s="1723"/>
      <c r="H189" s="1623"/>
      <c r="I189" s="1632"/>
      <c r="J189" s="1723"/>
      <c r="K189" s="1722">
        <f t="shared" si="18"/>
        <v>0</v>
      </c>
      <c r="L189" s="1623">
        <v>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7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75" customHeight="1" thickTop="1" thickBot="1" x14ac:dyDescent="0.25">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x14ac:dyDescent="0.2">
      <c r="A211" s="2338" t="s">
        <v>989</v>
      </c>
      <c r="B211" s="2339"/>
      <c r="C211" s="1725"/>
      <c r="D211" s="1725"/>
      <c r="E211" s="1725"/>
      <c r="F211" s="1725"/>
      <c r="G211" s="1725"/>
      <c r="H211" s="1725"/>
      <c r="I211" s="1723"/>
      <c r="J211" s="1723"/>
      <c r="K211" s="1739">
        <f>'Revenues 9-14'!F268-'Expenditures 15-22'!K210</f>
        <v>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60" t="s">
        <v>959</v>
      </c>
      <c r="B213" s="2361"/>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v>0</v>
      </c>
    </row>
    <row r="216" spans="1:14" x14ac:dyDescent="0.2">
      <c r="A216" s="1319" t="s">
        <v>162</v>
      </c>
      <c r="B216" s="503" t="s">
        <v>961</v>
      </c>
      <c r="C216" s="1723"/>
      <c r="D216" s="1624"/>
      <c r="E216" s="1723"/>
      <c r="F216" s="1723"/>
      <c r="G216" s="1723"/>
      <c r="H216" s="1723"/>
      <c r="I216" s="1723"/>
      <c r="J216" s="1723"/>
      <c r="K216" s="1722">
        <f t="shared" ref="K216:K228" si="19">D216</f>
        <v>0</v>
      </c>
      <c r="L216" s="1623">
        <v>0</v>
      </c>
    </row>
    <row r="217" spans="1:14" x14ac:dyDescent="0.2">
      <c r="A217" s="1319" t="s">
        <v>163</v>
      </c>
      <c r="B217" s="503">
        <v>1200</v>
      </c>
      <c r="C217" s="1723"/>
      <c r="D217" s="1623"/>
      <c r="E217" s="1723"/>
      <c r="F217" s="1723"/>
      <c r="G217" s="1723"/>
      <c r="H217" s="1723"/>
      <c r="I217" s="1723"/>
      <c r="J217" s="1723"/>
      <c r="K217" s="1722">
        <f t="shared" si="19"/>
        <v>0</v>
      </c>
      <c r="L217" s="1623">
        <v>0</v>
      </c>
    </row>
    <row r="218" spans="1:14" x14ac:dyDescent="0.2">
      <c r="A218" s="1319" t="s">
        <v>276</v>
      </c>
      <c r="B218" s="503" t="s">
        <v>962</v>
      </c>
      <c r="C218" s="1723"/>
      <c r="D218" s="1624"/>
      <c r="E218" s="1723"/>
      <c r="F218" s="1723"/>
      <c r="G218" s="1723"/>
      <c r="H218" s="1723"/>
      <c r="I218" s="1723"/>
      <c r="J218" s="1723"/>
      <c r="K218" s="1722">
        <f t="shared" si="19"/>
        <v>0</v>
      </c>
      <c r="L218" s="1623">
        <v>0</v>
      </c>
    </row>
    <row r="219" spans="1:14" x14ac:dyDescent="0.2">
      <c r="A219" s="1319" t="s">
        <v>277</v>
      </c>
      <c r="B219" s="503">
        <v>1250</v>
      </c>
      <c r="C219" s="1723"/>
      <c r="D219" s="1623"/>
      <c r="E219" s="1723"/>
      <c r="F219" s="1723"/>
      <c r="G219" s="1723"/>
      <c r="H219" s="1723"/>
      <c r="I219" s="1723"/>
      <c r="J219" s="1723"/>
      <c r="K219" s="1722">
        <f t="shared" si="19"/>
        <v>0</v>
      </c>
      <c r="L219" s="1623">
        <v>0</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c r="E222" s="1723"/>
      <c r="F222" s="1723"/>
      <c r="G222" s="1723"/>
      <c r="H222" s="1723"/>
      <c r="I222" s="1723"/>
      <c r="J222" s="1723"/>
      <c r="K222" s="1722">
        <f t="shared" si="19"/>
        <v>0</v>
      </c>
      <c r="L222" s="1623">
        <v>0</v>
      </c>
    </row>
    <row r="223" spans="1:14" x14ac:dyDescent="0.2">
      <c r="A223" s="1319" t="s">
        <v>957</v>
      </c>
      <c r="B223" s="503">
        <v>1500</v>
      </c>
      <c r="C223" s="1723"/>
      <c r="D223" s="1623"/>
      <c r="E223" s="1723"/>
      <c r="F223" s="1723"/>
      <c r="G223" s="1723"/>
      <c r="H223" s="1723"/>
      <c r="I223" s="1723"/>
      <c r="J223" s="1723"/>
      <c r="K223" s="1722">
        <f t="shared" si="19"/>
        <v>0</v>
      </c>
      <c r="L223" s="1623">
        <v>0</v>
      </c>
    </row>
    <row r="224" spans="1:14" x14ac:dyDescent="0.2">
      <c r="A224" s="1319" t="s">
        <v>958</v>
      </c>
      <c r="B224" s="503">
        <v>1600</v>
      </c>
      <c r="C224" s="1723"/>
      <c r="D224" s="1623"/>
      <c r="E224" s="1723"/>
      <c r="F224" s="1723"/>
      <c r="G224" s="1723"/>
      <c r="H224" s="1723"/>
      <c r="I224" s="1723"/>
      <c r="J224" s="1723"/>
      <c r="K224" s="1722">
        <f t="shared" si="19"/>
        <v>0</v>
      </c>
      <c r="L224" s="1623">
        <v>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c r="E226" s="1723"/>
      <c r="F226" s="1723"/>
      <c r="G226" s="1723"/>
      <c r="H226" s="1723"/>
      <c r="I226" s="1723"/>
      <c r="J226" s="1723"/>
      <c r="K226" s="1722">
        <f t="shared" si="19"/>
        <v>0</v>
      </c>
      <c r="L226" s="1623">
        <v>0</v>
      </c>
    </row>
    <row r="227" spans="1:12" x14ac:dyDescent="0.2">
      <c r="A227" s="1319" t="s">
        <v>1080</v>
      </c>
      <c r="B227" s="503">
        <v>1800</v>
      </c>
      <c r="C227" s="1723"/>
      <c r="D227" s="1623"/>
      <c r="E227" s="1723"/>
      <c r="F227" s="1723"/>
      <c r="G227" s="1723"/>
      <c r="H227" s="1723"/>
      <c r="I227" s="1723"/>
      <c r="J227" s="1723"/>
      <c r="K227" s="1722">
        <f t="shared" si="19"/>
        <v>0</v>
      </c>
      <c r="L227" s="1623">
        <v>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v>0</v>
      </c>
    </row>
    <row r="233" spans="1:12" x14ac:dyDescent="0.2">
      <c r="A233" s="1319" t="s">
        <v>1083</v>
      </c>
      <c r="B233" s="503">
        <v>2120</v>
      </c>
      <c r="C233" s="1723"/>
      <c r="D233" s="1623"/>
      <c r="E233" s="1723"/>
      <c r="F233" s="1723"/>
      <c r="G233" s="1723"/>
      <c r="H233" s="1723"/>
      <c r="I233" s="1723"/>
      <c r="J233" s="1723"/>
      <c r="K233" s="1722">
        <f t="shared" si="20"/>
        <v>0</v>
      </c>
      <c r="L233" s="1623">
        <v>0</v>
      </c>
    </row>
    <row r="234" spans="1:12" x14ac:dyDescent="0.2">
      <c r="A234" s="1319" t="s">
        <v>196</v>
      </c>
      <c r="B234" s="503">
        <v>2130</v>
      </c>
      <c r="C234" s="1723"/>
      <c r="D234" s="1623"/>
      <c r="E234" s="1723"/>
      <c r="F234" s="1723"/>
      <c r="G234" s="1723"/>
      <c r="H234" s="1723"/>
      <c r="I234" s="1723"/>
      <c r="J234" s="1723"/>
      <c r="K234" s="1722">
        <f t="shared" si="20"/>
        <v>0</v>
      </c>
      <c r="L234" s="1623">
        <v>0</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c r="E236" s="1723"/>
      <c r="F236" s="1723"/>
      <c r="G236" s="1723"/>
      <c r="H236" s="1723"/>
      <c r="I236" s="1723"/>
      <c r="J236" s="1723"/>
      <c r="K236" s="1722">
        <f t="shared" si="20"/>
        <v>0</v>
      </c>
      <c r="L236" s="1623">
        <v>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v>0</v>
      </c>
    </row>
    <row r="241" spans="1:12" x14ac:dyDescent="0.2">
      <c r="A241" s="1319" t="s">
        <v>810</v>
      </c>
      <c r="B241" s="503">
        <v>2220</v>
      </c>
      <c r="C241" s="1723"/>
      <c r="D241" s="1623"/>
      <c r="E241" s="1723"/>
      <c r="F241" s="1723"/>
      <c r="G241" s="1723"/>
      <c r="H241" s="1723"/>
      <c r="I241" s="1723"/>
      <c r="J241" s="1723"/>
      <c r="K241" s="1728">
        <f>D241</f>
        <v>0</v>
      </c>
      <c r="L241" s="1623">
        <v>0</v>
      </c>
    </row>
    <row r="242" spans="1:12" x14ac:dyDescent="0.2">
      <c r="A242" s="1319" t="s">
        <v>811</v>
      </c>
      <c r="B242" s="503">
        <v>2230</v>
      </c>
      <c r="C242" s="1723"/>
      <c r="D242" s="1623"/>
      <c r="E242" s="1723"/>
      <c r="F242" s="1723"/>
      <c r="G242" s="1723"/>
      <c r="H242" s="1723"/>
      <c r="I242" s="1723"/>
      <c r="J242" s="1723"/>
      <c r="K242" s="1728">
        <f>D242</f>
        <v>0</v>
      </c>
      <c r="L242" s="1623">
        <v>0</v>
      </c>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v>0</v>
      </c>
    </row>
    <row r="246" spans="1:12" x14ac:dyDescent="0.2">
      <c r="A246" s="1319" t="s">
        <v>813</v>
      </c>
      <c r="B246" s="503">
        <v>2320</v>
      </c>
      <c r="C246" s="1723"/>
      <c r="D246" s="1623"/>
      <c r="E246" s="1723"/>
      <c r="F246" s="1723"/>
      <c r="G246" s="1723"/>
      <c r="H246" s="1723"/>
      <c r="I246" s="1723"/>
      <c r="J246" s="1723"/>
      <c r="K246" s="1728">
        <f t="shared" ref="K246:K256" si="21">D246</f>
        <v>0</v>
      </c>
      <c r="L246" s="1623">
        <v>0</v>
      </c>
    </row>
    <row r="247" spans="1:12" x14ac:dyDescent="0.2">
      <c r="A247" s="1319" t="s">
        <v>814</v>
      </c>
      <c r="B247" s="503">
        <v>2330</v>
      </c>
      <c r="C247" s="1723"/>
      <c r="D247" s="1623"/>
      <c r="E247" s="1723"/>
      <c r="F247" s="1723"/>
      <c r="G247" s="1723"/>
      <c r="H247" s="1723"/>
      <c r="I247" s="1723"/>
      <c r="J247" s="1723"/>
      <c r="K247" s="1728">
        <f t="shared" si="21"/>
        <v>0</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1782</v>
      </c>
      <c r="B249" s="557" t="s">
        <v>280</v>
      </c>
      <c r="C249" s="1723"/>
      <c r="D249" s="1629"/>
      <c r="E249" s="1723"/>
      <c r="F249" s="1723"/>
      <c r="G249" s="1723"/>
      <c r="H249" s="1723"/>
      <c r="I249" s="1723"/>
      <c r="J249" s="1723"/>
      <c r="K249" s="1728">
        <f t="shared" si="21"/>
        <v>0</v>
      </c>
      <c r="L249" s="1623">
        <v>0</v>
      </c>
    </row>
    <row r="250" spans="1:12" x14ac:dyDescent="0.2">
      <c r="A250" s="1320" t="s">
        <v>1783</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c r="E254" s="1723"/>
      <c r="F254" s="1723"/>
      <c r="G254" s="1723"/>
      <c r="H254" s="1723"/>
      <c r="I254" s="1723"/>
      <c r="J254" s="1723"/>
      <c r="K254" s="1728">
        <f t="shared" si="21"/>
        <v>0</v>
      </c>
      <c r="L254" s="1623">
        <v>0</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v>0</v>
      </c>
    </row>
    <row r="260" spans="1:14" s="493" customFormat="1" x14ac:dyDescent="0.2">
      <c r="A260" s="1337" t="s">
        <v>1781</v>
      </c>
      <c r="B260" s="512">
        <v>2490</v>
      </c>
      <c r="C260" s="1723"/>
      <c r="D260" s="1623"/>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c r="E264" s="1723"/>
      <c r="F264" s="1723"/>
      <c r="G264" s="1723"/>
      <c r="H264" s="1723"/>
      <c r="I264" s="1723"/>
      <c r="J264" s="1723"/>
      <c r="K264" s="1728">
        <f t="shared" ref="K264:K269" si="22">D264</f>
        <v>0</v>
      </c>
      <c r="L264" s="1623">
        <v>0</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c r="E266" s="1723"/>
      <c r="F266" s="1723"/>
      <c r="G266" s="1723"/>
      <c r="H266" s="1723"/>
      <c r="I266" s="1723"/>
      <c r="J266" s="1723"/>
      <c r="K266" s="1728">
        <f t="shared" si="22"/>
        <v>0</v>
      </c>
      <c r="L266" s="1623">
        <v>0</v>
      </c>
    </row>
    <row r="267" spans="1:14" x14ac:dyDescent="0.2">
      <c r="A267" s="1319" t="s">
        <v>947</v>
      </c>
      <c r="B267" s="503">
        <v>2550</v>
      </c>
      <c r="C267" s="1723"/>
      <c r="D267" s="1623"/>
      <c r="E267" s="1723"/>
      <c r="F267" s="1723"/>
      <c r="G267" s="1723"/>
      <c r="H267" s="1723"/>
      <c r="I267" s="1723"/>
      <c r="J267" s="1723"/>
      <c r="K267" s="1728">
        <f t="shared" si="22"/>
        <v>0</v>
      </c>
      <c r="L267" s="1623">
        <v>0</v>
      </c>
    </row>
    <row r="268" spans="1:14" x14ac:dyDescent="0.2">
      <c r="A268" s="1319" t="s">
        <v>100</v>
      </c>
      <c r="B268" s="503">
        <v>2560</v>
      </c>
      <c r="C268" s="1723"/>
      <c r="D268" s="1623"/>
      <c r="E268" s="1723"/>
      <c r="F268" s="1723"/>
      <c r="G268" s="1723"/>
      <c r="H268" s="1723"/>
      <c r="I268" s="1723"/>
      <c r="J268" s="1723"/>
      <c r="K268" s="1728">
        <f t="shared" si="22"/>
        <v>0</v>
      </c>
      <c r="L268" s="1623">
        <v>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v>0</v>
      </c>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7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75" customHeight="1" thickTop="1" thickBot="1" x14ac:dyDescent="0.25">
      <c r="A295" s="2356" t="s">
        <v>502</v>
      </c>
      <c r="B295" s="2357"/>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338" t="s">
        <v>989</v>
      </c>
      <c r="B296" s="2339"/>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8" t="s">
        <v>142</v>
      </c>
      <c r="B298" s="2342"/>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v>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75" customHeight="1" x14ac:dyDescent="0.2">
      <c r="A309" s="1323" t="s">
        <v>693</v>
      </c>
      <c r="B309" s="512">
        <v>4190</v>
      </c>
      <c r="C309" s="1723"/>
      <c r="D309" s="1723"/>
      <c r="E309" s="1624"/>
      <c r="F309" s="1723"/>
      <c r="G309" s="1723"/>
      <c r="H309" s="1624"/>
      <c r="I309" s="1632"/>
      <c r="J309" s="1723"/>
      <c r="K309" s="1722">
        <f>SUM(E309,H309)</f>
        <v>0</v>
      </c>
      <c r="L309" s="1623">
        <v>0</v>
      </c>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75" customHeight="1" thickTop="1" thickBot="1" x14ac:dyDescent="0.25">
      <c r="A312" s="2353" t="s">
        <v>275</v>
      </c>
      <c r="B312" s="2354"/>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9" t="s">
        <v>989</v>
      </c>
      <c r="B313" s="2350"/>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62" t="s">
        <v>148</v>
      </c>
      <c r="B315" s="2363"/>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64" t="s">
        <v>892</v>
      </c>
      <c r="B317" s="2363"/>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x14ac:dyDescent="0.2">
      <c r="A320" s="1338" t="s">
        <v>1782</v>
      </c>
      <c r="B320" s="568" t="s">
        <v>280</v>
      </c>
      <c r="C320" s="1624"/>
      <c r="D320" s="1624"/>
      <c r="E320" s="1624"/>
      <c r="F320" s="1624"/>
      <c r="G320" s="1624"/>
      <c r="H320" s="1624"/>
      <c r="I320" s="1624"/>
      <c r="J320" s="1624"/>
      <c r="K320" s="1722">
        <f t="shared" ref="K320:K327" si="24">SUM(C320:J320)</f>
        <v>0</v>
      </c>
      <c r="L320" s="1624">
        <v>0</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0</v>
      </c>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v>0</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v>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v>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v>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v>0</v>
      </c>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v>0</v>
      </c>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1816</v>
      </c>
      <c r="C332" s="1764"/>
      <c r="D332" s="1764"/>
      <c r="E332" s="1764"/>
      <c r="F332" s="1764"/>
      <c r="G332" s="1764"/>
      <c r="H332" s="1624"/>
      <c r="I332" s="1764"/>
      <c r="J332" s="1764"/>
      <c r="K332" s="1722">
        <f>H332</f>
        <v>0</v>
      </c>
      <c r="L332" s="1624">
        <v>0</v>
      </c>
      <c r="M332" s="539"/>
      <c r="N332" s="539"/>
    </row>
    <row r="333" spans="1:14" s="548" customFormat="1" ht="12.75" customHeight="1" x14ac:dyDescent="0.2">
      <c r="A333" s="1517" t="s">
        <v>301</v>
      </c>
      <c r="B333" s="1512" t="s">
        <v>1818</v>
      </c>
      <c r="C333" s="1764"/>
      <c r="D333" s="1764"/>
      <c r="E333" s="1764"/>
      <c r="F333" s="1764"/>
      <c r="G333" s="1764"/>
      <c r="H333" s="1624"/>
      <c r="I333" s="1764"/>
      <c r="J333" s="1764"/>
      <c r="K333" s="1722">
        <f>H333</f>
        <v>0</v>
      </c>
      <c r="L333" s="1624">
        <v>0</v>
      </c>
      <c r="M333" s="539"/>
      <c r="N333" s="539"/>
    </row>
    <row r="334" spans="1:14" s="548" customFormat="1" ht="12.7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7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351" t="s">
        <v>989</v>
      </c>
      <c r="B343" s="2352"/>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41" t="s">
        <v>960</v>
      </c>
      <c r="B345" s="2342"/>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c r="F349" s="1623"/>
      <c r="G349" s="1623"/>
      <c r="H349" s="1623"/>
      <c r="I349" s="1624"/>
      <c r="J349" s="1624"/>
      <c r="K349" s="1722">
        <f>SUM(C349:J349)</f>
        <v>0</v>
      </c>
      <c r="L349" s="1623">
        <v>0</v>
      </c>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c r="I354" s="1766"/>
      <c r="J354" s="1723"/>
      <c r="K354" s="1763">
        <f>H354</f>
        <v>0</v>
      </c>
      <c r="L354" s="1627">
        <v>0</v>
      </c>
    </row>
    <row r="355" spans="1:14" ht="12.75" customHeight="1" x14ac:dyDescent="0.2">
      <c r="A355" s="1328" t="s">
        <v>1825</v>
      </c>
      <c r="B355" s="562" t="s">
        <v>1818</v>
      </c>
      <c r="C355" s="1723"/>
      <c r="D355" s="1723"/>
      <c r="E355" s="1723"/>
      <c r="F355" s="1723"/>
      <c r="G355" s="1723"/>
      <c r="H355" s="1624"/>
      <c r="I355" s="1766"/>
      <c r="J355" s="1723"/>
      <c r="K355" s="1657">
        <f>H355</f>
        <v>0</v>
      </c>
      <c r="L355" s="1624">
        <v>0</v>
      </c>
    </row>
    <row r="356" spans="1:14" ht="12.75" customHeight="1" x14ac:dyDescent="0.2">
      <c r="A356" s="1518" t="s">
        <v>693</v>
      </c>
      <c r="B356" s="557" t="s">
        <v>554</v>
      </c>
      <c r="C356" s="1723"/>
      <c r="D356" s="1723"/>
      <c r="E356" s="1723"/>
      <c r="F356" s="1723"/>
      <c r="G356" s="1723"/>
      <c r="H356" s="1634"/>
      <c r="I356" s="1766"/>
      <c r="J356" s="1723"/>
      <c r="K356" s="1650">
        <f>H356</f>
        <v>0</v>
      </c>
      <c r="L356" s="1634">
        <v>0</v>
      </c>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75" customHeight="1" x14ac:dyDescent="0.2">
      <c r="A361" s="1320" t="s">
        <v>615</v>
      </c>
      <c r="B361" s="494" t="s">
        <v>614</v>
      </c>
      <c r="C361" s="1723"/>
      <c r="D361" s="1723"/>
      <c r="E361" s="1723"/>
      <c r="F361" s="1723"/>
      <c r="G361" s="1723"/>
      <c r="H361" s="1624"/>
      <c r="I361" s="1723"/>
      <c r="J361" s="1723"/>
      <c r="K361" s="1722">
        <f>SUM(C361:J361)</f>
        <v>0</v>
      </c>
      <c r="L361" s="1623">
        <v>0</v>
      </c>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338" t="s">
        <v>989</v>
      </c>
      <c r="B368" s="2339"/>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customSheetViews>
    <customSheetView guid="{27400517-D544-41E2-9D13-0D8FC40AA704}" scale="60" colorId="8" showPageBreaks="1" showGridLines="0" view="pageBreakPreview">
      <pane ySplit="2" topLeftCell="A318" activePane="bottomLeft" state="frozen"/>
      <selection pane="bottomLeft" activeCell="T346" sqref="T346"/>
      <rowBreaks count="6" manualBreakCount="6">
        <brk id="57" max="16383" man="1"/>
        <brk id="112" max="16383" man="1"/>
        <brk id="160" max="16383" man="1"/>
        <brk id="206" max="16383" man="1"/>
        <brk id="261" max="16383" man="1"/>
        <brk id="316" max="16383" man="1"/>
      </rowBreaks>
      <pageMargins left="0.75" right="0.75" top="1.1000000000000001" bottom="0.5" header="0.5" footer="0.5"/>
      <printOptions horizontalCentered="1"/>
      <pageSetup scale="60" firstPageNumber="15" fitToHeight="0" orientation="landscape" r:id="rId1"/>
      <headerFooter>
        <oddHeader xml:space="preserve">&amp;C&amp;"Times New Roman,Regular"REGION III SPECIAL EDUCATION COOPERATIVE
STATEMENT OF EXPENDITURES - MODIFIED ACCRUAL - REGULATORY BASIS
(ACTUAL AND BUDGET) 
ALL FUNDS
FOR THE YEAR ENDED JUNE 30, 2020
</oddHeader>
        <oddFooter>&amp;C&amp;"Times New Roman,Regular"See Notes to Financial Statements and Independent Auditor’s Reports
&amp;P</oddFooter>
      </headerFooter>
    </customSheetView>
    <customSheetView guid="{00BB9B19-FC1B-492E-A95E-CC052A0B5070}" scale="60" colorId="8" showPageBreaks="1" showGridLines="0" view="pageBreakPreview">
      <pane ySplit="2" topLeftCell="A318" activePane="bottomLeft" state="frozen"/>
      <selection pane="bottomLeft" activeCell="T346" sqref="T346"/>
      <rowBreaks count="6" manualBreakCount="6">
        <brk id="57" max="16383" man="1"/>
        <brk id="112" max="16383" man="1"/>
        <brk id="160" max="16383" man="1"/>
        <brk id="206" max="16383" man="1"/>
        <brk id="261" max="16383" man="1"/>
        <brk id="316" max="16383" man="1"/>
      </rowBreaks>
      <pageMargins left="0.75" right="0.75" top="1.1000000000000001" bottom="0.5" header="0.5" footer="0.5"/>
      <printOptions horizontalCentered="1"/>
      <pageSetup scale="60" firstPageNumber="15" fitToHeight="0" orientation="landscape" r:id="rId2"/>
      <headerFooter>
        <oddHeader xml:space="preserve">&amp;C&amp;"Times New Roman,Regular"REGION III SPECIAL EDUCATION COOPERATIVE
STATEMENT OF EXPENDITURES - MODIFIED ACCRUAL - REGULATORY BASIS
(ACTUAL AND BUDGET) 
ALL FUNDS
FOR THE YEAR ENDED JUNE 30, 2020
</oddHeader>
        <oddFooter>&amp;C&amp;"Times New Roman,Regular"See Notes to Financial Statements and Independent Auditor’s Reports
&amp;P</oddFooter>
      </headerFooter>
    </customSheetView>
    <customSheetView guid="{DCE9EA22-7307-4505-BC41-9954A9C79245}" scale="60" colorId="8" showPageBreaks="1" showGridLines="0" view="pageBreakPreview">
      <pane ySplit="2" topLeftCell="A318" activePane="bottomLeft" state="frozen"/>
      <selection pane="bottomLeft" activeCell="T346" sqref="T346"/>
      <rowBreaks count="6" manualBreakCount="6">
        <brk id="57" max="16383" man="1"/>
        <brk id="112" max="16383" man="1"/>
        <brk id="160" max="16383" man="1"/>
        <brk id="206" max="16383" man="1"/>
        <brk id="261" max="16383" man="1"/>
        <brk id="316" max="16383" man="1"/>
      </rowBreaks>
      <pageMargins left="0.75" right="0.75" top="1.1000000000000001" bottom="0.5" header="0.5" footer="0.5"/>
      <printOptions horizontalCentered="1"/>
      <pageSetup scale="60" firstPageNumber="15" fitToHeight="0" orientation="landscape" r:id="rId3"/>
      <headerFooter>
        <oddHeader xml:space="preserve">&amp;C&amp;"Times New Roman,Regular"REGION III SPECIAL EDUCATION COOPERATIVE
STATEMENT OF EXPENDITURES - MODIFIED ACCRUAL - REGULATORY BASIS
(ACTUAL AND BUDGET) 
ALL FUNDS
FOR THE YEAR ENDED JUNE 30, 2020
</oddHeader>
        <oddFooter>&amp;C&amp;"Times New Roman,Regular"See Notes to Financial Statements and Independent Auditor’s Reports
&amp;P</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gridLinesSet="0"/>
  <pageMargins left="0.75" right="0.75" top="1.1000000000000001" bottom="0.5" header="0.5" footer="0.5"/>
  <pageSetup scale="60" firstPageNumber="15" fitToHeight="0" orientation="landscape" r:id="rId4"/>
  <headerFooter>
    <oddHeader xml:space="preserve">&amp;C&amp;"Times New Roman,Regular"REGION III SPECIAL EDUCATION COOPERATIVE
STATEMENT OF EXPENDITURES - MODIFIED ACCRUAL - REGULATORY BASIS
(ACTUAL AND BUDGET) 
ALL FUNDS
FOR THE YEAR ENDED JUNE 30, 2020
</oddHeader>
    <oddFooter>&amp;C&amp;"Times New Roman,Regular"See Notes to Financial Statements and Independent Auditor’s Reports
&amp;P</oddFooter>
  </headerFooter>
  <rowBreaks count="6" manualBreakCount="6">
    <brk id="57" max="16383" man="1"/>
    <brk id="112" max="16383" man="1"/>
    <brk id="160" max="16383" man="1"/>
    <brk id="206" max="16383" man="1"/>
    <brk id="261" max="16383" man="1"/>
    <brk id="316" max="16383" man="1"/>
  </rowBreak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17" sqref="A17:H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5"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6"/>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customSheetViews>
    <customSheetView guid="{27400517-D544-41E2-9D13-0D8FC40AA704}" scale="110" colorId="8" showGridLines="0">
      <selection activeCell="A17" sqref="A17:H17"/>
      <pageMargins left="0.75" right="0.75" top="1.5" bottom="0.5" header="0.5" footer="0.5"/>
      <printOptions horizontalCentered="1"/>
      <pageSetup scale="94" firstPageNumber="51" orientation="landscape" useFirstPageNumber="1" r:id="rId1"/>
      <headerFooter>
        <oddHeader xml:space="preserve">&amp;C&amp;"Times New Roman,Regular"REGION III SPECIAL EDUCATION COOPERATIVE
SCHEDULE OF AD VALOREM TAX RECEIPTS
FOR THE YEAR ENDED JUNE 30, 2020
</oddHeader>
        <oddFooter>&amp;C&amp;"Times New Roman,Regular"See Independent Auditor’s Reports
&amp;P</oddFooter>
      </headerFooter>
    </customSheetView>
    <customSheetView guid="{00BB9B19-FC1B-492E-A95E-CC052A0B5070}" scale="110" colorId="8" showGridLines="0">
      <selection activeCell="A17" sqref="A17:H17"/>
      <pageMargins left="0.75" right="0.75" top="1.5" bottom="0.5" header="0.5" footer="0.5"/>
      <printOptions horizontalCentered="1"/>
      <pageSetup scale="94" firstPageNumber="51" orientation="landscape" useFirstPageNumber="1" r:id="rId2"/>
      <headerFooter>
        <oddHeader xml:space="preserve">&amp;C&amp;"Times New Roman,Regular"REGION III SPECIAL EDUCATION COOPERATIVE
SCHEDULE OF AD VALOREM TAX RECEIPTS
FOR THE YEAR ENDED JUNE 30, 2020
</oddHeader>
        <oddFooter>&amp;C&amp;"Times New Roman,Regular"See Independent Auditor’s Reports
&amp;P</oddFooter>
      </headerFooter>
    </customSheetView>
    <customSheetView guid="{DCE9EA22-7307-4505-BC41-9954A9C79245}" scale="110" colorId="8" showGridLines="0">
      <selection activeCell="A17" sqref="A17:H17"/>
      <pageMargins left="0.75" right="0.75" top="1.5" bottom="0.5" header="0.5" footer="0.5"/>
      <printOptions horizontalCentered="1"/>
      <pageSetup scale="94" firstPageNumber="51" orientation="landscape" useFirstPageNumber="1" r:id="rId3"/>
      <headerFooter>
        <oddHeader xml:space="preserve">&amp;C&amp;"Times New Roman,Regular"REGION III SPECIAL EDUCATION COOPERATIVE
SCHEDULE OF AD VALOREM TAX RECEIPTS
FOR THE YEAR ENDED JUNE 30, 2020
</oddHeader>
        <oddFooter>&amp;C&amp;"Times New Roman,Regular"See Independent Auditor’s Reports
&amp;P</oddFooter>
      </headerFooter>
    </customSheetView>
  </customSheetViews>
  <mergeCells count="1">
    <mergeCell ref="A2:A3"/>
  </mergeCells>
  <phoneticPr fontId="15" type="noConversion"/>
  <printOptions horizontalCentered="1" gridLinesSet="0"/>
  <pageMargins left="0.75" right="0.75" top="1.5" bottom="0.5" header="0.5" footer="0.5"/>
  <pageSetup scale="94" firstPageNumber="52" orientation="landscape" useFirstPageNumber="1" r:id="rId4"/>
  <headerFooter>
    <oddHeader xml:space="preserve">&amp;C&amp;"Times New Roman,Regular"REGION III SPECIAL EDUCATION COOPERATIVE
SCHEDULE OF AD VALOREM TAX RECEIPTS
FOR THE YEAR ENDED JUNE 30, 2020
</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8" colorId="8" zoomScale="110" zoomScaleNormal="110" workbookViewId="0">
      <selection activeCell="A17" sqref="A17:H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7" t="s">
        <v>625</v>
      </c>
      <c r="B1" s="2385"/>
      <c r="C1" s="585"/>
    </row>
    <row r="2" spans="1:7" ht="33.75" x14ac:dyDescent="0.2">
      <c r="A2" s="2392" t="s">
        <v>1779</v>
      </c>
      <c r="B2" s="2393"/>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94" t="s">
        <v>1106</v>
      </c>
      <c r="B3" s="2395"/>
      <c r="C3" s="2388"/>
      <c r="D3" s="2389"/>
      <c r="E3" s="2389"/>
      <c r="F3" s="2390"/>
    </row>
    <row r="4" spans="1:7" ht="12.75" customHeight="1" thickBot="1" x14ac:dyDescent="0.25">
      <c r="A4" s="2382" t="s">
        <v>626</v>
      </c>
      <c r="B4" s="2383"/>
      <c r="C4" s="1706"/>
      <c r="D4" s="1706"/>
      <c r="E4" s="1706"/>
      <c r="F4" s="1782">
        <f>SUM(C4+D4)-E4</f>
        <v>0</v>
      </c>
    </row>
    <row r="5" spans="1:7" ht="15.75" customHeight="1" thickTop="1" x14ac:dyDescent="0.2">
      <c r="A5" s="2386" t="s">
        <v>1103</v>
      </c>
      <c r="B5" s="2381"/>
      <c r="C5" s="2375"/>
      <c r="D5" s="2376"/>
      <c r="E5" s="2376"/>
      <c r="F5" s="2377"/>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8" t="s">
        <v>627</v>
      </c>
      <c r="B15" s="2379"/>
      <c r="C15" s="1782">
        <f>SUM(C6:C14)</f>
        <v>0</v>
      </c>
      <c r="D15" s="1782">
        <f>SUM(D6:D14)</f>
        <v>0</v>
      </c>
      <c r="E15" s="1782">
        <f>SUM(E6:E14)</f>
        <v>0</v>
      </c>
      <c r="F15" s="1782">
        <f>SUM(F6:F14)</f>
        <v>0</v>
      </c>
      <c r="G15" s="473"/>
    </row>
    <row r="16" spans="1:7" s="197" customFormat="1" ht="15.75" customHeight="1" thickTop="1" x14ac:dyDescent="0.2">
      <c r="A16" s="2391" t="s">
        <v>1104</v>
      </c>
      <c r="B16" s="2381"/>
      <c r="C16" s="2375"/>
      <c r="D16" s="2376"/>
      <c r="E16" s="2376"/>
      <c r="F16" s="2377"/>
    </row>
    <row r="17" spans="1:11" ht="12.75" customHeight="1" thickBot="1" x14ac:dyDescent="0.25">
      <c r="A17" s="2373" t="s">
        <v>64</v>
      </c>
      <c r="B17" s="2374"/>
      <c r="C17" s="1783"/>
      <c r="D17" s="1714"/>
      <c r="E17" s="1783"/>
      <c r="F17" s="1782">
        <f>SUM(C17+D17)-E17</f>
        <v>0</v>
      </c>
    </row>
    <row r="18" spans="1:11" ht="12.75" customHeight="1" thickTop="1" thickBot="1" x14ac:dyDescent="0.25">
      <c r="A18" s="2373" t="s">
        <v>6</v>
      </c>
      <c r="B18" s="2374"/>
      <c r="C18" s="1783"/>
      <c r="D18" s="1714"/>
      <c r="E18" s="1783"/>
      <c r="F18" s="1782">
        <f>SUM(C18+D18)-E18</f>
        <v>0</v>
      </c>
    </row>
    <row r="19" spans="1:11" ht="12.75" customHeight="1" thickTop="1" thickBot="1" x14ac:dyDescent="0.25">
      <c r="A19" s="2373" t="s">
        <v>385</v>
      </c>
      <c r="B19" s="2374"/>
      <c r="C19" s="1783"/>
      <c r="D19" s="1714"/>
      <c r="E19" s="1783"/>
      <c r="F19" s="1782">
        <f>SUM(C19+D19)-E19</f>
        <v>0</v>
      </c>
    </row>
    <row r="20" spans="1:11" ht="12.75" customHeight="1" thickTop="1" thickBot="1" x14ac:dyDescent="0.25">
      <c r="A20" s="2373" t="s">
        <v>445</v>
      </c>
      <c r="B20" s="2374"/>
      <c r="C20" s="1783"/>
      <c r="D20" s="1714"/>
      <c r="E20" s="1783"/>
      <c r="F20" s="1782">
        <f>SUM(C20+D20)-E20</f>
        <v>0</v>
      </c>
    </row>
    <row r="21" spans="1:11" ht="14.25" thickTop="1" thickBot="1" x14ac:dyDescent="0.25">
      <c r="A21" s="2378" t="s">
        <v>628</v>
      </c>
      <c r="B21" s="2379"/>
      <c r="C21" s="1782">
        <f>SUM(C17:C20)</f>
        <v>0</v>
      </c>
      <c r="D21" s="1782">
        <f>SUM(D17:D20)</f>
        <v>0</v>
      </c>
      <c r="E21" s="1782">
        <f>SUM(E17:E20)</f>
        <v>0</v>
      </c>
      <c r="F21" s="1782">
        <f>SUM(F17:F20)</f>
        <v>0</v>
      </c>
      <c r="G21" s="473"/>
    </row>
    <row r="22" spans="1:11" ht="15.75" customHeight="1" thickTop="1" x14ac:dyDescent="0.2">
      <c r="A22" s="2380" t="s">
        <v>1105</v>
      </c>
      <c r="B22" s="2381"/>
      <c r="C22" s="2375"/>
      <c r="D22" s="2376"/>
      <c r="E22" s="2376"/>
      <c r="F22" s="2377"/>
    </row>
    <row r="23" spans="1:11" ht="13.5" thickBot="1" x14ac:dyDescent="0.25">
      <c r="A23" s="2382" t="s">
        <v>629</v>
      </c>
      <c r="B23" s="2383"/>
      <c r="C23" s="1706"/>
      <c r="D23" s="1706"/>
      <c r="E23" s="1706"/>
      <c r="F23" s="1782">
        <f>SUM(C23+D23)-E23</f>
        <v>0</v>
      </c>
      <c r="G23" s="473"/>
    </row>
    <row r="24" spans="1:11" ht="15.75" customHeight="1" thickTop="1" x14ac:dyDescent="0.2">
      <c r="A24" s="2380" t="s">
        <v>2006</v>
      </c>
      <c r="B24" s="2381"/>
      <c r="C24" s="2375"/>
      <c r="D24" s="2376"/>
      <c r="E24" s="2376"/>
      <c r="F24" s="2377"/>
    </row>
    <row r="25" spans="1:11" ht="13.5" thickBot="1" x14ac:dyDescent="0.25">
      <c r="A25" s="2382" t="s">
        <v>2007</v>
      </c>
      <c r="B25" s="2383"/>
      <c r="C25" s="1706"/>
      <c r="D25" s="1706"/>
      <c r="E25" s="1706"/>
      <c r="F25" s="1782">
        <f>SUM(C25+D25)-E25</f>
        <v>0</v>
      </c>
      <c r="G25" s="473"/>
    </row>
    <row r="26" spans="1:11" ht="15.75" customHeight="1" thickTop="1" x14ac:dyDescent="0.2">
      <c r="A26" s="2386" t="s">
        <v>652</v>
      </c>
      <c r="B26" s="2381"/>
      <c r="C26" s="589"/>
      <c r="D26" s="589"/>
      <c r="E26" s="589"/>
      <c r="F26" s="590"/>
    </row>
    <row r="27" spans="1:11" ht="13.5" thickBot="1" x14ac:dyDescent="0.25">
      <c r="A27" s="2378" t="s">
        <v>1063</v>
      </c>
      <c r="B27" s="2379"/>
      <c r="C27" s="1714"/>
      <c r="D27" s="1714"/>
      <c r="E27" s="1714"/>
      <c r="F27" s="1782">
        <f>SUM(C27+D27)-E27</f>
        <v>0</v>
      </c>
      <c r="G27" s="473"/>
    </row>
    <row r="28" spans="1:11" ht="7.5" customHeight="1" thickTop="1" x14ac:dyDescent="0.2">
      <c r="A28" s="489"/>
    </row>
    <row r="29" spans="1:11" ht="23.25" customHeight="1" x14ac:dyDescent="0.2">
      <c r="A29" s="2384" t="s">
        <v>578</v>
      </c>
      <c r="B29" s="2385"/>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67" t="s">
        <v>580</v>
      </c>
      <c r="C52" s="2368"/>
      <c r="D52" s="2368"/>
      <c r="E52" s="603" t="s">
        <v>840</v>
      </c>
      <c r="F52" s="2369"/>
      <c r="G52" s="2370"/>
      <c r="H52" s="596"/>
      <c r="I52" s="596"/>
      <c r="J52" s="600"/>
    </row>
    <row r="53" spans="1:11" ht="11.25" customHeight="1" x14ac:dyDescent="0.2">
      <c r="A53" s="604" t="s">
        <v>907</v>
      </c>
      <c r="B53" s="605" t="s">
        <v>945</v>
      </c>
      <c r="C53" s="600"/>
      <c r="D53" s="597"/>
      <c r="E53" s="603" t="s">
        <v>494</v>
      </c>
      <c r="F53" s="2371"/>
      <c r="G53" s="2372"/>
      <c r="H53" s="596"/>
      <c r="I53" s="596"/>
      <c r="J53" s="600"/>
    </row>
    <row r="54" spans="1:11" ht="11.25" customHeight="1" x14ac:dyDescent="0.2">
      <c r="A54" s="606" t="s">
        <v>908</v>
      </c>
      <c r="B54" s="601" t="s">
        <v>946</v>
      </c>
      <c r="C54" s="600"/>
      <c r="D54" s="597"/>
      <c r="E54" s="603" t="s">
        <v>495</v>
      </c>
      <c r="F54" s="2371"/>
      <c r="G54" s="237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27400517-D544-41E2-9D13-0D8FC40AA704}" scale="110" colorId="8" showGridLines="0" topLeftCell="A28">
      <selection activeCell="A17" sqref="A17:H17"/>
      <pageMargins left="0.75" right="0.75" top="0.9" bottom="0.5" header="0.5" footer="0.5"/>
      <printOptions horizontalCentered="1"/>
      <pageSetup scale="65" firstPageNumber="24" fitToHeight="0" orientation="landscape" r:id="rId1"/>
      <headerFooter>
        <oddHeader xml:space="preserve">&amp;C&amp;"Times New Roman,Regular"REGION III SPECIAL EDUCATION COOPERATIVE
SCHEDULE OF SHORT-TERM AND LONG-TERM DEBT
FOR THE YEAR ENDED JUNE 30, 2020
</oddHeader>
        <oddFooter>&amp;C&amp;"Times New Roman,Regular"See Independent Auditor’s Reports
&amp;P</oddFooter>
      </headerFooter>
    </customSheetView>
    <customSheetView guid="{00BB9B19-FC1B-492E-A95E-CC052A0B5070}" scale="110" colorId="8" showGridLines="0" topLeftCell="A28">
      <selection activeCell="A17" sqref="A17:H17"/>
      <pageMargins left="0.75" right="0.75" top="0.9" bottom="0.5" header="0.5" footer="0.5"/>
      <printOptions horizontalCentered="1"/>
      <pageSetup scale="65" firstPageNumber="24" fitToHeight="0" orientation="landscape" r:id="rId2"/>
      <headerFooter>
        <oddHeader xml:space="preserve">&amp;C&amp;"Times New Roman,Regular"REGION III SPECIAL EDUCATION COOPERATIVE
SCHEDULE OF SHORT-TERM AND LONG-TERM DEBT
FOR THE YEAR ENDED JUNE 30, 2020
</oddHeader>
        <oddFooter>&amp;C&amp;"Times New Roman,Regular"See Independent Auditor’s Reports
&amp;P</oddFooter>
      </headerFooter>
    </customSheetView>
    <customSheetView guid="{DCE9EA22-7307-4505-BC41-9954A9C79245}" scale="110" colorId="8" showGridLines="0" topLeftCell="A28">
      <selection activeCell="A17" sqref="A17:H17"/>
      <pageMargins left="0.75" right="0.75" top="0.9" bottom="0.5" header="0.5" footer="0.5"/>
      <printOptions horizontalCentered="1"/>
      <pageSetup scale="65" firstPageNumber="24" fitToHeight="0" orientation="landscape" r:id="rId3"/>
      <headerFooter>
        <oddHeader xml:space="preserve">&amp;C&amp;"Times New Roman,Regular"REGION III SPECIAL EDUCATION COOPERATIVE
SCHEDULE OF SHORT-TERM AND LONG-TERM DEBT
FOR THE YEAR ENDED JUNE 30, 2020
</oddHeader>
        <oddFooter>&amp;C&amp;"Times New Roman,Regular"See Independent Auditor’s Reports
&amp;P</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0.9" bottom="0.5" header="0.5" footer="0.5"/>
  <pageSetup scale="65" firstPageNumber="24" fitToHeight="0" orientation="landscape" r:id="rId4"/>
  <headerFooter>
    <oddHeader xml:space="preserve">&amp;C&amp;"Times New Roman,Regular"REGION III SPECIAL EDUCATION COOPERATIVE
SCHEDULE OF SHORT-TERM AND LONG-TERM DEBT
FOR THE YEAR ENDED JUNE 30, 2020
</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O32" sqref="O3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6" t="s">
        <v>851</v>
      </c>
      <c r="B1" s="2397"/>
      <c r="C1" s="2397"/>
      <c r="D1" s="2397"/>
      <c r="E1" s="2397"/>
      <c r="F1" s="2397"/>
      <c r="G1" s="2398"/>
      <c r="H1" s="1343"/>
      <c r="I1" s="614"/>
      <c r="J1" s="400"/>
    </row>
    <row r="2" spans="1:11" ht="26.25" x14ac:dyDescent="0.2">
      <c r="A2" s="2415" t="s">
        <v>1661</v>
      </c>
      <c r="B2" s="2416"/>
      <c r="C2" s="2416"/>
      <c r="D2" s="2416"/>
      <c r="E2" s="2417"/>
      <c r="F2" s="615" t="s">
        <v>898</v>
      </c>
      <c r="G2" s="616" t="s">
        <v>1658</v>
      </c>
      <c r="H2" s="616" t="s">
        <v>407</v>
      </c>
      <c r="I2" s="616" t="s">
        <v>1150</v>
      </c>
      <c r="J2" s="616" t="s">
        <v>1789</v>
      </c>
      <c r="K2" s="616" t="s">
        <v>137</v>
      </c>
    </row>
    <row r="3" spans="1:11" x14ac:dyDescent="0.2">
      <c r="A3" s="2418" t="str">
        <f>"Cash Basis Fund Balance as of July 1, "&amp;'AFR20'!E2-1</f>
        <v>Cash Basis Fund Balance as of July 1, 2019</v>
      </c>
      <c r="B3" s="2419"/>
      <c r="C3" s="2419"/>
      <c r="D3" s="2419"/>
      <c r="E3" s="2420"/>
      <c r="F3" s="617"/>
      <c r="G3" s="1794"/>
      <c r="H3" s="1794"/>
      <c r="I3" s="1794"/>
      <c r="J3" s="1795"/>
      <c r="K3" s="1795"/>
    </row>
    <row r="4" spans="1:11" x14ac:dyDescent="0.2">
      <c r="A4" s="2421" t="s">
        <v>366</v>
      </c>
      <c r="B4" s="2422"/>
      <c r="C4" s="2422"/>
      <c r="D4" s="2422"/>
      <c r="E4" s="2368"/>
      <c r="F4" s="620"/>
      <c r="G4" s="1796"/>
      <c r="H4" s="1797"/>
      <c r="I4" s="1796"/>
      <c r="J4" s="1798"/>
      <c r="K4" s="1798"/>
    </row>
    <row r="5" spans="1:11" x14ac:dyDescent="0.2">
      <c r="A5" s="2399" t="s">
        <v>1062</v>
      </c>
      <c r="B5" s="2400"/>
      <c r="C5" s="2400"/>
      <c r="D5" s="2400"/>
      <c r="E5" s="2401"/>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99" t="s">
        <v>1790</v>
      </c>
      <c r="B10" s="2400"/>
      <c r="C10" s="2400"/>
      <c r="D10" s="2400"/>
      <c r="E10" s="2402"/>
      <c r="F10" s="633" t="s">
        <v>857</v>
      </c>
      <c r="G10" s="1803"/>
      <c r="H10" s="1804"/>
      <c r="I10" s="1794"/>
      <c r="J10" s="1795"/>
      <c r="K10" s="1795"/>
    </row>
    <row r="11" spans="1:11" x14ac:dyDescent="0.2">
      <c r="A11" s="2399" t="s">
        <v>159</v>
      </c>
      <c r="B11" s="2400"/>
      <c r="C11" s="2400"/>
      <c r="D11" s="2400"/>
      <c r="E11" s="2401"/>
      <c r="F11" s="622" t="s">
        <v>847</v>
      </c>
      <c r="G11" s="1799"/>
      <c r="H11" s="1794"/>
      <c r="I11" s="1794"/>
      <c r="J11" s="1795"/>
      <c r="K11" s="1801"/>
    </row>
    <row r="12" spans="1:11" ht="13.5" thickBot="1" x14ac:dyDescent="0.25">
      <c r="A12" s="2426" t="s">
        <v>899</v>
      </c>
      <c r="B12" s="2427"/>
      <c r="C12" s="2427"/>
      <c r="D12" s="2427"/>
      <c r="E12" s="2428"/>
      <c r="F12" s="1482"/>
      <c r="G12" s="1805">
        <f>SUM(G5:G11)</f>
        <v>0</v>
      </c>
      <c r="H12" s="1805">
        <f>SUM(H5:H11)</f>
        <v>0</v>
      </c>
      <c r="I12" s="1805">
        <f>SUM(I5:I11)</f>
        <v>0</v>
      </c>
      <c r="J12" s="1805">
        <f>SUM(J5:J11)</f>
        <v>0</v>
      </c>
      <c r="K12" s="1805">
        <f>SUM(K5:K11)</f>
        <v>0</v>
      </c>
    </row>
    <row r="13" spans="1:11" ht="13.5" thickTop="1" x14ac:dyDescent="0.2">
      <c r="A13" s="2423" t="s">
        <v>367</v>
      </c>
      <c r="B13" s="2424"/>
      <c r="C13" s="2424"/>
      <c r="D13" s="2424"/>
      <c r="E13" s="2425"/>
      <c r="F13" s="634"/>
      <c r="G13" s="1806"/>
      <c r="H13" s="1807"/>
      <c r="I13" s="1808"/>
      <c r="J13" s="1808"/>
      <c r="K13" s="1808"/>
    </row>
    <row r="14" spans="1:11" x14ac:dyDescent="0.2">
      <c r="A14" s="2406" t="s">
        <v>453</v>
      </c>
      <c r="B14" s="2406"/>
      <c r="C14" s="2406"/>
      <c r="D14" s="2406"/>
      <c r="E14" s="2407"/>
      <c r="F14" s="635" t="s">
        <v>849</v>
      </c>
      <c r="G14" s="1803"/>
      <c r="H14" s="1794"/>
      <c r="I14" s="1799"/>
      <c r="J14" s="1801"/>
      <c r="K14" s="1795"/>
    </row>
    <row r="15" spans="1:11" x14ac:dyDescent="0.2">
      <c r="A15" s="2400" t="s">
        <v>4</v>
      </c>
      <c r="B15" s="2400"/>
      <c r="C15" s="2400"/>
      <c r="D15" s="2400"/>
      <c r="E15" s="2401"/>
      <c r="F15" s="635" t="s">
        <v>850</v>
      </c>
      <c r="G15" s="1799"/>
      <c r="H15" s="1794"/>
      <c r="I15" s="1794"/>
      <c r="J15" s="1795"/>
      <c r="K15" s="1795"/>
    </row>
    <row r="16" spans="1:11" x14ac:dyDescent="0.2">
      <c r="A16" s="2400" t="s">
        <v>295</v>
      </c>
      <c r="B16" s="2400"/>
      <c r="C16" s="2400"/>
      <c r="D16" s="2400"/>
      <c r="E16" s="2401"/>
      <c r="F16" s="635" t="s">
        <v>917</v>
      </c>
      <c r="G16" s="1800"/>
      <c r="H16" s="1796"/>
      <c r="I16" s="1796"/>
      <c r="J16" s="1798"/>
      <c r="K16" s="1798"/>
    </row>
    <row r="17" spans="1:15" x14ac:dyDescent="0.2">
      <c r="A17" s="2433" t="s">
        <v>929</v>
      </c>
      <c r="B17" s="2433"/>
      <c r="C17" s="2433"/>
      <c r="D17" s="2433"/>
      <c r="E17" s="2434"/>
      <c r="F17" s="636"/>
      <c r="G17" s="1809"/>
      <c r="H17" s="1810"/>
      <c r="I17" s="1810"/>
      <c r="J17" s="1811"/>
      <c r="K17" s="1812"/>
    </row>
    <row r="18" spans="1:15" x14ac:dyDescent="0.2">
      <c r="A18" s="2410" t="s">
        <v>365</v>
      </c>
      <c r="B18" s="2411"/>
      <c r="C18" s="2411"/>
      <c r="D18" s="2411"/>
      <c r="E18" s="2412"/>
      <c r="F18" s="635" t="s">
        <v>926</v>
      </c>
      <c r="G18" s="1803"/>
      <c r="H18" s="1803"/>
      <c r="I18" s="1803"/>
      <c r="J18" s="1795"/>
      <c r="K18" s="1813"/>
    </row>
    <row r="19" spans="1:15" ht="21.75" customHeight="1" x14ac:dyDescent="0.2">
      <c r="A19" s="2408" t="s">
        <v>1786</v>
      </c>
      <c r="B19" s="2408"/>
      <c r="C19" s="2408"/>
      <c r="D19" s="2408"/>
      <c r="E19" s="2409"/>
      <c r="F19" s="635" t="s">
        <v>927</v>
      </c>
      <c r="G19" s="1803"/>
      <c r="H19" s="1803"/>
      <c r="I19" s="1803"/>
      <c r="J19" s="1795"/>
      <c r="K19" s="1813"/>
    </row>
    <row r="20" spans="1:15" x14ac:dyDescent="0.2">
      <c r="A20" s="2410" t="s">
        <v>1791</v>
      </c>
      <c r="B20" s="2411"/>
      <c r="C20" s="2411"/>
      <c r="D20" s="2411"/>
      <c r="E20" s="2412"/>
      <c r="F20" s="635" t="s">
        <v>928</v>
      </c>
      <c r="G20" s="1803"/>
      <c r="H20" s="1803"/>
      <c r="I20" s="1803"/>
      <c r="J20" s="1795"/>
      <c r="K20" s="1813"/>
    </row>
    <row r="21" spans="1:15" ht="13.5" thickBot="1" x14ac:dyDescent="0.25">
      <c r="A21" s="2429" t="s">
        <v>633</v>
      </c>
      <c r="B21" s="2429"/>
      <c r="C21" s="2429"/>
      <c r="D21" s="2429"/>
      <c r="E21" s="2429"/>
      <c r="F21" s="1483"/>
      <c r="G21" s="1810"/>
      <c r="H21" s="1814"/>
      <c r="I21" s="1814"/>
      <c r="J21" s="1815">
        <f>SUM(J18:J20)</f>
        <v>0</v>
      </c>
      <c r="K21" s="1811"/>
    </row>
    <row r="22" spans="1:15" ht="13.5" thickTop="1" x14ac:dyDescent="0.2">
      <c r="A22" s="2400" t="s">
        <v>1792</v>
      </c>
      <c r="B22" s="2400"/>
      <c r="C22" s="2400"/>
      <c r="D22" s="2400"/>
      <c r="E22" s="2401"/>
      <c r="F22" s="635" t="s">
        <v>857</v>
      </c>
      <c r="G22" s="1803"/>
      <c r="H22" s="1794"/>
      <c r="I22" s="1794"/>
      <c r="J22" s="1816"/>
      <c r="K22" s="1795"/>
    </row>
    <row r="23" spans="1:15" ht="13.5" thickBot="1" x14ac:dyDescent="0.25">
      <c r="A23" s="2430" t="s">
        <v>900</v>
      </c>
      <c r="B23" s="2429"/>
      <c r="C23" s="2429"/>
      <c r="D23" s="2429"/>
      <c r="E23" s="2429"/>
      <c r="F23" s="1485"/>
      <c r="G23" s="1805">
        <f>SUM(G14:G16,G21,G22)</f>
        <v>0</v>
      </c>
      <c r="H23" s="1805">
        <f>SUM(H14:H16,H21,H22)</f>
        <v>0</v>
      </c>
      <c r="I23" s="1805">
        <f>SUM(I14:I16,I21,I22)</f>
        <v>0</v>
      </c>
      <c r="J23" s="1805">
        <f>SUM(J14:J16,J21,J22)</f>
        <v>0</v>
      </c>
      <c r="K23" s="1805">
        <f>SUM(K14:K16,K21,K22)</f>
        <v>0</v>
      </c>
      <c r="M23" s="1904"/>
      <c r="N23" s="1904"/>
      <c r="O23" s="1904"/>
    </row>
    <row r="24" spans="1:15" ht="14.25" thickTop="1" thickBot="1" x14ac:dyDescent="0.25">
      <c r="A24" s="2431" t="str">
        <f>"Ending Cash Basis Fund Balance as of June 30, "&amp;'AFR20'!E2</f>
        <v>Ending Cash Basis Fund Balance as of June 30, 2020</v>
      </c>
      <c r="B24" s="2432"/>
      <c r="C24" s="2432"/>
      <c r="D24" s="2432"/>
      <c r="E24" s="2432"/>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03"/>
      <c r="I31" s="2404"/>
      <c r="J31" s="2404"/>
      <c r="K31" s="2404"/>
    </row>
    <row r="32" spans="1:15" x14ac:dyDescent="0.2">
      <c r="A32" s="649"/>
      <c r="B32" s="232"/>
      <c r="C32" s="232"/>
      <c r="D32" s="232"/>
      <c r="E32" s="645"/>
      <c r="F32" s="651" t="s">
        <v>537</v>
      </c>
      <c r="G32" s="618"/>
      <c r="H32" s="2405"/>
      <c r="I32" s="2404"/>
      <c r="J32" s="2404"/>
      <c r="K32" s="2404"/>
    </row>
    <row r="33" spans="1:11" ht="1.5" customHeight="1" x14ac:dyDescent="0.2">
      <c r="A33" s="652" t="s">
        <v>1161</v>
      </c>
      <c r="B33" s="341"/>
      <c r="C33" s="341"/>
      <c r="D33" s="341"/>
      <c r="E33" s="341"/>
      <c r="F33" s="341"/>
      <c r="G33" s="653"/>
      <c r="H33" s="2405"/>
      <c r="I33" s="2404"/>
      <c r="J33" s="2404"/>
      <c r="K33" s="240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00" t="s">
        <v>538</v>
      </c>
      <c r="B41" s="2413"/>
      <c r="C41" s="2413"/>
      <c r="D41" s="2413"/>
      <c r="E41" s="2413"/>
      <c r="F41" s="241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75" customHeight="1" x14ac:dyDescent="0.2">
      <c r="A47" s="661"/>
      <c r="B47" s="662" t="s">
        <v>1660</v>
      </c>
      <c r="E47" s="662"/>
      <c r="K47" s="664"/>
    </row>
    <row r="48" spans="1:11" ht="12.7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customSheetViews>
    <customSheetView guid="{27400517-D544-41E2-9D13-0D8FC40AA704}" scale="110" colorId="8" showGridLines="0">
      <selection activeCell="O32" sqref="O32"/>
      <pageMargins left="0.75" right="0.75" top="1.1000000000000001" bottom="0.5" header="0.5" footer="0.5"/>
      <printOptions horizontalCentered="1"/>
      <pageSetup scale="74" firstPageNumber="25" orientation="landscape" r:id="rId1"/>
      <headerFooter>
        <oddHeader xml:space="preserve">&amp;C&amp;"Times New Roman,Regular"REGION III SPECIAL EDUCATION COOPERATIVE
SCHEDULE OF RESTRICTED LOCAL TAX LEVIES AND SELECTED REVENUE SOURCES
SCHEDULE OF TORT IMMUNITY EXPENDITURES
FOR THE YEAR ENDED JUNE 30, 2020
</oddHeader>
        <oddFooter>&amp;C&amp;"Times New Roman,Regular"See Independent Auditor’s Reports
&amp;P</oddFooter>
      </headerFooter>
    </customSheetView>
    <customSheetView guid="{00BB9B19-FC1B-492E-A95E-CC052A0B5070}" scale="110" colorId="8" showGridLines="0">
      <selection activeCell="O32" sqref="O32"/>
      <pageMargins left="0.75" right="0.75" top="1.1000000000000001" bottom="0.5" header="0.5" footer="0.5"/>
      <printOptions horizontalCentered="1"/>
      <pageSetup scale="74" firstPageNumber="25" orientation="landscape" r:id="rId2"/>
      <headerFooter>
        <oddHeader xml:space="preserve">&amp;C&amp;"Times New Roman,Regular"REGION III SPECIAL EDUCATION COOPERATIVE
SCHEDULE OF RESTRICTED LOCAL TAX LEVIES AND SELECTED REVENUE SOURCES
SCHEDULE OF TORT IMMUNITY EXPENDITURES
FOR THE YEAR ENDED JUNE 30, 2020
</oddHeader>
        <oddFooter>&amp;C&amp;"Times New Roman,Regular"See Independent Auditor’s Reports
&amp;P</oddFooter>
      </headerFooter>
    </customSheetView>
    <customSheetView guid="{DCE9EA22-7307-4505-BC41-9954A9C79245}" scale="110" colorId="8" showGridLines="0">
      <selection activeCell="O32" sqref="O32"/>
      <pageMargins left="0.75" right="0.75" top="1.1000000000000001" bottom="0.5" header="0.5" footer="0.5"/>
      <printOptions horizontalCentered="1"/>
      <pageSetup scale="74" firstPageNumber="25" orientation="landscape" r:id="rId3"/>
      <headerFooter>
        <oddHeader xml:space="preserve">&amp;C&amp;"Times New Roman,Regular"REGION III SPECIAL EDUCATION COOPERATIVE
SCHEDULE OF RESTRICTED LOCAL TAX LEVIES AND SELECTED REVENUE SOURCES
SCHEDULE OF TORT IMMUNITY EXPENDITURES
FOR THE YEAR ENDED JUNE 30, 2020
</oddHeader>
        <oddFooter>&amp;C&amp;"Times New Roman,Regular"See Independent Auditor’s Reports
&amp;P</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pageMargins left="0.75" right="0.75" top="1.1000000000000001" bottom="0.5" header="0.5" footer="0.5"/>
  <pageSetup scale="74" firstPageNumber="25" orientation="landscape" r:id="rId4"/>
  <headerFooter>
    <oddHeader xml:space="preserve">&amp;C&amp;"Times New Roman,Regular"REGION III SPECIAL EDUCATION COOPERATIVE
SCHEDULE OF RESTRICTED LOCAL TAX LEVIES AND SELECTED REVENUE SOURCES
SCHEDULE OF TORT IMMUNITY EXPENDITURES
FOR THE YEAR ENDED JUNE 30, 2020
</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7" t="s">
        <v>1875</v>
      </c>
      <c r="B1" s="2438"/>
      <c r="C1" s="2439"/>
      <c r="D1" s="666"/>
      <c r="E1" s="667"/>
      <c r="F1" s="667"/>
      <c r="G1" s="668"/>
      <c r="H1" s="669"/>
      <c r="I1" s="670"/>
      <c r="J1" s="2435"/>
      <c r="K1" s="2436"/>
      <c r="L1" s="2436"/>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44150</v>
      </c>
      <c r="D5" s="1820"/>
      <c r="E5" s="1820"/>
      <c r="F5" s="1815">
        <f>(C5+D5)-E5</f>
        <v>44150</v>
      </c>
      <c r="G5" s="676"/>
      <c r="H5" s="680"/>
      <c r="I5" s="680"/>
      <c r="J5" s="680"/>
      <c r="K5" s="637"/>
      <c r="L5" s="1491">
        <f>F5-K5</f>
        <v>44150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191272</v>
      </c>
      <c r="D8" s="1821"/>
      <c r="E8" s="1821"/>
      <c r="F8" s="1815">
        <f>(C8+D8)-E8</f>
        <v>191272</v>
      </c>
      <c r="G8" s="681">
        <v>50</v>
      </c>
      <c r="H8" s="619">
        <v>144586</v>
      </c>
      <c r="I8" s="619">
        <v>3826</v>
      </c>
      <c r="J8" s="619"/>
      <c r="K8" s="1491">
        <f>(H8+I8)-J8</f>
        <v>148412</v>
      </c>
      <c r="L8" s="1491">
        <f>F8-K8</f>
        <v>42860</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17402</v>
      </c>
      <c r="D10" s="1822"/>
      <c r="E10" s="1822"/>
      <c r="F10" s="1823">
        <f>(C10+D10)-E10</f>
        <v>17402</v>
      </c>
      <c r="G10" s="681">
        <v>20</v>
      </c>
      <c r="H10" s="683">
        <v>17402</v>
      </c>
      <c r="I10" s="683"/>
      <c r="J10" s="683"/>
      <c r="K10" s="1491">
        <f>(H10+I10)-J10</f>
        <v>17402</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7859</v>
      </c>
      <c r="D12" s="1821"/>
      <c r="E12" s="1821"/>
      <c r="F12" s="1815">
        <f>(C12+D12)-E12</f>
        <v>7859</v>
      </c>
      <c r="G12" s="681">
        <v>10</v>
      </c>
      <c r="H12" s="619">
        <v>7757</v>
      </c>
      <c r="I12" s="619">
        <v>102</v>
      </c>
      <c r="J12" s="619"/>
      <c r="K12" s="1491">
        <f>(H12+I12)-J12</f>
        <v>7859</v>
      </c>
      <c r="L12" s="1491">
        <f>F12-K12</f>
        <v>0</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260683</v>
      </c>
      <c r="D16" s="1815">
        <f>SUM(D3,D5:D6,D8:D10,D12:D15)</f>
        <v>0</v>
      </c>
      <c r="E16" s="1815">
        <f>SUM(E3,E5:E6,E8:E10,E12:E15)</f>
        <v>0</v>
      </c>
      <c r="F16" s="1815">
        <f>SUM(F3,F5:F6,F8:F10,F12:F15)</f>
        <v>260683</v>
      </c>
      <c r="G16" s="681"/>
      <c r="H16" s="1484">
        <f>SUM(H3,H6,H8:H10,H12:H14,)</f>
        <v>169745</v>
      </c>
      <c r="I16" s="1484">
        <f>SUM(I3,I6,I8:I10,I12:I14,)</f>
        <v>3928</v>
      </c>
      <c r="J16" s="1484">
        <f>SUM(J3,J6,J8:J10,J12:J14,)</f>
        <v>0</v>
      </c>
      <c r="K16" s="1484">
        <f>(H16+I16)-J16</f>
        <v>173673</v>
      </c>
      <c r="L16" s="1484">
        <f>F16-K16</f>
        <v>87010</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3928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27400517-D544-41E2-9D13-0D8FC40AA704}" scale="110" colorId="8" showGridLines="0">
      <selection activeCell="A17" sqref="A17:H17"/>
      <pageMargins left="0.75" right="0.75" top="1.5" bottom="0.5" header="0.5" footer="0.5"/>
      <printOptions horizontalCentered="1"/>
      <pageSetup scale="74" firstPageNumber="26" orientation="landscape" r:id="rId1"/>
      <headerFooter>
        <oddHeader xml:space="preserve">&amp;C&amp;"Times New Roman,Regular"REGION III SPECIAL EDUCATION COOPERATIVE
SCHEDULE OF CAPITAL OUTLAY AND DEPRECIATION
FOR THE YEAR ENDED JUNE 30, 2020
</oddHeader>
        <oddFooter>&amp;C&amp;"Times New Roman,Regular"See Independent Auditor’s Reports
&amp;P</oddFooter>
      </headerFooter>
    </customSheetView>
    <customSheetView guid="{00BB9B19-FC1B-492E-A95E-CC052A0B5070}" scale="110" colorId="8" showGridLines="0">
      <selection activeCell="A17" sqref="A17:H17"/>
      <pageMargins left="0.75" right="0.75" top="1.5" bottom="0.5" header="0.5" footer="0.5"/>
      <printOptions horizontalCentered="1"/>
      <pageSetup scale="74" firstPageNumber="26" orientation="landscape" r:id="rId2"/>
      <headerFooter>
        <oddHeader xml:space="preserve">&amp;C&amp;"Times New Roman,Regular"REGION III SPECIAL EDUCATION COOPERATIVE
SCHEDULE OF CAPITAL OUTLAY AND DEPRECIATION
FOR THE YEAR ENDED JUNE 30, 2020
</oddHeader>
        <oddFooter>&amp;C&amp;"Times New Roman,Regular"See Independent Auditor’s Reports
&amp;P</oddFooter>
      </headerFooter>
    </customSheetView>
    <customSheetView guid="{DCE9EA22-7307-4505-BC41-9954A9C79245}" scale="110" colorId="8" showGridLines="0">
      <selection activeCell="A17" sqref="A17:H17"/>
      <pageMargins left="0.75" right="0.75" top="1.5" bottom="0.5" header="0.5" footer="0.5"/>
      <printOptions horizontalCentered="1"/>
      <pageSetup scale="74" firstPageNumber="26" orientation="landscape" r:id="rId3"/>
      <headerFooter>
        <oddHeader xml:space="preserve">&amp;C&amp;"Times New Roman,Regular"REGION III SPECIAL EDUCATION COOPERATIVE
SCHEDULE OF CAPITAL OUTLAY AND DEPRECIATION
FOR THE YEAR ENDED JUNE 30, 2020
</oddHeader>
        <oddFooter>&amp;C&amp;"Times New Roman,Regular"See Independent Auditor’s Reports
&amp;P</oddFooter>
      </headerFooter>
    </customSheetView>
  </customSheetViews>
  <mergeCells count="2">
    <mergeCell ref="J1:L1"/>
    <mergeCell ref="A1:C1"/>
  </mergeCells>
  <phoneticPr fontId="15" type="noConversion"/>
  <printOptions horizontalCentered="1"/>
  <pageMargins left="0.75" right="0.75" top="1.5" bottom="0.5" header="0.5" footer="0.5"/>
  <pageSetup scale="74" firstPageNumber="55" orientation="landscape" r:id="rId4"/>
  <headerFooter>
    <oddHeader xml:space="preserve">&amp;C&amp;"Times New Roman,Regular"REGION III SPECIAL EDUCATION COOPERATIVE
SCHEDULE OF CAPITAL OUTLAY AND DEPRECIATION
FOR THE YEAR ENDED JUNE 30, 2020
</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3" activePane="bottomLeft" state="frozen"/>
      <selection activeCell="A17" sqref="A17:H17"/>
      <selection pane="bottomLeft" activeCell="A17" sqref="A17:H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3" t="str">
        <f>"ESTIMATED OPERATING EXPENSE PER PUPIL (OEPP)/PER CAPITA TUITION CHARGE (PCTC) COMPUTATIONS ("&amp;'AFR20'!E2-1&amp;" - "&amp;'AFR20'!E2&amp;")"</f>
        <v>ESTIMATED OPERATING EXPENSE PER PUPIL (OEPP)/PER CAPITA TUITION CHARGE (PCTC) COMPUTATIONS (2019 - 2020)</v>
      </c>
      <c r="B1" s="2444"/>
      <c r="C1" s="2444"/>
      <c r="D1" s="2444"/>
      <c r="E1" s="2444"/>
      <c r="F1" s="2445"/>
      <c r="G1" s="691"/>
      <c r="I1" s="701"/>
    </row>
    <row r="2" spans="1:9" ht="15" customHeight="1" thickBot="1" x14ac:dyDescent="0.25">
      <c r="A2" s="2446" t="s">
        <v>474</v>
      </c>
      <c r="B2" s="2447"/>
      <c r="C2" s="2447"/>
      <c r="D2" s="2447"/>
      <c r="E2" s="2447"/>
      <c r="F2" s="244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9"/>
      <c r="B5" s="2450"/>
      <c r="C5" s="2450"/>
      <c r="D5" s="2450"/>
      <c r="E5" s="2450"/>
      <c r="F5" s="2450"/>
    </row>
    <row r="6" spans="1:9" ht="13.5" customHeight="1" thickBot="1" x14ac:dyDescent="0.25">
      <c r="A6" s="2440" t="s">
        <v>1097</v>
      </c>
      <c r="B6" s="2441"/>
      <c r="C6" s="2441"/>
      <c r="D6" s="2441"/>
      <c r="E6" s="2441"/>
      <c r="F6" s="244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5114423</v>
      </c>
      <c r="G8" s="701"/>
    </row>
    <row r="9" spans="1:9" x14ac:dyDescent="0.2">
      <c r="A9" s="705" t="s">
        <v>457</v>
      </c>
      <c r="B9" s="706" t="s">
        <v>1848</v>
      </c>
      <c r="C9" s="707"/>
      <c r="D9" s="705" t="s">
        <v>498</v>
      </c>
      <c r="E9" s="704"/>
      <c r="F9" s="1825">
        <f>'Expenditures 15-22'!K151</f>
        <v>0</v>
      </c>
      <c r="G9" s="708"/>
    </row>
    <row r="10" spans="1:9" x14ac:dyDescent="0.2">
      <c r="A10" s="705" t="s">
        <v>496</v>
      </c>
      <c r="B10" s="706" t="s">
        <v>1849</v>
      </c>
      <c r="C10" s="707"/>
      <c r="D10" s="705" t="s">
        <v>498</v>
      </c>
      <c r="E10" s="704"/>
      <c r="F10" s="1825">
        <f>'Expenditures 15-22'!K174</f>
        <v>0</v>
      </c>
      <c r="G10" s="708"/>
    </row>
    <row r="11" spans="1:9" x14ac:dyDescent="0.2">
      <c r="A11" s="705" t="s">
        <v>458</v>
      </c>
      <c r="B11" s="706" t="s">
        <v>1850</v>
      </c>
      <c r="C11" s="707"/>
      <c r="D11" s="705" t="s">
        <v>498</v>
      </c>
      <c r="E11" s="704"/>
      <c r="F11" s="1825">
        <f>'Expenditures 15-22'!K210</f>
        <v>0</v>
      </c>
      <c r="G11" s="708"/>
    </row>
    <row r="12" spans="1:9" x14ac:dyDescent="0.2">
      <c r="A12" s="705" t="s">
        <v>459</v>
      </c>
      <c r="B12" s="706" t="s">
        <v>1851</v>
      </c>
      <c r="C12" s="707"/>
      <c r="D12" s="705" t="s">
        <v>498</v>
      </c>
      <c r="E12" s="704"/>
      <c r="F12" s="1825">
        <f>'Expenditures 15-22'!K295</f>
        <v>0</v>
      </c>
      <c r="G12" s="708"/>
    </row>
    <row r="13" spans="1:9" x14ac:dyDescent="0.2">
      <c r="A13" s="705" t="s">
        <v>106</v>
      </c>
      <c r="B13" s="706" t="s">
        <v>1852</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5114423</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12513</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2488062</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0</v>
      </c>
      <c r="G58" s="701"/>
    </row>
    <row r="59" spans="1:7" x14ac:dyDescent="0.2">
      <c r="A59" s="728" t="s">
        <v>457</v>
      </c>
      <c r="B59" s="692" t="s">
        <v>1855</v>
      </c>
      <c r="C59" s="729" t="s">
        <v>975</v>
      </c>
      <c r="D59" s="692" t="s">
        <v>288</v>
      </c>
      <c r="F59" s="1835">
        <f>'Expenditures 15-22'!I151</f>
        <v>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0</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0</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0</v>
      </c>
      <c r="G71" s="701"/>
    </row>
    <row r="72" spans="1:9" x14ac:dyDescent="0.2">
      <c r="A72" s="705" t="s">
        <v>459</v>
      </c>
      <c r="B72" s="705" t="s">
        <v>1867</v>
      </c>
      <c r="C72" s="721">
        <f>'Expenditures 15-22'!B280</f>
        <v>3000</v>
      </c>
      <c r="D72" s="712" t="s">
        <v>446</v>
      </c>
      <c r="E72" s="704"/>
      <c r="F72" s="1832">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0</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2500575</v>
      </c>
      <c r="G77" s="701"/>
    </row>
    <row r="78" spans="1:9" s="728" customFormat="1" ht="12" customHeight="1" thickTop="1" thickBot="1" x14ac:dyDescent="0.25">
      <c r="A78" s="1499"/>
      <c r="B78" s="1497"/>
      <c r="C78" s="1494"/>
      <c r="D78" s="1498" t="s">
        <v>2012</v>
      </c>
      <c r="E78" s="1496"/>
      <c r="F78" s="1838">
        <f>(F14-F77)</f>
        <v>2613848</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2013</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440" t="s">
        <v>1098</v>
      </c>
      <c r="B82" s="2441"/>
      <c r="C82" s="2441"/>
      <c r="D82" s="2441"/>
      <c r="E82" s="2441"/>
      <c r="F82" s="244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1910</v>
      </c>
      <c r="C106" s="746">
        <v>3100</v>
      </c>
      <c r="D106" s="752" t="str">
        <f>'Revenues 9-14'!A132</f>
        <v>Total Special Education</v>
      </c>
      <c r="E106" s="739"/>
      <c r="F106" s="1843">
        <f>SUM('Revenues 9-14'!C132:D132,'Revenues 9-14'!F132)</f>
        <v>0</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0</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0</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0</v>
      </c>
      <c r="G121" s="763"/>
    </row>
    <row r="122" spans="1:7" x14ac:dyDescent="0.2">
      <c r="A122" s="760" t="s">
        <v>497</v>
      </c>
      <c r="B122" s="760" t="s">
        <v>1926</v>
      </c>
      <c r="C122" s="761">
        <f>'Revenues 9-14'!B168</f>
        <v>3999</v>
      </c>
      <c r="D122" s="762" t="s">
        <v>540</v>
      </c>
      <c r="E122" s="764"/>
      <c r="F122" s="1843">
        <f>SUM('Revenues 9-14'!C168:G168,'Revenues 9-14'!J168)</f>
        <v>29100</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1929</v>
      </c>
      <c r="C125" s="765">
        <v>4100</v>
      </c>
      <c r="D125" s="766" t="str">
        <f>'Revenues 9-14'!A188</f>
        <v>Total Title V</v>
      </c>
      <c r="E125" s="739"/>
      <c r="F125" s="184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3">
        <f>SUM('Revenues 9-14'!C198,'Revenues 9-14'!G198)</f>
        <v>0</v>
      </c>
      <c r="G126" s="763"/>
    </row>
    <row r="127" spans="1:7" x14ac:dyDescent="0.2">
      <c r="A127" s="760" t="s">
        <v>663</v>
      </c>
      <c r="B127" s="760" t="s">
        <v>1931</v>
      </c>
      <c r="C127" s="765">
        <v>4300</v>
      </c>
      <c r="D127" s="766" t="str">
        <f>'Revenues 9-14'!A204</f>
        <v>Total Title I</v>
      </c>
      <c r="E127" s="739"/>
      <c r="F127" s="1843">
        <f>SUM('Revenues 9-14'!C204,'Revenues 9-14'!D204,'Revenues 9-14'!F204,'Revenues 9-14'!G204)</f>
        <v>0</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213803</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0</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36919</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113729</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c r="G172" s="760"/>
    </row>
    <row r="173" spans="1:7" x14ac:dyDescent="0.2">
      <c r="A173" s="1579" t="s">
        <v>659</v>
      </c>
      <c r="B173" s="1580" t="s">
        <v>1885</v>
      </c>
      <c r="C173" s="1581">
        <v>3300</v>
      </c>
      <c r="D173" s="1582" t="s">
        <v>1888</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393551</v>
      </c>
    </row>
    <row r="176" spans="1:7" ht="12" customHeight="1" x14ac:dyDescent="0.2">
      <c r="A176" s="1492"/>
      <c r="B176" s="1502"/>
      <c r="C176" s="1503"/>
      <c r="D176" s="1504" t="s">
        <v>2014</v>
      </c>
      <c r="E176" s="1505"/>
      <c r="F176" s="1843">
        <f>'PCTC-OEPP 27-28'!F78-F175</f>
        <v>2220297</v>
      </c>
    </row>
    <row r="177" spans="1:9" ht="12" customHeight="1" x14ac:dyDescent="0.2">
      <c r="A177" s="1492"/>
      <c r="B177" s="1502"/>
      <c r="C177" s="1503"/>
      <c r="D177" s="1504" t="s">
        <v>1794</v>
      </c>
      <c r="E177" s="1505"/>
      <c r="F177" s="1843">
        <f>'Cap Outlay Deprec 26'!I18</f>
        <v>3928</v>
      </c>
    </row>
    <row r="178" spans="1:9" ht="12" customHeight="1" x14ac:dyDescent="0.2">
      <c r="A178" s="1492"/>
      <c r="B178" s="1502"/>
      <c r="C178" s="1503"/>
      <c r="D178" s="1504" t="s">
        <v>2015</v>
      </c>
      <c r="E178" s="1505"/>
      <c r="F178" s="1843">
        <f>F176+F177</f>
        <v>2224225</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2017</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27400517-D544-41E2-9D13-0D8FC40AA704}" scale="110" colorId="8" showGridLines="0" hiddenRows="1">
      <pane ySplit="5" topLeftCell="A6" activePane="bottomLeft" state="frozen"/>
      <selection pane="bottomLeft" activeCell="A17" sqref="A17:H17"/>
      <rowBreaks count="1" manualBreakCount="1">
        <brk id="81" max="16383" man="1"/>
      </rowBreaks>
      <pageMargins left="0.75" right="0.75" top="1.25" bottom="0.5" header="0.5" footer="0.5"/>
      <printOptions horizontalCentered="1"/>
      <pageSetup scale="65" firstPageNumber="27" orientation="portrait" r:id="rId1"/>
      <headerFooter>
        <oddHeader xml:space="preserve">&amp;C&amp;"Times New Roman,Regular"REGION III SPECIAL EDUCATION COOPERATIVE
ESTIMATED OPERATING EXPENSE PER PUPIL/PER CAPITA TUITION CHARGE COMPUTATIONS
FOR THE YEAR ENDED JUNE 30, 2020
</oddHeader>
        <oddFooter>&amp;C&amp;"Times New Roman,Regular"See Independent Auditor’s Reports
&amp;P</oddFooter>
      </headerFooter>
    </customSheetView>
    <customSheetView guid="{00BB9B19-FC1B-492E-A95E-CC052A0B5070}" scale="110" colorId="8" showGridLines="0" hiddenRows="1">
      <pane ySplit="5" topLeftCell="A6" activePane="bottomLeft" state="frozen"/>
      <selection pane="bottomLeft" activeCell="A17" sqref="A17:H17"/>
      <rowBreaks count="1" manualBreakCount="1">
        <brk id="81" max="16383" man="1"/>
      </rowBreaks>
      <pageMargins left="0.75" right="0.75" top="1.25" bottom="0.5" header="0.5" footer="0.5"/>
      <printOptions horizontalCentered="1"/>
      <pageSetup scale="65" firstPageNumber="27" orientation="portrait" r:id="rId2"/>
      <headerFooter>
        <oddHeader xml:space="preserve">&amp;C&amp;"Times New Roman,Regular"REGION III SPECIAL EDUCATION COOPERATIVE
ESTIMATED OPERATING EXPENSE PER PUPIL/PER CAPITA TUITION CHARGE COMPUTATIONS
FOR THE YEAR ENDED JUNE 30, 2020
</oddHeader>
        <oddFooter>&amp;C&amp;"Times New Roman,Regular"See Independent Auditor’s Reports
&amp;P</oddFooter>
      </headerFooter>
    </customSheetView>
    <customSheetView guid="{DCE9EA22-7307-4505-BC41-9954A9C79245}" scale="110" colorId="8" showGridLines="0" hiddenRows="1">
      <pane ySplit="5" topLeftCell="A6" activePane="bottomLeft" state="frozen"/>
      <selection pane="bottomLeft" activeCell="A17" sqref="A17:H17"/>
      <rowBreaks count="1" manualBreakCount="1">
        <brk id="81" max="16383" man="1"/>
      </rowBreaks>
      <pageMargins left="0.75" right="0.75" top="1.25" bottom="0.5" header="0.5" footer="0.5"/>
      <printOptions horizontalCentered="1"/>
      <pageSetup scale="65" firstPageNumber="27" orientation="portrait" r:id="rId3"/>
      <headerFooter>
        <oddHeader xml:space="preserve">&amp;C&amp;"Times New Roman,Regular"REGION III SPECIAL EDUCATION COOPERATIVE
ESTIMATED OPERATING EXPENSE PER PUPIL/PER CAPITA TUITION CHARGE COMPUTATIONS
FOR THE YEAR ENDED JUNE 30, 2020
</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5" type="noConversion"/>
  <hyperlinks>
    <hyperlink ref="B186" r:id="rId4" xr:uid="{00000000-0004-0000-0D00-000000000000}"/>
  </hyperlinks>
  <printOptions horizontalCentered="1"/>
  <pageMargins left="0.75" right="0.75" top="1.25" bottom="0.5" header="0.5" footer="0.5"/>
  <pageSetup scale="65" firstPageNumber="27" orientation="portrait" r:id="rId5"/>
  <headerFooter>
    <oddHeader xml:space="preserve">&amp;C&amp;"Times New Roman,Regular"REGION III SPECIAL EDUCATION COOPERATIVE
ESTIMATED OPERATING EXPENSE PER PUPIL/PER CAPITA TUITION CHARGE COMPUTATIONS
FOR THE YEAR ENDED JUNE 30, 2020
</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topLeftCell="A3" zoomScaleNormal="100" workbookViewId="0">
      <selection activeCell="D19" sqref="D19"/>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1807</v>
      </c>
      <c r="B1" s="1923"/>
      <c r="C1" s="1924"/>
      <c r="D1" s="1924"/>
      <c r="E1" s="1924"/>
      <c r="F1" s="1924"/>
    </row>
    <row r="2" spans="1:6" x14ac:dyDescent="0.25">
      <c r="A2" s="1926"/>
      <c r="B2" s="1927"/>
      <c r="C2" s="1981" t="s">
        <v>2003</v>
      </c>
      <c r="D2" s="1926"/>
      <c r="E2" s="1926"/>
      <c r="F2" s="1926"/>
    </row>
    <row r="3" spans="1:6" ht="5.25" customHeight="1" x14ac:dyDescent="0.25">
      <c r="A3" s="1928"/>
      <c r="B3" s="1929"/>
      <c r="C3" s="1928"/>
      <c r="D3" s="1928"/>
      <c r="E3" s="1928"/>
      <c r="F3" s="1928"/>
    </row>
    <row r="4" spans="1:6" ht="18.75" customHeight="1" x14ac:dyDescent="0.25">
      <c r="A4" s="2454" t="s">
        <v>1795</v>
      </c>
      <c r="B4" s="2455"/>
      <c r="C4" s="2455"/>
      <c r="D4" s="2455"/>
      <c r="E4" s="2455"/>
      <c r="F4" s="2456"/>
    </row>
    <row r="5" spans="1:6" x14ac:dyDescent="0.25">
      <c r="A5" s="2457"/>
      <c r="B5" s="2458"/>
      <c r="C5" s="2458"/>
      <c r="D5" s="2458"/>
      <c r="E5" s="2458"/>
      <c r="F5" s="2459"/>
    </row>
    <row r="6" spans="1:6" ht="18.75" x14ac:dyDescent="0.25">
      <c r="A6" s="1930" t="s">
        <v>1796</v>
      </c>
      <c r="B6" s="1931"/>
      <c r="C6" s="1932"/>
      <c r="D6" s="1932"/>
      <c r="E6" s="1932"/>
      <c r="F6" s="1933"/>
    </row>
    <row r="7" spans="1:6" ht="47.25" customHeight="1" x14ac:dyDescent="0.25">
      <c r="A7" s="2460" t="s">
        <v>1985</v>
      </c>
      <c r="B7" s="2461"/>
      <c r="C7" s="2461"/>
      <c r="D7" s="2461"/>
      <c r="E7" s="2461"/>
      <c r="F7" s="2462"/>
    </row>
    <row r="8" spans="1:6" ht="20.25" customHeight="1" x14ac:dyDescent="0.25">
      <c r="A8" s="1965" t="s">
        <v>1987</v>
      </c>
      <c r="B8" s="1966"/>
      <c r="C8" s="1966"/>
      <c r="D8" s="1966"/>
      <c r="E8" s="1934"/>
      <c r="F8" s="1935"/>
    </row>
    <row r="9" spans="1:6" ht="18" customHeight="1" x14ac:dyDescent="0.25">
      <c r="A9" s="1936" t="s">
        <v>1984</v>
      </c>
      <c r="B9" s="1938"/>
      <c r="C9" s="1938"/>
      <c r="D9" s="1938"/>
      <c r="E9" s="1934"/>
      <c r="F9" s="1935"/>
    </row>
    <row r="10" spans="1:6" ht="15.75" customHeight="1" x14ac:dyDescent="0.25">
      <c r="A10" s="2463" t="s">
        <v>1981</v>
      </c>
      <c r="B10" s="2464"/>
      <c r="C10" s="2464"/>
      <c r="D10" s="2464"/>
      <c r="E10" s="2464"/>
      <c r="F10" s="2465"/>
    </row>
    <row r="11" spans="1:6" ht="33" customHeight="1" x14ac:dyDescent="0.25">
      <c r="A11" s="2460" t="s">
        <v>1986</v>
      </c>
      <c r="B11" s="2461"/>
      <c r="C11" s="2461"/>
      <c r="D11" s="2461"/>
      <c r="E11" s="2461"/>
      <c r="F11" s="2462"/>
    </row>
    <row r="12" spans="1:6" ht="15" customHeight="1" x14ac:dyDescent="0.25">
      <c r="A12" s="1936" t="s">
        <v>1982</v>
      </c>
      <c r="B12" s="1937"/>
      <c r="C12" s="1938"/>
      <c r="D12" s="1938"/>
      <c r="E12" s="1938"/>
      <c r="F12" s="1939"/>
    </row>
    <row r="13" spans="1:6" ht="17.25" customHeight="1" x14ac:dyDescent="0.25">
      <c r="A13" s="2460" t="s">
        <v>1983</v>
      </c>
      <c r="B13" s="2461"/>
      <c r="C13" s="2461"/>
      <c r="D13" s="2461"/>
      <c r="E13" s="2461"/>
      <c r="F13" s="2462"/>
    </row>
    <row r="14" spans="1:6" ht="15" customHeight="1" x14ac:dyDescent="0.25">
      <c r="A14" s="1936" t="s">
        <v>1800</v>
      </c>
      <c r="B14" s="1937"/>
      <c r="C14" s="1938"/>
      <c r="D14" s="1938"/>
      <c r="E14" s="1938"/>
      <c r="F14" s="1939"/>
    </row>
    <row r="15" spans="1:6" ht="32.25" customHeight="1" x14ac:dyDescent="0.25">
      <c r="A15" s="245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2"/>
      <c r="C15" s="2452"/>
      <c r="D15" s="2452"/>
      <c r="E15" s="2452"/>
      <c r="F15" s="2453"/>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70" t="s">
        <v>1799</v>
      </c>
      <c r="C17" s="1944" t="s">
        <v>1797</v>
      </c>
      <c r="D17" s="1945">
        <v>500000</v>
      </c>
      <c r="E17" s="1945" t="str">
        <f>IF(D17&lt;25000,D17,"25,000")</f>
        <v>25,000</v>
      </c>
      <c r="F17" s="1946">
        <f>IF(D17&gt;=25000,(D17-E17),"0")</f>
        <v>475000</v>
      </c>
    </row>
    <row r="18" spans="1:7" x14ac:dyDescent="0.25">
      <c r="A18" s="2113" t="s">
        <v>2110</v>
      </c>
      <c r="B18" s="1971"/>
      <c r="C18" s="1982"/>
      <c r="D18" s="1949">
        <v>1</v>
      </c>
      <c r="E18" s="1969">
        <f t="shared" ref="E18:E81" si="0">IF(D18&lt;25000,D18,"25,000")</f>
        <v>1</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1</v>
      </c>
      <c r="E142" s="1956">
        <f>SUM(E18:E141)</f>
        <v>1</v>
      </c>
      <c r="F142" s="1957">
        <f>SUM(F18:F141)</f>
        <v>0</v>
      </c>
    </row>
  </sheetData>
  <sheetProtection selectLockedCells="1"/>
  <customSheetViews>
    <customSheetView guid="{27400517-D544-41E2-9D13-0D8FC40AA704}" scale="60" showPageBreaks="1" showGridLines="0" view="pageBreakPreview" topLeftCell="A21">
      <selection activeCell="A17" sqref="A17:H17"/>
      <rowBreaks count="1" manualBreakCount="1">
        <brk id="74" max="16383" man="1"/>
      </rowBreaks>
      <pageMargins left="0.75" right="0.75" top="1.25" bottom="0.5" header="0.5" footer="0.5"/>
      <printOptions horizontalCentered="1"/>
      <pageSetup scale="54" firstPageNumber="30" fitToHeight="0" orientation="portrait" r:id="rId1"/>
      <headerFooter>
        <oddHeader xml:space="preserve">&amp;C&amp;"Times New Roman,Regular"REGION III SPECIAL EDUCATION COOPERATIVE
CURRENT YEAR PAYMENT ON CONTRACTS FOR INDIRECT COST RATE COMPUTATION
FOR THE YEAR ENDED JUNE 30, 2020
</oddHeader>
        <oddFooter>&amp;C&amp;"Times New Roman,Regular"See Independent Auditor’s Reports
&amp;P</oddFooter>
      </headerFooter>
    </customSheetView>
    <customSheetView guid="{00BB9B19-FC1B-492E-A95E-CC052A0B5070}" scale="60" showPageBreaks="1" showGridLines="0" view="pageBreakPreview" topLeftCell="A21">
      <selection activeCell="A17" sqref="A17:H17"/>
      <rowBreaks count="1" manualBreakCount="1">
        <brk id="74" max="16383" man="1"/>
      </rowBreaks>
      <pageMargins left="0.75" right="0.75" top="1.25" bottom="0.5" header="0.5" footer="0.5"/>
      <printOptions horizontalCentered="1"/>
      <pageSetup scale="54" firstPageNumber="30" fitToHeight="0" orientation="portrait" r:id="rId2"/>
      <headerFooter>
        <oddHeader xml:space="preserve">&amp;C&amp;"Times New Roman,Regular"REGION III SPECIAL EDUCATION COOPERATIVE
CURRENT YEAR PAYMENT ON CONTRACTS FOR INDIRECT COST RATE COMPUTATION
FOR THE YEAR ENDED JUNE 30, 2020
</oddHeader>
        <oddFooter>&amp;C&amp;"Times New Roman,Regular"See Independent Auditor’s Reports
&amp;P</oddFooter>
      </headerFooter>
    </customSheetView>
    <customSheetView guid="{DCE9EA22-7307-4505-BC41-9954A9C79245}" scale="60" showPageBreaks="1" showGridLines="0" view="pageBreakPreview" topLeftCell="A21">
      <selection activeCell="A17" sqref="A17:H17"/>
      <rowBreaks count="1" manualBreakCount="1">
        <brk id="74" max="16383" man="1"/>
      </rowBreaks>
      <pageMargins left="0.75" right="0.75" top="1.25" bottom="0.5" header="0.5" footer="0.5"/>
      <printOptions horizontalCentered="1"/>
      <pageSetup scale="54" firstPageNumber="30" fitToHeight="0" orientation="portrait" r:id="rId3"/>
      <headerFooter>
        <oddHeader xml:space="preserve">&amp;C&amp;"Times New Roman,Regular"REGION III SPECIAL EDUCATION COOPERATIVE
CURRENT YEAR PAYMENT ON CONTRACTS FOR INDIRECT COST RATE COMPUTATION
FOR THE YEAR ENDED JUNE 30, 2020
</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25" bottom="0.5" header="0.5" footer="0.5"/>
  <pageSetup scale="54" firstPageNumber="30" fitToHeight="0" orientation="portrait" r:id="rId4"/>
  <headerFooter>
    <oddHeader xml:space="preserve">&amp;C&amp;"Times New Roman,Regular"REGION III SPECIAL EDUCATION COOPERATIVE
CURRENT YEAR PAYMENT ON CONTRACTS FOR INDIRECT COST RATE COMPUTATION
FOR THE YEAR ENDED JUNE 30, 2020
</oddHeader>
    <oddFooter>&amp;C&amp;"Times New Roman,Regular"See Independent Auditor’s Reports
&amp;P</oddFooter>
  </headerFooter>
  <rowBreaks count="1" manualBreakCount="1">
    <brk id="74" max="16383" man="1"/>
  </rowBreaks>
  <drawing r:id="rId5"/>
  <legacyDrawing r:id="rId6"/>
  <oleObjects>
    <mc:AlternateContent xmlns:mc="http://schemas.openxmlformats.org/markup-compatibility/2006">
      <mc:Choice Requires="x14">
        <oleObject progId="Acrobat Document" dvAspect="DVASPECT_ICON" shapeId="35843" r:id="rId7">
          <objectPr defaultSize="0" r:id="rId8">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7"/>
      </mc:Fallback>
    </mc:AlternateContent>
    <mc:AlternateContent xmlns:mc="http://schemas.openxmlformats.org/markup-compatibility/2006">
      <mc:Choice Requires="x14">
        <oleObject progId="Acrobat Document" dvAspect="DVASPECT_ICON" shapeId="35846" r:id="rId9">
          <objectPr defaultSize="0" r:id="rId10">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9"/>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P42" sqref="P4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6" t="s">
        <v>1663</v>
      </c>
      <c r="B5" s="2467"/>
      <c r="C5" s="2467"/>
      <c r="D5" s="2467"/>
      <c r="E5" s="2467"/>
      <c r="F5" s="2467"/>
      <c r="G5" s="2468"/>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c r="F10" s="805"/>
      <c r="G10" s="806"/>
      <c r="H10" s="157"/>
      <c r="I10" s="157"/>
    </row>
    <row r="11" spans="1:13" s="542" customFormat="1" ht="22.5" customHeight="1" x14ac:dyDescent="0.2">
      <c r="A11" s="247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2"/>
      <c r="C11" s="2472"/>
      <c r="D11" s="2473"/>
      <c r="E11" s="1851"/>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1695508</v>
      </c>
      <c r="F19" s="1852"/>
      <c r="G19" s="1854">
        <f>'Expenditures 15-22'!K33-SUM('Expenditures 15-22'!G33,'Expenditures 15-22'!I33)+'Expenditures 15-22'!D229</f>
        <v>1695508</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519004</v>
      </c>
      <c r="F21" s="1855"/>
      <c r="G21" s="1858">
        <f>'Expenditures 15-22'!K42-SUM('Expenditures 15-22'!G42,'Expenditures 15-22'!I42)+'Expenditures 15-22'!K120-SUM('Expenditures 15-22'!G120,'Expenditures 15-22'!I120)+'Expenditures 15-22'!K180-SUM('Expenditures 15-22'!G180,'Expenditures 15-22'!I180)+'Expenditures 15-22'!D238</f>
        <v>519004</v>
      </c>
      <c r="H21" s="817"/>
      <c r="I21" s="157"/>
    </row>
    <row r="22" spans="1:9" s="542" customFormat="1" ht="12" customHeight="1" x14ac:dyDescent="0.2">
      <c r="A22" s="824" t="s">
        <v>560</v>
      </c>
      <c r="B22" s="825"/>
      <c r="C22" s="823">
        <v>2200</v>
      </c>
      <c r="D22" s="1855"/>
      <c r="E22" s="1857">
        <f>'Expenditures 15-22'!K47-SUM('Expenditures 15-22'!G47,'Expenditures 15-22'!I47)+'Expenditures 15-22'!D243</f>
        <v>29238</v>
      </c>
      <c r="F22" s="1855"/>
      <c r="G22" s="1858">
        <f>'Expenditures 15-22'!K47-SUM('Expenditures 15-22'!G47,'Expenditures 15-22'!I47)+'Expenditures 15-22'!D243</f>
        <v>29238</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340124</v>
      </c>
      <c r="F23" s="1855"/>
      <c r="G23" s="1857">
        <f>'Expenditures 15-22'!K53-SUM('Expenditures 15-22'!G53,'Expenditures 15-22'!I53)+'Expenditures 15-22'!D257+'Expenditures 15-22'!K330-SUM('Expenditures 15-22'!G330,'Expenditures 15-22'!I330)</f>
        <v>340124</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0</v>
      </c>
      <c r="E27" s="1857">
        <f>E8</f>
        <v>0</v>
      </c>
      <c r="F27" s="1857">
        <f>'Expenditures 15-22'!K60-SUM('Expenditures 15-22'!G60,'Expenditures 15-22'!I60)+'Expenditures 15-22'!D264-E8</f>
        <v>0</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23185</v>
      </c>
      <c r="F28" s="1859">
        <f>'Expenditures 15-22'!K61-SUM('Expenditures 15-22'!G61,'Expenditures 15-22'!I61)+'Expenditures 15-22'!K124-SUM('Expenditures 15-22'!G124,'Expenditures 15-22'!I124)+'Expenditures 15-22'!D266-E9</f>
        <v>23185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19302</v>
      </c>
      <c r="F38" s="1855"/>
      <c r="G38" s="1857">
        <f>'Expenditures 15-22'!K73-SUM('Expenditures 15-22'!G73,'Expenditures 15-22'!I73)+'Expenditures 15-22'!K128-SUM('Expenditures 15-22'!G128,'Expenditures 15-22'!I128)+'Expenditures 15-22'!K183-SUM('Expenditures 15-22'!G183,'Expenditures 15-22'!I183)+'Expenditures 15-22'!D278</f>
        <v>19302</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0</v>
      </c>
      <c r="E41" s="1859">
        <f>SUM(E19:E40)</f>
        <v>2626361</v>
      </c>
      <c r="F41" s="1859">
        <f>SUM(F19:F39)</f>
        <v>23185</v>
      </c>
      <c r="G41" s="1859">
        <f>SUM(G19:G40)</f>
        <v>2603176</v>
      </c>
    </row>
    <row r="42" spans="1:7" x14ac:dyDescent="0.2">
      <c r="A42" s="817"/>
      <c r="B42" s="157"/>
      <c r="C42" s="831"/>
      <c r="D42" s="2469" t="s">
        <v>519</v>
      </c>
      <c r="E42" s="2470"/>
      <c r="F42" s="832" t="s">
        <v>520</v>
      </c>
      <c r="G42" s="833"/>
    </row>
    <row r="43" spans="1:7" ht="12" customHeight="1" x14ac:dyDescent="0.2">
      <c r="A43" s="817"/>
      <c r="B43" s="157"/>
      <c r="C43" s="831"/>
      <c r="D43" s="1507" t="s">
        <v>470</v>
      </c>
      <c r="E43" s="1860">
        <f>D41</f>
        <v>0</v>
      </c>
      <c r="F43" s="1507" t="s">
        <v>470</v>
      </c>
      <c r="G43" s="1860">
        <f>F41</f>
        <v>23185</v>
      </c>
    </row>
    <row r="44" spans="1:7" ht="12" customHeight="1" x14ac:dyDescent="0.2">
      <c r="A44" s="817"/>
      <c r="B44" s="157"/>
      <c r="C44" s="831"/>
      <c r="D44" s="1507" t="s">
        <v>471</v>
      </c>
      <c r="E44" s="1860">
        <f>E41</f>
        <v>2626361</v>
      </c>
      <c r="F44" s="1507" t="s">
        <v>471</v>
      </c>
      <c r="G44" s="1860">
        <f>G41</f>
        <v>2603176</v>
      </c>
    </row>
    <row r="45" spans="1:7" ht="12" customHeight="1" x14ac:dyDescent="0.2">
      <c r="A45" s="817"/>
      <c r="B45" s="157"/>
      <c r="C45" s="157"/>
      <c r="D45" s="1508" t="s">
        <v>999</v>
      </c>
      <c r="E45" s="1861">
        <f>(E43/E44)</f>
        <v>0</v>
      </c>
      <c r="F45" s="1508" t="s">
        <v>999</v>
      </c>
      <c r="G45" s="1861">
        <f>(G43/G44)</f>
        <v>8.9064281477702623E-3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27400517-D544-41E2-9D13-0D8FC40AA704}" scale="110" colorId="8" showGridLines="0">
      <selection activeCell="P42" sqref="P42"/>
      <pageMargins left="0.75" right="0.75" top="1" bottom="0.5" header="0.5" footer="0.5"/>
      <printOptions horizontalCentered="1"/>
      <pageSetup scale="77" firstPageNumber="30" orientation="landscape" r:id="rId1"/>
      <headerFooter>
        <oddHeader xml:space="preserve">&amp;C&amp;"Times New Roman,Regular"REGION III SPECIAL EDUCATION COOPERATIVE
ESTIMATED INDIRECT COST RATE DATA
FOR THE YEAR ENDED JUNE 30, 2020
</oddHeader>
        <oddFooter>&amp;C&amp;"Times New Roman,Regular"See Independent Auditor’s Reports
&amp;P</oddFooter>
      </headerFooter>
    </customSheetView>
    <customSheetView guid="{00BB9B19-FC1B-492E-A95E-CC052A0B5070}" scale="110" colorId="8" showGridLines="0">
      <selection activeCell="P42" sqref="P42"/>
      <pageMargins left="0.75" right="0.75" top="1" bottom="0.5" header="0.5" footer="0.5"/>
      <printOptions horizontalCentered="1"/>
      <pageSetup scale="77" firstPageNumber="30" orientation="landscape" r:id="rId2"/>
      <headerFooter>
        <oddHeader xml:space="preserve">&amp;C&amp;"Times New Roman,Regular"REGION III SPECIAL EDUCATION COOPERATIVE
ESTIMATED INDIRECT COST RATE DATA
FOR THE YEAR ENDED JUNE 30, 2020
</oddHeader>
        <oddFooter>&amp;C&amp;"Times New Roman,Regular"See Independent Auditor’s Reports
&amp;P</oddFooter>
      </headerFooter>
    </customSheetView>
    <customSheetView guid="{DCE9EA22-7307-4505-BC41-9954A9C79245}" scale="110" colorId="8" showGridLines="0">
      <selection activeCell="P42" sqref="P42"/>
      <pageMargins left="0.75" right="0.75" top="1" bottom="0.5" header="0.5" footer="0.5"/>
      <printOptions horizontalCentered="1"/>
      <pageSetup scale="77" firstPageNumber="30" orientation="landscape" r:id="rId3"/>
      <headerFooter>
        <oddHeader xml:space="preserve">&amp;C&amp;"Times New Roman,Regular"REGION III SPECIAL EDUCATION COOPERATIVE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7" firstPageNumber="30" orientation="landscape" r:id="rId4"/>
  <headerFooter>
    <oddHeader xml:space="preserve">&amp;C&amp;"Times New Roman,Regular"REGION III SPECIAL EDUCATION COOPERATIVE
ESTIMATED INDIRECT COST RATE DATA
FOR THE YEAR ENDED JUNE 30, 2020
</oddHeader>
    <oddFooter>&amp;C&amp;"Times New Roman,Regular"See Independent Auditor’s Reports
&amp;P</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17" sqref="A17:H17"/>
      <selection pane="bottomLeft" activeCell="A12" sqref="A1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8" t="s">
        <v>1365</v>
      </c>
      <c r="B1" s="2488"/>
      <c r="C1" s="2488"/>
      <c r="D1" s="2488"/>
      <c r="E1" s="2488"/>
      <c r="F1" s="2488"/>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9" t="s">
        <v>1532</v>
      </c>
      <c r="B5" s="2490"/>
      <c r="C5" s="2491"/>
      <c r="D5" s="2491"/>
      <c r="E5" s="2491"/>
      <c r="F5" s="2491"/>
      <c r="G5" s="1556"/>
      <c r="L5" s="1556"/>
      <c r="M5" s="1913"/>
      <c r="N5" s="1913"/>
      <c r="O5" s="1913"/>
    </row>
    <row r="6" spans="1:15" ht="12" customHeight="1" x14ac:dyDescent="0.25">
      <c r="A6" s="1529"/>
      <c r="B6" s="1530"/>
      <c r="C6" s="2492" t="str">
        <f>COVER!A17</f>
        <v xml:space="preserve">   Region III Special Ed Co-op</v>
      </c>
      <c r="D6" s="2492"/>
      <c r="E6" s="2492"/>
      <c r="F6" s="1531"/>
      <c r="G6" s="1556"/>
      <c r="L6" s="1556"/>
      <c r="M6" s="1913"/>
      <c r="N6" s="1913"/>
      <c r="O6" s="1913"/>
    </row>
    <row r="7" spans="1:15" ht="11.25" customHeight="1" thickBot="1" x14ac:dyDescent="0.3">
      <c r="A7" s="1529"/>
      <c r="B7" s="1530"/>
      <c r="C7" s="2493">
        <f>COVER!A13</f>
        <v>41057801060</v>
      </c>
      <c r="D7" s="2493"/>
      <c r="E7" s="2493"/>
      <c r="F7" s="1531"/>
      <c r="G7" s="1556"/>
      <c r="L7" s="1556"/>
      <c r="M7" s="1913"/>
      <c r="N7" s="1913"/>
      <c r="O7" s="1913"/>
    </row>
    <row r="8" spans="1:15" ht="25.5" customHeight="1" thickBot="1" x14ac:dyDescent="0.25">
      <c r="A8" s="1568" t="s">
        <v>1874</v>
      </c>
      <c r="B8" s="1532" t="s">
        <v>2018</v>
      </c>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0</v>
      </c>
      <c r="I34" s="1556">
        <f>SUM(I11:I32)</f>
        <v>0</v>
      </c>
      <c r="J34" s="1556">
        <f>SUM(J11:J32)</f>
        <v>0</v>
      </c>
      <c r="K34" s="1556">
        <f>SUM(H34:J34)</f>
        <v>0</v>
      </c>
      <c r="L34" s="1556"/>
      <c r="M34" s="1913"/>
      <c r="N34" s="1913"/>
      <c r="O34" s="1913"/>
    </row>
    <row r="35" spans="1:15" ht="12" customHeight="1" x14ac:dyDescent="0.2">
      <c r="A35" s="1549" t="s">
        <v>1378</v>
      </c>
      <c r="B35" s="1550"/>
      <c r="C35" s="2494"/>
      <c r="D35" s="2494"/>
      <c r="E35" s="2494"/>
      <c r="F35" s="2495"/>
    </row>
    <row r="36" spans="1:15" ht="12" customHeight="1" x14ac:dyDescent="0.2">
      <c r="A36" s="2477"/>
      <c r="B36" s="2478"/>
      <c r="C36" s="2478"/>
      <c r="D36" s="2478"/>
      <c r="E36" s="2478"/>
      <c r="F36" s="2479"/>
    </row>
    <row r="37" spans="1:15" ht="12" customHeight="1" x14ac:dyDescent="0.2">
      <c r="A37" s="2477"/>
      <c r="B37" s="2478"/>
      <c r="C37" s="2478"/>
      <c r="D37" s="2478"/>
      <c r="E37" s="2478"/>
      <c r="F37" s="2479"/>
    </row>
    <row r="38" spans="1:15" ht="12" customHeight="1" x14ac:dyDescent="0.2">
      <c r="A38" s="2480"/>
      <c r="B38" s="2481"/>
      <c r="C38" s="2481"/>
      <c r="D38" s="2481"/>
      <c r="E38" s="2481"/>
      <c r="F38" s="2482"/>
    </row>
    <row r="39" spans="1:15" ht="4.5" hidden="1" customHeight="1" x14ac:dyDescent="0.2">
      <c r="A39" s="1551"/>
      <c r="B39" s="1551"/>
      <c r="C39" s="1551"/>
      <c r="D39" s="1551"/>
      <c r="E39" s="1551"/>
      <c r="F39" s="1551"/>
    </row>
    <row r="40" spans="1:15" s="1548" customFormat="1" ht="12" customHeight="1" x14ac:dyDescent="0.25">
      <c r="A40" s="1552" t="s">
        <v>1377</v>
      </c>
      <c r="B40" s="1553"/>
      <c r="C40" s="2483"/>
      <c r="D40" s="2483"/>
      <c r="E40" s="2483"/>
      <c r="F40" s="2484"/>
      <c r="H40" s="1557"/>
      <c r="I40" s="1557"/>
      <c r="J40" s="1557"/>
      <c r="K40" s="1557"/>
    </row>
    <row r="41" spans="1:15" s="1548" customFormat="1" ht="12" customHeight="1" x14ac:dyDescent="0.25">
      <c r="A41" s="2485"/>
      <c r="B41" s="2486"/>
      <c r="C41" s="2486"/>
      <c r="D41" s="2486"/>
      <c r="E41" s="2486"/>
      <c r="F41" s="2487"/>
      <c r="H41" s="1557"/>
      <c r="I41" s="1557"/>
      <c r="J41" s="1557"/>
      <c r="K41" s="1557"/>
    </row>
    <row r="42" spans="1:15" s="1548" customFormat="1" ht="12" customHeight="1" x14ac:dyDescent="0.25">
      <c r="A42" s="2485"/>
      <c r="B42" s="2486"/>
      <c r="C42" s="2486"/>
      <c r="D42" s="2486"/>
      <c r="E42" s="2486"/>
      <c r="F42" s="2487"/>
      <c r="H42" s="1557"/>
      <c r="I42" s="1557"/>
      <c r="J42" s="1557"/>
      <c r="K42" s="1557"/>
    </row>
    <row r="43" spans="1:15" s="1548" customFormat="1" ht="15" x14ac:dyDescent="0.25">
      <c r="A43" s="2474"/>
      <c r="B43" s="2475"/>
      <c r="C43" s="2475"/>
      <c r="D43" s="2475"/>
      <c r="E43" s="2475"/>
      <c r="F43" s="2476"/>
      <c r="H43" s="1557"/>
      <c r="I43" s="1557"/>
      <c r="J43" s="1557"/>
      <c r="K43" s="1557"/>
    </row>
    <row r="44" spans="1:15" s="1548" customFormat="1" ht="12" hidden="1" customHeight="1" x14ac:dyDescent="0.25">
      <c r="A44" s="2474"/>
      <c r="B44" s="2475"/>
      <c r="C44" s="2475"/>
      <c r="D44" s="2475"/>
      <c r="E44" s="2475"/>
      <c r="F44" s="2476"/>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customSheetViews>
    <customSheetView guid="{27400517-D544-41E2-9D13-0D8FC40AA704}" scale="110" showPageBreaks="1" showGridLines="0" printArea="1" hiddenRows="1">
      <pane ySplit="4" topLeftCell="A5" activePane="bottomLeft" state="frozen"/>
      <selection pane="bottomLeft" activeCell="E14" sqref="E14"/>
      <pageMargins left="0.75" right="0.75" top="1" bottom="0.5" header="0.5" footer="0.5"/>
      <printOptions horizontalCentered="1"/>
      <pageSetup scale="76" orientation="landscape" r:id="rId1"/>
      <headerFooter>
        <oddHeader xml:space="preserve">&amp;C&amp;"Times New Roman,Regular"REGION III SPECIAL EDUCATION COOPERATIVE
</oddHeader>
        <oddFooter>&amp;C&amp;"Times New Roman,Regular"See Independent Auditor’s Reports
&amp;P</oddFooter>
      </headerFooter>
    </customSheetView>
    <customSheetView guid="{00BB9B19-FC1B-492E-A95E-CC052A0B5070}" scale="60" showPageBreaks="1" showGridLines="0" printArea="1" hiddenRows="1" view="pageBreakPreview">
      <pane ySplit="4" topLeftCell="A8" activePane="bottomLeft" state="frozen"/>
      <selection pane="bottomLeft" activeCell="A17" sqref="A17:H17"/>
      <pageMargins left="0.75" right="0.75" top="1" bottom="0.5" header="0.5" footer="0.5"/>
      <printOptions horizontalCentered="1"/>
      <pageSetup scale="76" orientation="landscape" r:id="rId2"/>
      <headerFooter>
        <oddHeader xml:space="preserve">&amp;C&amp;"Times New Roman,Regular"REGION III SPECIAL EDUCATION COOPERATIVE
</oddHeader>
        <oddFooter>&amp;C&amp;"Times New Roman,Regular"See Independent Auditor’s Reports
&amp;P</oddFooter>
      </headerFooter>
    </customSheetView>
    <customSheetView guid="{DCE9EA22-7307-4505-BC41-9954A9C79245}" scale="110" showGridLines="0" hiddenRows="1">
      <pane ySplit="4" topLeftCell="A5" activePane="bottomLeft" state="frozen"/>
      <selection pane="bottomLeft" activeCell="A12" sqref="A12"/>
      <pageMargins left="0.75" right="0.75" top="1" bottom="0.5" header="0.5" footer="0.5"/>
      <printOptions horizontalCentered="1"/>
      <pageSetup scale="76" orientation="landscape" r:id="rId3"/>
      <headerFooter>
        <oddHeader xml:space="preserve">&amp;C&amp;"Times New Roman,Regular"REGION III SPECIAL EDUCATION COOPERATIVE
</oddHeader>
        <oddFooter>&amp;C&amp;"Times New Roman,Regular"See Independent Auditor’s Reports
&amp;P</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75" right="0.75" top="1" bottom="0.5" header="0.5" footer="0.5"/>
  <pageSetup scale="76" orientation="landscape" r:id="rId4"/>
  <headerFooter>
    <oddHeader xml:space="preserve">&amp;C&amp;"Times New Roman,Regular"REGION III SPECIAL EDUCATION COOPERATIVE
</oddHeader>
    <oddFooter>&amp;C&amp;"Times New Roman,Regular"See Independent Auditor’s Reports
&amp;P</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topLeftCell="F1" colorId="8" zoomScaleNormal="100" workbookViewId="0">
      <selection activeCell="Q25" sqref="Q2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501" t="str">
        <f>COVER!A17</f>
        <v xml:space="preserve">   Region III Special Ed Co-op</v>
      </c>
      <c r="J6" s="2502"/>
      <c r="K6" s="2503"/>
      <c r="R6" s="1427"/>
    </row>
    <row r="7" spans="1:18" x14ac:dyDescent="0.2">
      <c r="A7" s="2504" t="s">
        <v>864</v>
      </c>
      <c r="B7" s="2505"/>
      <c r="C7" s="2505"/>
      <c r="D7" s="2505"/>
      <c r="E7" s="2506"/>
      <c r="F7" s="847"/>
      <c r="G7" s="839"/>
      <c r="H7" s="846" t="s">
        <v>369</v>
      </c>
      <c r="I7" s="2507">
        <f>COVER!A13</f>
        <v>41057801060</v>
      </c>
      <c r="J7" s="2507"/>
      <c r="K7" s="2507"/>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8" t="s">
        <v>478</v>
      </c>
      <c r="B11" s="2509"/>
      <c r="C11" s="2510"/>
      <c r="D11" s="861" t="s">
        <v>866</v>
      </c>
      <c r="E11" s="861" t="s">
        <v>64</v>
      </c>
      <c r="F11" s="861" t="s">
        <v>6</v>
      </c>
      <c r="G11" s="862" t="s">
        <v>155</v>
      </c>
      <c r="H11" s="861" t="s">
        <v>64</v>
      </c>
      <c r="I11" s="861" t="s">
        <v>6</v>
      </c>
      <c r="J11" s="1980" t="s">
        <v>2001</v>
      </c>
      <c r="K11" s="862" t="s">
        <v>155</v>
      </c>
    </row>
    <row r="12" spans="1:18" ht="15" customHeight="1" x14ac:dyDescent="0.2">
      <c r="A12" s="863">
        <v>1</v>
      </c>
      <c r="B12" s="864" t="s">
        <v>813</v>
      </c>
      <c r="C12" s="865"/>
      <c r="D12" s="866">
        <v>2320</v>
      </c>
      <c r="E12" s="1863">
        <f>'Expenditures 15-22'!K50</f>
        <v>0</v>
      </c>
      <c r="F12" s="1864"/>
      <c r="G12" s="1863">
        <f t="shared" ref="G12:G18" si="0">SUM(E12:F12)</f>
        <v>0</v>
      </c>
      <c r="H12" s="1865"/>
      <c r="I12" s="1864"/>
      <c r="J12" s="1865"/>
      <c r="K12" s="1863">
        <f t="shared" ref="K12:K18" si="1">SUM(H12:J12)</f>
        <v>0</v>
      </c>
    </row>
    <row r="13" spans="1:18" ht="15" customHeight="1" x14ac:dyDescent="0.2">
      <c r="A13" s="863">
        <v>2</v>
      </c>
      <c r="B13" s="864" t="s">
        <v>42</v>
      </c>
      <c r="C13" s="865"/>
      <c r="D13" s="866">
        <v>2330</v>
      </c>
      <c r="E13" s="1863">
        <f>'Expenditures 15-22'!K51</f>
        <v>340124</v>
      </c>
      <c r="F13" s="1864"/>
      <c r="G13" s="1863">
        <f t="shared" si="0"/>
        <v>340124</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11" t="s">
        <v>7</v>
      </c>
      <c r="C18" s="2512"/>
      <c r="D18" s="2513"/>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340124</v>
      </c>
      <c r="F19" s="1868">
        <f t="shared" si="2"/>
        <v>0</v>
      </c>
      <c r="G19" s="1868">
        <f t="shared" si="2"/>
        <v>340124</v>
      </c>
      <c r="H19" s="1868">
        <f t="shared" si="2"/>
        <v>0</v>
      </c>
      <c r="I19" s="1868">
        <f t="shared" si="2"/>
        <v>0</v>
      </c>
      <c r="J19" s="1868">
        <f t="shared" si="2"/>
        <v>0</v>
      </c>
      <c r="K19" s="1868">
        <f t="shared" si="2"/>
        <v>0</v>
      </c>
    </row>
    <row r="20" spans="1:11" ht="13.5" thickTop="1" x14ac:dyDescent="0.2">
      <c r="A20" s="863">
        <v>9</v>
      </c>
      <c r="B20" s="2514" t="str">
        <f>"Percent Increase (Decrease) for FY"&amp;'AFR20'!E2+1&amp;" (Budgeted) over FY"&amp;'AFR20'!E2&amp;" (Actual)"</f>
        <v>Percent Increase (Decrease) for FY2021 (Budgeted) over FY2020 (Actual)</v>
      </c>
      <c r="C20" s="2514"/>
      <c r="D20" s="2515"/>
      <c r="E20" s="1869"/>
      <c r="F20" s="1869"/>
      <c r="G20" s="1869"/>
      <c r="H20" s="1869"/>
      <c r="I20" s="1869"/>
      <c r="J20" s="1978"/>
      <c r="K20" s="1870" t="str">
        <f>IF(AND(G19&gt;0,K19&gt;0),(((K19-G19)/G19)),"Enter Budget Data")</f>
        <v>Enter Budget Data</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20"/>
      <c r="D26" s="2520"/>
      <c r="E26" s="874"/>
      <c r="F26" s="2519"/>
      <c r="G26" s="2519"/>
    </row>
    <row r="27" spans="1:11" x14ac:dyDescent="0.2">
      <c r="B27" s="871"/>
      <c r="C27" s="875" t="s">
        <v>1026</v>
      </c>
      <c r="D27" s="876"/>
      <c r="E27" s="877"/>
      <c r="F27" s="2516" t="s">
        <v>1495</v>
      </c>
      <c r="G27" s="2516"/>
    </row>
    <row r="28" spans="1:11" ht="28.5" customHeight="1" x14ac:dyDescent="0.2">
      <c r="B28" s="871"/>
      <c r="C28" s="2518"/>
      <c r="D28" s="2518"/>
      <c r="E28" s="878"/>
      <c r="F28" s="2518"/>
      <c r="G28" s="2518"/>
    </row>
    <row r="29" spans="1:11" x14ac:dyDescent="0.2">
      <c r="B29" s="871"/>
      <c r="C29" s="879" t="s">
        <v>1547</v>
      </c>
      <c r="E29" s="880"/>
      <c r="F29" s="2517" t="s">
        <v>1496</v>
      </c>
      <c r="G29" s="251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9"/>
      <c r="E33" s="2499"/>
      <c r="F33" s="2499"/>
      <c r="G33" s="2499"/>
      <c r="H33" s="2499"/>
      <c r="I33" s="2499"/>
      <c r="J33" s="1976"/>
    </row>
    <row r="34" spans="1:11" ht="10.35" customHeight="1" x14ac:dyDescent="0.2">
      <c r="C34" s="2499"/>
      <c r="D34" s="2499"/>
      <c r="E34" s="2499"/>
      <c r="F34" s="2499"/>
      <c r="G34" s="2499"/>
      <c r="H34" s="2499"/>
      <c r="I34" s="2499"/>
      <c r="J34" s="1976"/>
    </row>
    <row r="35" spans="1:11" ht="7.5" customHeight="1" x14ac:dyDescent="0.2">
      <c r="C35" s="886"/>
    </row>
    <row r="36" spans="1:11" ht="13.5" customHeight="1" x14ac:dyDescent="0.2">
      <c r="B36" s="885"/>
      <c r="C36" s="250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9"/>
      <c r="E36" s="2499"/>
      <c r="F36" s="2499"/>
      <c r="G36" s="2499"/>
      <c r="H36" s="2499"/>
      <c r="I36" s="2499"/>
      <c r="J36" s="1976"/>
      <c r="K36" s="887"/>
    </row>
    <row r="37" spans="1:11" ht="22.5" customHeight="1" x14ac:dyDescent="0.2">
      <c r="C37" s="2499"/>
      <c r="D37" s="2499"/>
      <c r="E37" s="2499"/>
      <c r="F37" s="2499"/>
      <c r="G37" s="2499"/>
      <c r="H37" s="2499"/>
      <c r="I37" s="2499"/>
      <c r="J37" s="1976"/>
      <c r="K37" s="887"/>
    </row>
    <row r="38" spans="1:11" ht="7.5" customHeight="1" x14ac:dyDescent="0.2">
      <c r="C38" s="886"/>
      <c r="D38" s="888"/>
      <c r="E38" s="889"/>
      <c r="F38" s="890"/>
      <c r="G38" s="889"/>
    </row>
    <row r="39" spans="1:11" ht="13.5" customHeight="1" x14ac:dyDescent="0.2">
      <c r="B39" s="885"/>
      <c r="C39" s="2496" t="str">
        <f>"The district will amend their budget to become in compliance with the limitation."</f>
        <v>The district will amend their budget to become in compliance with the limitation.</v>
      </c>
      <c r="D39" s="2497"/>
      <c r="E39" s="2497"/>
      <c r="F39" s="2497"/>
      <c r="G39" s="2497"/>
      <c r="H39" s="2497"/>
      <c r="I39" s="2497"/>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27400517-D544-41E2-9D13-0D8FC40AA704}" scale="60" colorId="8" showPageBreaks="1" showGridLines="0" view="pageBreakPreview">
      <selection activeCell="S25" sqref="S25"/>
      <pageMargins left="0.75" right="0.75" top="1" bottom="0.5" header="0.5" footer="0.5"/>
      <printOptions horizontalCentered="1"/>
      <pageSetup scale="83" firstPageNumber="31" orientation="landscape" r:id="rId1"/>
      <headerFooter>
        <oddHeader xml:space="preserve">&amp;C&amp;"Times New Roman,Regular"REGION III SPECIAL EDUCATION COOPERATIVE
LIMITATION OF ADMINISTRATIVE COSTS WORKSHEET
FOR THE YEAR ENDED JUNE 30, 2020
</oddHeader>
        <oddFooter>&amp;C&amp;"Times New Roman,Regular"See Independent Auditor’s Reports
&amp;P</oddFooter>
      </headerFooter>
    </customSheetView>
    <customSheetView guid="{00BB9B19-FC1B-492E-A95E-CC052A0B5070}" scale="60" colorId="8" showPageBreaks="1" showGridLines="0" view="pageBreakPreview">
      <selection activeCell="S25" sqref="S25"/>
      <pageMargins left="0.75" right="0.75" top="1" bottom="0.5" header="0.5" footer="0.5"/>
      <printOptions horizontalCentered="1"/>
      <pageSetup scale="83" firstPageNumber="31" orientation="landscape" r:id="rId2"/>
      <headerFooter>
        <oddHeader xml:space="preserve">&amp;C&amp;"Times New Roman,Regular"REGION III SPECIAL EDUCATION COOPERATIVE
LIMITATION OF ADMINISTRATIVE COSTS WORKSHEET
FOR THE YEAR ENDED JUNE 30, 2020
</oddHeader>
        <oddFooter>&amp;C&amp;"Times New Roman,Regular"See Independent Auditor’s Reports
&amp;P</oddFooter>
      </headerFooter>
    </customSheetView>
    <customSheetView guid="{DCE9EA22-7307-4505-BC41-9954A9C79245}" scale="60" colorId="8" showPageBreaks="1" showGridLines="0" view="pageBreakPreview">
      <selection activeCell="S25" sqref="S25"/>
      <pageMargins left="0.75" right="0.75" top="1" bottom="0.5" header="0.5" footer="0.5"/>
      <printOptions horizontalCentered="1"/>
      <pageSetup scale="83" firstPageNumber="31" orientation="landscape" r:id="rId3"/>
      <headerFooter>
        <oddHeader xml:space="preserve">&amp;C&amp;"Times New Roman,Regular"REGION III SPECIAL EDUCATION COOPERATIVE
LIMITATION OF ADMINISTRATIVE COSTS WORKSHEET
FOR THE YEAR ENDED JUNE 30, 2020
</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3" firstPageNumber="31" orientation="landscape" r:id="rId4"/>
  <headerFooter>
    <oddHeader xml:space="preserve">&amp;C&amp;"Times New Roman,Regular"REGION III SPECIAL EDUCATION COOPERATIVE
LIMITATION OF ADMINISTRATIVE COSTS WORKSHEET
FOR THE YEAR ENDED JUNE 30, 2020
</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533E-2FA7-4ECC-87C8-E9E34206BFC0}">
  <sheetPr>
    <pageSetUpPr fitToPage="1"/>
  </sheetPr>
  <dimension ref="A1:N72"/>
  <sheetViews>
    <sheetView showGridLines="0" view="pageBreakPreview" topLeftCell="A20" zoomScale="60" zoomScaleNormal="100" workbookViewId="0">
      <selection activeCell="E68" sqref="E68"/>
    </sheetView>
  </sheetViews>
  <sheetFormatPr defaultRowHeight="15" x14ac:dyDescent="0.25"/>
  <cols>
    <col min="1" max="1" width="2.7109375" style="1995" customWidth="1"/>
    <col min="2" max="2" width="3" style="1995" customWidth="1"/>
    <col min="3" max="3" width="38" style="1995" customWidth="1"/>
    <col min="4" max="4" width="7.7109375" style="1995" customWidth="1"/>
    <col min="5" max="5" width="10.7109375" style="1995" customWidth="1"/>
    <col min="6" max="6" width="11" style="1995" customWidth="1"/>
    <col min="7" max="8" width="9.140625" style="1995"/>
    <col min="9" max="9" width="10.85546875" style="1995" customWidth="1"/>
    <col min="10" max="10" width="12.42578125" style="1995" customWidth="1"/>
    <col min="11" max="11" width="9.140625" style="1995"/>
    <col min="12" max="12" width="13.140625" style="1995" customWidth="1"/>
    <col min="13" max="13" width="9.140625" style="1995"/>
    <col min="14" max="14" width="17.85546875" style="1995" customWidth="1"/>
    <col min="15" max="16384" width="9.140625" style="1995"/>
  </cols>
  <sheetData>
    <row r="1" spans="1:14" x14ac:dyDescent="0.25">
      <c r="A1" s="1990"/>
      <c r="B1" s="1991"/>
      <c r="C1" s="1991"/>
      <c r="D1" s="1991"/>
      <c r="E1" s="1991"/>
      <c r="F1" s="1991"/>
      <c r="G1" s="1992" t="s">
        <v>402</v>
      </c>
      <c r="H1" s="1993"/>
      <c r="I1" s="1991"/>
      <c r="J1" s="1991"/>
      <c r="K1" s="1991"/>
      <c r="L1" s="1991"/>
      <c r="M1" s="1991"/>
      <c r="N1" s="1994"/>
    </row>
    <row r="2" spans="1:14" x14ac:dyDescent="0.25">
      <c r="A2" s="1996"/>
      <c r="B2" s="899"/>
      <c r="C2" s="899"/>
      <c r="D2" s="899"/>
      <c r="E2" s="899"/>
      <c r="F2" s="899"/>
      <c r="G2" s="1989" t="s">
        <v>2002</v>
      </c>
      <c r="H2" s="1997"/>
      <c r="I2" s="899"/>
      <c r="J2" s="899"/>
      <c r="K2" s="899"/>
      <c r="L2" s="899"/>
      <c r="M2" s="899"/>
      <c r="N2" s="1998"/>
    </row>
    <row r="3" spans="1:14" x14ac:dyDescent="0.25">
      <c r="A3" s="1996"/>
      <c r="B3" s="899"/>
      <c r="C3" s="899"/>
      <c r="D3" s="899"/>
      <c r="E3" s="899"/>
      <c r="F3" s="899"/>
      <c r="G3" s="1989" t="s">
        <v>403</v>
      </c>
      <c r="H3" s="899"/>
      <c r="I3" s="899"/>
      <c r="J3" s="899"/>
      <c r="K3" s="899"/>
      <c r="L3" s="899"/>
      <c r="M3" s="899"/>
      <c r="N3" s="1998"/>
    </row>
    <row r="4" spans="1:14" x14ac:dyDescent="0.25">
      <c r="A4" s="1996"/>
      <c r="B4" s="899"/>
      <c r="C4" s="899"/>
      <c r="D4" s="899"/>
      <c r="E4" s="899"/>
      <c r="F4" s="899"/>
      <c r="G4" s="1989" t="s">
        <v>863</v>
      </c>
      <c r="H4" s="899"/>
      <c r="I4" s="899"/>
      <c r="J4" s="899"/>
      <c r="K4" s="899"/>
      <c r="L4" s="899"/>
      <c r="M4" s="899"/>
      <c r="N4" s="1998"/>
    </row>
    <row r="5" spans="1:14" x14ac:dyDescent="0.25">
      <c r="A5" s="1996"/>
      <c r="B5" s="899"/>
      <c r="C5" s="899"/>
      <c r="D5" s="899"/>
      <c r="E5" s="899"/>
      <c r="F5" s="1989"/>
      <c r="G5" s="1989"/>
      <c r="H5" s="899"/>
      <c r="I5" s="899"/>
      <c r="J5" s="899"/>
      <c r="K5" s="899"/>
      <c r="L5" s="899"/>
      <c r="M5" s="899"/>
      <c r="N5" s="1998"/>
    </row>
    <row r="6" spans="1:14" x14ac:dyDescent="0.25">
      <c r="A6" s="1999" t="s">
        <v>667</v>
      </c>
      <c r="B6" s="1422"/>
      <c r="C6" s="1422"/>
      <c r="D6" s="1422"/>
      <c r="E6" s="1423"/>
      <c r="F6" s="2000"/>
      <c r="G6" s="1989"/>
      <c r="H6" s="899"/>
      <c r="I6" s="2001" t="s">
        <v>1021</v>
      </c>
      <c r="J6" s="2562" t="str">
        <f>COVER!A17</f>
        <v xml:space="preserve">   Region III Special Ed Co-op</v>
      </c>
      <c r="K6" s="2562"/>
      <c r="L6" s="2563"/>
      <c r="M6" s="899"/>
      <c r="N6" s="1998"/>
    </row>
    <row r="7" spans="1:14" x14ac:dyDescent="0.25">
      <c r="A7" s="2564" t="s">
        <v>864</v>
      </c>
      <c r="B7" s="2565"/>
      <c r="C7" s="2565"/>
      <c r="D7" s="2565"/>
      <c r="E7" s="2566"/>
      <c r="F7" s="2002"/>
      <c r="G7" s="899"/>
      <c r="H7" s="899"/>
      <c r="I7" s="2001" t="s">
        <v>369</v>
      </c>
      <c r="J7" s="2567">
        <f>COVER!A13</f>
        <v>41057801060</v>
      </c>
      <c r="K7" s="2567"/>
      <c r="L7" s="2567"/>
      <c r="M7" s="899"/>
      <c r="N7" s="1998"/>
    </row>
    <row r="8" spans="1:14" x14ac:dyDescent="0.25">
      <c r="A8" s="2003"/>
      <c r="B8" s="2004"/>
      <c r="C8" s="2004"/>
      <c r="D8" s="2004"/>
      <c r="E8" s="2005"/>
      <c r="F8" s="2006"/>
      <c r="G8" s="2007"/>
      <c r="H8" s="2007"/>
      <c r="I8" s="2007"/>
      <c r="J8" s="2007"/>
      <c r="K8" s="2007"/>
      <c r="L8" s="2007"/>
      <c r="M8" s="899"/>
      <c r="N8" s="1998"/>
    </row>
    <row r="9" spans="1:14" x14ac:dyDescent="0.25">
      <c r="A9" s="2008"/>
      <c r="B9" s="2009"/>
      <c r="C9" s="2009"/>
      <c r="D9" s="2010"/>
      <c r="E9" s="2011" t="s">
        <v>2031</v>
      </c>
      <c r="F9" s="2012"/>
      <c r="G9" s="2012"/>
      <c r="H9" s="2012"/>
      <c r="I9" s="2013" t="s">
        <v>2032</v>
      </c>
      <c r="J9" s="2012"/>
      <c r="K9" s="2012"/>
      <c r="L9" s="2014"/>
      <c r="M9" s="899"/>
      <c r="N9" s="1998"/>
    </row>
    <row r="10" spans="1:14" x14ac:dyDescent="0.25">
      <c r="A10" s="1996"/>
      <c r="B10" s="899"/>
      <c r="C10" s="1989"/>
      <c r="D10" s="2015"/>
      <c r="E10" s="2016" t="s">
        <v>422</v>
      </c>
      <c r="F10" s="2017" t="s">
        <v>423</v>
      </c>
      <c r="G10" s="2018" t="s">
        <v>429</v>
      </c>
      <c r="H10" s="2019"/>
      <c r="I10" s="2017" t="s">
        <v>422</v>
      </c>
      <c r="J10" s="2017" t="s">
        <v>423</v>
      </c>
      <c r="K10" s="2018" t="s">
        <v>429</v>
      </c>
      <c r="L10" s="2017"/>
      <c r="M10" s="899"/>
      <c r="N10" s="1998"/>
    </row>
    <row r="11" spans="1:14" ht="51" x14ac:dyDescent="0.25">
      <c r="A11" s="2568" t="s">
        <v>478</v>
      </c>
      <c r="B11" s="2569"/>
      <c r="C11" s="2570"/>
      <c r="D11" s="2020" t="s">
        <v>866</v>
      </c>
      <c r="E11" s="2020" t="s">
        <v>64</v>
      </c>
      <c r="F11" s="2020" t="s">
        <v>6</v>
      </c>
      <c r="G11" s="2021" t="s">
        <v>2033</v>
      </c>
      <c r="H11" s="2022" t="s">
        <v>155</v>
      </c>
      <c r="I11" s="2020" t="s">
        <v>64</v>
      </c>
      <c r="J11" s="2020" t="s">
        <v>6</v>
      </c>
      <c r="K11" s="2021" t="s">
        <v>2001</v>
      </c>
      <c r="L11" s="2022" t="s">
        <v>155</v>
      </c>
      <c r="M11" s="899"/>
      <c r="N11" s="1998"/>
    </row>
    <row r="12" spans="1:14" x14ac:dyDescent="0.25">
      <c r="A12" s="2023">
        <v>1</v>
      </c>
      <c r="B12" s="2024" t="s">
        <v>813</v>
      </c>
      <c r="C12" s="2025"/>
      <c r="D12" s="2026">
        <v>2320</v>
      </c>
      <c r="E12" s="2027">
        <f>'Expenditures 15-22'!K50</f>
        <v>0</v>
      </c>
      <c r="F12" s="2028"/>
      <c r="G12" s="2029">
        <f>G68</f>
        <v>0</v>
      </c>
      <c r="H12" s="2030">
        <f t="shared" ref="H12:H18" si="0">SUM(E12:G12)</f>
        <v>0</v>
      </c>
      <c r="I12" s="2031"/>
      <c r="J12" s="2028"/>
      <c r="K12" s="2031"/>
      <c r="L12" s="2030">
        <f t="shared" ref="L12:L18" si="1">SUM(I12:K12)</f>
        <v>0</v>
      </c>
      <c r="M12" s="899"/>
      <c r="N12" s="1998"/>
    </row>
    <row r="13" spans="1:14" x14ac:dyDescent="0.25">
      <c r="A13" s="2023">
        <v>2</v>
      </c>
      <c r="B13" s="2024" t="s">
        <v>42</v>
      </c>
      <c r="C13" s="2025"/>
      <c r="D13" s="2026">
        <v>2330</v>
      </c>
      <c r="E13" s="2027">
        <f>'Expenditures 15-22'!K51</f>
        <v>340124</v>
      </c>
      <c r="F13" s="2028"/>
      <c r="G13" s="2029">
        <f>H68</f>
        <v>0</v>
      </c>
      <c r="H13" s="2030">
        <f t="shared" si="0"/>
        <v>340124</v>
      </c>
      <c r="I13" s="2031"/>
      <c r="J13" s="2028"/>
      <c r="K13" s="2031"/>
      <c r="L13" s="2030">
        <f t="shared" si="1"/>
        <v>0</v>
      </c>
      <c r="M13" s="899"/>
      <c r="N13" s="1998"/>
    </row>
    <row r="14" spans="1:14" x14ac:dyDescent="0.25">
      <c r="A14" s="2023">
        <v>3</v>
      </c>
      <c r="B14" s="2024" t="s">
        <v>43</v>
      </c>
      <c r="C14" s="2025"/>
      <c r="D14" s="2032">
        <v>2490</v>
      </c>
      <c r="E14" s="2027">
        <f>'Expenditures 15-22'!K56</f>
        <v>0</v>
      </c>
      <c r="F14" s="2028"/>
      <c r="G14" s="2029">
        <f>I68</f>
        <v>0</v>
      </c>
      <c r="H14" s="2030">
        <f t="shared" si="0"/>
        <v>0</v>
      </c>
      <c r="I14" s="2031"/>
      <c r="J14" s="2028"/>
      <c r="K14" s="2031"/>
      <c r="L14" s="2030">
        <f t="shared" si="1"/>
        <v>0</v>
      </c>
      <c r="M14" s="899"/>
      <c r="N14" s="1998"/>
    </row>
    <row r="15" spans="1:14" x14ac:dyDescent="0.25">
      <c r="A15" s="2023">
        <v>4</v>
      </c>
      <c r="B15" s="2024" t="s">
        <v>1061</v>
      </c>
      <c r="C15" s="2025"/>
      <c r="D15" s="2026">
        <v>2510</v>
      </c>
      <c r="E15" s="2027">
        <f>'Expenditures 15-22'!K59</f>
        <v>0</v>
      </c>
      <c r="F15" s="2027">
        <f>'Expenditures 15-22'!K122</f>
        <v>0</v>
      </c>
      <c r="G15" s="2029">
        <f>J68</f>
        <v>0</v>
      </c>
      <c r="H15" s="2030">
        <f t="shared" si="0"/>
        <v>0</v>
      </c>
      <c r="I15" s="2031"/>
      <c r="J15" s="2031"/>
      <c r="K15" s="2031"/>
      <c r="L15" s="2030">
        <f t="shared" si="1"/>
        <v>0</v>
      </c>
      <c r="M15" s="899"/>
      <c r="N15" s="1998"/>
    </row>
    <row r="16" spans="1:14" x14ac:dyDescent="0.25">
      <c r="A16" s="2023">
        <v>5</v>
      </c>
      <c r="B16" s="2024" t="s">
        <v>101</v>
      </c>
      <c r="C16" s="2025"/>
      <c r="D16" s="2026">
        <v>2570</v>
      </c>
      <c r="E16" s="2027">
        <f>'Expenditures 15-22'!K64</f>
        <v>0</v>
      </c>
      <c r="F16" s="2028"/>
      <c r="G16" s="2029">
        <f>K68</f>
        <v>0</v>
      </c>
      <c r="H16" s="2030">
        <f t="shared" si="0"/>
        <v>0</v>
      </c>
      <c r="I16" s="2031"/>
      <c r="J16" s="2028"/>
      <c r="K16" s="2031"/>
      <c r="L16" s="2030">
        <f t="shared" si="1"/>
        <v>0</v>
      </c>
      <c r="M16" s="899"/>
      <c r="N16" s="1998"/>
    </row>
    <row r="17" spans="1:14" x14ac:dyDescent="0.25">
      <c r="A17" s="2023">
        <v>6</v>
      </c>
      <c r="B17" s="2024" t="s">
        <v>1053</v>
      </c>
      <c r="C17" s="2025"/>
      <c r="D17" s="2026">
        <v>2610</v>
      </c>
      <c r="E17" s="2027">
        <f>'Expenditures 15-22'!K67</f>
        <v>0</v>
      </c>
      <c r="F17" s="2028"/>
      <c r="G17" s="2029">
        <f>L68</f>
        <v>0</v>
      </c>
      <c r="H17" s="2030">
        <f t="shared" si="0"/>
        <v>0</v>
      </c>
      <c r="I17" s="2031"/>
      <c r="J17" s="2028"/>
      <c r="K17" s="2031"/>
      <c r="L17" s="2030">
        <f t="shared" si="1"/>
        <v>0</v>
      </c>
      <c r="M17" s="899"/>
      <c r="N17" s="1998"/>
    </row>
    <row r="18" spans="1:14" ht="28.5" customHeight="1" x14ac:dyDescent="0.25">
      <c r="A18" s="2033">
        <v>7</v>
      </c>
      <c r="B18" s="2512" t="s">
        <v>7</v>
      </c>
      <c r="C18" s="2512"/>
      <c r="D18" s="2513"/>
      <c r="E18" s="2031"/>
      <c r="F18" s="2031"/>
      <c r="G18" s="2031"/>
      <c r="H18" s="2030">
        <f t="shared" si="0"/>
        <v>0</v>
      </c>
      <c r="I18" s="2031"/>
      <c r="J18" s="2031"/>
      <c r="K18" s="2031"/>
      <c r="L18" s="2030">
        <f t="shared" si="1"/>
        <v>0</v>
      </c>
      <c r="M18" s="899"/>
      <c r="N18" s="1998"/>
    </row>
    <row r="19" spans="1:14" ht="15.75" thickBot="1" x14ac:dyDescent="0.3">
      <c r="A19" s="2023">
        <v>8</v>
      </c>
      <c r="B19" s="2034" t="s">
        <v>1153</v>
      </c>
      <c r="C19" s="899"/>
      <c r="D19" s="2035"/>
      <c r="E19" s="2036">
        <f t="shared" ref="E19:L19" si="2">SUM(E12:E17)-E18</f>
        <v>340124</v>
      </c>
      <c r="F19" s="2036">
        <f t="shared" si="2"/>
        <v>0</v>
      </c>
      <c r="G19" s="2036">
        <f t="shared" ref="G19" si="3">SUM(G12:G17)-G18</f>
        <v>0</v>
      </c>
      <c r="H19" s="2036">
        <f t="shared" si="2"/>
        <v>340124</v>
      </c>
      <c r="I19" s="2036">
        <f t="shared" si="2"/>
        <v>0</v>
      </c>
      <c r="J19" s="2036">
        <f t="shared" si="2"/>
        <v>0</v>
      </c>
      <c r="K19" s="2036">
        <f t="shared" si="2"/>
        <v>0</v>
      </c>
      <c r="L19" s="2036">
        <f t="shared" si="2"/>
        <v>0</v>
      </c>
      <c r="M19" s="899"/>
      <c r="N19" s="1998"/>
    </row>
    <row r="20" spans="1:14" ht="15.75" thickTop="1" x14ac:dyDescent="0.25">
      <c r="A20" s="2023">
        <v>9</v>
      </c>
      <c r="B20" s="2560" t="s">
        <v>2034</v>
      </c>
      <c r="C20" s="2560"/>
      <c r="D20" s="2561"/>
      <c r="E20" s="2037"/>
      <c r="F20" s="2037"/>
      <c r="G20" s="2037"/>
      <c r="H20" s="2037"/>
      <c r="I20" s="2037"/>
      <c r="J20" s="2037"/>
      <c r="K20" s="2037"/>
      <c r="L20" s="2038" t="str">
        <f>IF(AND(H19&gt;0,L19&gt;0),(((L19-H19)/H19)),"Enter Budget Data")</f>
        <v>Enter Budget Data</v>
      </c>
      <c r="M20" s="899"/>
      <c r="N20" s="1998"/>
    </row>
    <row r="21" spans="1:14" x14ac:dyDescent="0.25">
      <c r="A21" s="2039" t="s">
        <v>194</v>
      </c>
      <c r="B21" s="294" t="s">
        <v>2035</v>
      </c>
      <c r="C21" s="899"/>
      <c r="D21" s="2040"/>
      <c r="E21" s="2041"/>
      <c r="F21" s="2042"/>
      <c r="G21" s="2042"/>
      <c r="H21" s="2042"/>
      <c r="I21" s="2042"/>
      <c r="J21" s="2042"/>
      <c r="K21" s="2042"/>
      <c r="L21" s="2043"/>
      <c r="M21" s="899"/>
      <c r="N21" s="1998"/>
    </row>
    <row r="22" spans="1:14" x14ac:dyDescent="0.25">
      <c r="A22" s="1996"/>
      <c r="B22" s="2044"/>
      <c r="C22" s="899"/>
      <c r="D22" s="899"/>
      <c r="E22" s="899"/>
      <c r="F22" s="899"/>
      <c r="G22" s="899"/>
      <c r="H22" s="899"/>
      <c r="I22" s="899"/>
      <c r="J22" s="899"/>
      <c r="K22" s="899"/>
      <c r="L22" s="899"/>
      <c r="M22" s="899"/>
      <c r="N22" s="1998"/>
    </row>
    <row r="23" spans="1:14" x14ac:dyDescent="0.25">
      <c r="A23" s="2045" t="s">
        <v>132</v>
      </c>
      <c r="B23" s="2044"/>
      <c r="C23" s="899"/>
      <c r="D23" s="899"/>
      <c r="E23" s="899"/>
      <c r="F23" s="899"/>
      <c r="G23" s="899"/>
      <c r="H23" s="899"/>
      <c r="I23" s="899"/>
      <c r="J23" s="899"/>
      <c r="K23" s="899"/>
      <c r="L23" s="899"/>
      <c r="M23" s="899"/>
      <c r="N23" s="1998"/>
    </row>
    <row r="24" spans="1:14" x14ac:dyDescent="0.25">
      <c r="A24" s="2046" t="s">
        <v>2036</v>
      </c>
      <c r="B24" s="2047"/>
      <c r="C24" s="2048"/>
      <c r="D24" s="2048"/>
      <c r="E24" s="2048"/>
      <c r="F24" s="2048"/>
      <c r="G24" s="2048"/>
      <c r="H24" s="2048"/>
      <c r="I24" s="2048"/>
      <c r="J24" s="2048"/>
      <c r="K24" s="2048"/>
      <c r="L24" s="899"/>
      <c r="M24" s="899"/>
      <c r="N24" s="1998"/>
    </row>
    <row r="25" spans="1:14" x14ac:dyDescent="0.25">
      <c r="A25" s="2046" t="s">
        <v>2037</v>
      </c>
      <c r="B25" s="2047"/>
      <c r="C25" s="2048"/>
      <c r="D25" s="2048"/>
      <c r="E25" s="2048"/>
      <c r="F25" s="2048"/>
      <c r="G25" s="2048"/>
      <c r="H25" s="2048"/>
      <c r="I25" s="2048"/>
      <c r="J25" s="2048"/>
      <c r="K25" s="2048"/>
      <c r="L25" s="899"/>
      <c r="M25" s="899"/>
      <c r="N25" s="1998"/>
    </row>
    <row r="26" spans="1:14" x14ac:dyDescent="0.25">
      <c r="A26" s="2049"/>
      <c r="B26" s="2044"/>
      <c r="C26" s="899"/>
      <c r="D26" s="899"/>
      <c r="E26" s="899"/>
      <c r="F26" s="899"/>
      <c r="G26" s="899"/>
      <c r="H26" s="899"/>
      <c r="I26" s="899"/>
      <c r="J26" s="899"/>
      <c r="K26" s="899"/>
      <c r="L26" s="899"/>
      <c r="M26" s="899"/>
      <c r="N26" s="1998"/>
    </row>
    <row r="27" spans="1:14" x14ac:dyDescent="0.25">
      <c r="A27" s="1996"/>
      <c r="B27" s="2044"/>
      <c r="C27" s="2547"/>
      <c r="D27" s="2547"/>
      <c r="E27" s="2050"/>
      <c r="F27" s="2519"/>
      <c r="G27" s="2519"/>
      <c r="H27" s="2519"/>
      <c r="I27" s="899"/>
      <c r="J27" s="899"/>
      <c r="K27" s="899"/>
      <c r="L27" s="899"/>
      <c r="M27" s="899"/>
      <c r="N27" s="1998"/>
    </row>
    <row r="28" spans="1:14" x14ac:dyDescent="0.25">
      <c r="A28" s="1996"/>
      <c r="B28" s="2044"/>
      <c r="C28" s="2051" t="s">
        <v>1026</v>
      </c>
      <c r="D28" s="2052"/>
      <c r="E28" s="2053"/>
      <c r="F28" s="2548" t="s">
        <v>1495</v>
      </c>
      <c r="G28" s="2548"/>
      <c r="H28" s="2548"/>
      <c r="I28" s="899"/>
      <c r="J28" s="899"/>
      <c r="K28" s="899"/>
      <c r="L28" s="899"/>
      <c r="M28" s="899"/>
      <c r="N28" s="1998"/>
    </row>
    <row r="29" spans="1:14" x14ac:dyDescent="0.25">
      <c r="A29" s="1996"/>
      <c r="B29" s="2044"/>
      <c r="C29" s="2549"/>
      <c r="D29" s="2549"/>
      <c r="E29" s="898"/>
      <c r="F29" s="2549"/>
      <c r="G29" s="2549"/>
      <c r="H29" s="2549"/>
      <c r="I29" s="899"/>
      <c r="J29" s="899"/>
      <c r="K29" s="899"/>
      <c r="L29" s="899"/>
      <c r="M29" s="899"/>
      <c r="N29" s="1998"/>
    </row>
    <row r="30" spans="1:14" x14ac:dyDescent="0.25">
      <c r="A30" s="1996"/>
      <c r="B30" s="2044"/>
      <c r="C30" s="2054" t="s">
        <v>1547</v>
      </c>
      <c r="D30" s="899"/>
      <c r="E30" s="2055"/>
      <c r="F30" s="2550" t="s">
        <v>1496</v>
      </c>
      <c r="G30" s="2550"/>
      <c r="H30" s="2550"/>
      <c r="I30" s="899"/>
      <c r="J30" s="899"/>
      <c r="K30" s="899"/>
      <c r="L30" s="899"/>
      <c r="M30" s="899"/>
      <c r="N30" s="1998"/>
    </row>
    <row r="31" spans="1:14" x14ac:dyDescent="0.25">
      <c r="A31" s="1996"/>
      <c r="B31" s="2044"/>
      <c r="C31" s="2056"/>
      <c r="D31" s="899"/>
      <c r="E31" s="2040"/>
      <c r="F31" s="2041"/>
      <c r="G31" s="2041"/>
      <c r="H31" s="2041"/>
      <c r="I31" s="899"/>
      <c r="J31" s="899"/>
      <c r="K31" s="899"/>
      <c r="L31" s="899"/>
      <c r="M31" s="899"/>
      <c r="N31" s="1998"/>
    </row>
    <row r="32" spans="1:14" x14ac:dyDescent="0.25">
      <c r="A32" s="1996"/>
      <c r="B32" s="2057" t="s">
        <v>1027</v>
      </c>
      <c r="C32" s="899"/>
      <c r="D32" s="899"/>
      <c r="E32" s="899"/>
      <c r="F32" s="899"/>
      <c r="G32" s="899"/>
      <c r="H32" s="899"/>
      <c r="I32" s="899"/>
      <c r="J32" s="899"/>
      <c r="K32" s="899"/>
      <c r="L32" s="899"/>
      <c r="M32" s="899"/>
      <c r="N32" s="1998"/>
    </row>
    <row r="33" spans="1:14" x14ac:dyDescent="0.25">
      <c r="A33" s="1996"/>
      <c r="B33" s="2058"/>
      <c r="C33" s="899"/>
      <c r="D33" s="899"/>
      <c r="E33" s="899"/>
      <c r="F33" s="899"/>
      <c r="G33" s="899"/>
      <c r="H33" s="899"/>
      <c r="I33" s="899"/>
      <c r="J33" s="899"/>
      <c r="K33" s="899"/>
      <c r="L33" s="899"/>
      <c r="M33" s="899"/>
      <c r="N33" s="1998"/>
    </row>
    <row r="34" spans="1:14" x14ac:dyDescent="0.25">
      <c r="A34" s="1996"/>
      <c r="B34" s="2059"/>
      <c r="C34" s="2551" t="s">
        <v>2038</v>
      </c>
      <c r="D34" s="2551"/>
      <c r="E34" s="2551"/>
      <c r="F34" s="2551"/>
      <c r="G34" s="2551"/>
      <c r="H34" s="2551"/>
      <c r="I34" s="2551"/>
      <c r="J34" s="2551"/>
      <c r="K34" s="2060"/>
      <c r="L34" s="899"/>
      <c r="M34" s="899"/>
      <c r="N34" s="1998"/>
    </row>
    <row r="35" spans="1:14" x14ac:dyDescent="0.25">
      <c r="A35" s="1996"/>
      <c r="B35" s="899"/>
      <c r="C35" s="2551"/>
      <c r="D35" s="2551"/>
      <c r="E35" s="2551"/>
      <c r="F35" s="2551"/>
      <c r="G35" s="2551"/>
      <c r="H35" s="2551"/>
      <c r="I35" s="2551"/>
      <c r="J35" s="2551"/>
      <c r="K35" s="2060"/>
      <c r="L35" s="899"/>
      <c r="M35" s="899"/>
      <c r="N35" s="1998"/>
    </row>
    <row r="36" spans="1:14" x14ac:dyDescent="0.25">
      <c r="A36" s="1996"/>
      <c r="B36" s="899"/>
      <c r="C36" s="2061"/>
      <c r="D36" s="899"/>
      <c r="E36" s="899"/>
      <c r="F36" s="899"/>
      <c r="G36" s="899"/>
      <c r="H36" s="899"/>
      <c r="I36" s="899"/>
      <c r="J36" s="899"/>
      <c r="K36" s="899"/>
      <c r="L36" s="899"/>
      <c r="M36" s="899"/>
      <c r="N36" s="1998"/>
    </row>
    <row r="37" spans="1:14" x14ac:dyDescent="0.25">
      <c r="A37" s="1996"/>
      <c r="B37" s="2059"/>
      <c r="C37" s="2551" t="s">
        <v>2039</v>
      </c>
      <c r="D37" s="2551"/>
      <c r="E37" s="2551"/>
      <c r="F37" s="2551"/>
      <c r="G37" s="2551"/>
      <c r="H37" s="2551"/>
      <c r="I37" s="2551"/>
      <c r="J37" s="2551"/>
      <c r="K37" s="2060"/>
      <c r="L37" s="887"/>
      <c r="M37" s="899"/>
      <c r="N37" s="1998"/>
    </row>
    <row r="38" spans="1:14" x14ac:dyDescent="0.25">
      <c r="A38" s="1996"/>
      <c r="B38" s="899"/>
      <c r="C38" s="2551"/>
      <c r="D38" s="2551"/>
      <c r="E38" s="2551"/>
      <c r="F38" s="2551"/>
      <c r="G38" s="2551"/>
      <c r="H38" s="2551"/>
      <c r="I38" s="2551"/>
      <c r="J38" s="2551"/>
      <c r="K38" s="2060"/>
      <c r="L38" s="887"/>
      <c r="M38" s="899"/>
      <c r="N38" s="1998"/>
    </row>
    <row r="39" spans="1:14" x14ac:dyDescent="0.25">
      <c r="A39" s="1996"/>
      <c r="B39" s="899"/>
      <c r="C39" s="2061"/>
      <c r="D39" s="899"/>
      <c r="E39" s="2062"/>
      <c r="F39" s="2063"/>
      <c r="G39" s="2063"/>
      <c r="H39" s="2062"/>
      <c r="I39" s="899"/>
      <c r="J39" s="899"/>
      <c r="K39" s="899"/>
      <c r="L39" s="899"/>
      <c r="M39" s="899"/>
      <c r="N39" s="1998"/>
    </row>
    <row r="40" spans="1:14" x14ac:dyDescent="0.25">
      <c r="A40" s="1996"/>
      <c r="B40" s="2059"/>
      <c r="C40" s="2552" t="s">
        <v>2040</v>
      </c>
      <c r="D40" s="2553"/>
      <c r="E40" s="2553"/>
      <c r="F40" s="2553"/>
      <c r="G40" s="2553"/>
      <c r="H40" s="2553"/>
      <c r="I40" s="2553"/>
      <c r="J40" s="2553"/>
      <c r="K40" s="2064"/>
      <c r="L40" s="899"/>
      <c r="M40" s="899"/>
      <c r="N40" s="1998"/>
    </row>
    <row r="41" spans="1:14" x14ac:dyDescent="0.25">
      <c r="A41" s="1996"/>
      <c r="B41" s="899"/>
      <c r="C41" s="891"/>
      <c r="D41" s="891"/>
      <c r="E41" s="891"/>
      <c r="F41" s="891"/>
      <c r="G41" s="891"/>
      <c r="H41" s="891"/>
      <c r="I41" s="891"/>
      <c r="J41" s="891"/>
      <c r="K41" s="891"/>
      <c r="L41" s="899"/>
      <c r="M41" s="899"/>
      <c r="N41" s="1998"/>
    </row>
    <row r="42" spans="1:14" ht="15.75" thickBot="1" x14ac:dyDescent="0.3">
      <c r="A42" s="2065"/>
      <c r="B42" s="2066"/>
      <c r="C42" s="2066"/>
      <c r="D42" s="2066"/>
      <c r="E42" s="2066"/>
      <c r="F42" s="2066"/>
      <c r="G42" s="2066"/>
      <c r="H42" s="2066"/>
      <c r="I42" s="2066"/>
      <c r="J42" s="2066"/>
      <c r="K42" s="2066"/>
      <c r="L42" s="2066"/>
      <c r="M42" s="2066"/>
      <c r="N42" s="2067"/>
    </row>
    <row r="43" spans="1:14" ht="27" thickBot="1" x14ac:dyDescent="0.45">
      <c r="A43" s="2554" t="s">
        <v>2041</v>
      </c>
      <c r="B43" s="2555"/>
      <c r="C43" s="2555"/>
      <c r="D43" s="2555"/>
      <c r="E43" s="2555"/>
      <c r="F43" s="2555"/>
      <c r="G43" s="2555"/>
      <c r="H43" s="2555"/>
      <c r="I43" s="2555"/>
      <c r="J43" s="2555"/>
      <c r="K43" s="2555"/>
      <c r="L43" s="2555"/>
      <c r="M43" s="2555"/>
      <c r="N43" s="2556"/>
    </row>
    <row r="44" spans="1:14" x14ac:dyDescent="0.25">
      <c r="A44" s="2068"/>
      <c r="B44" s="2069"/>
      <c r="C44" s="2069"/>
      <c r="D44" s="2069"/>
      <c r="E44" s="2069"/>
      <c r="F44" s="2069"/>
      <c r="G44" s="2069"/>
      <c r="H44" s="2069"/>
      <c r="I44" s="2069"/>
      <c r="J44" s="2069"/>
      <c r="K44" s="2069"/>
      <c r="L44" s="2069"/>
      <c r="M44" s="2069"/>
      <c r="N44" s="2070"/>
    </row>
    <row r="45" spans="1:14" x14ac:dyDescent="0.25">
      <c r="A45" s="2068" t="s">
        <v>2042</v>
      </c>
      <c r="B45" s="2069"/>
      <c r="C45" s="2069"/>
      <c r="D45" s="2069"/>
      <c r="E45" s="2069"/>
      <c r="F45" s="2069"/>
      <c r="G45" s="2069"/>
      <c r="H45" s="2069"/>
      <c r="I45" s="2069"/>
      <c r="J45" s="2069"/>
      <c r="K45" s="2069"/>
      <c r="L45" s="2069"/>
      <c r="M45" s="2069"/>
      <c r="N45" s="2070"/>
    </row>
    <row r="46" spans="1:14" x14ac:dyDescent="0.25">
      <c r="A46" s="2557" t="s">
        <v>2043</v>
      </c>
      <c r="B46" s="2558"/>
      <c r="C46" s="2558"/>
      <c r="D46" s="2558"/>
      <c r="E46" s="2558"/>
      <c r="F46" s="2558"/>
      <c r="G46" s="2558"/>
      <c r="H46" s="2558"/>
      <c r="I46" s="2558"/>
      <c r="J46" s="2558"/>
      <c r="K46" s="2558"/>
      <c r="L46" s="2558"/>
      <c r="M46" s="2558"/>
      <c r="N46" s="2559"/>
    </row>
    <row r="47" spans="1:14" x14ac:dyDescent="0.25">
      <c r="A47" s="2557"/>
      <c r="B47" s="2558"/>
      <c r="C47" s="2558"/>
      <c r="D47" s="2558"/>
      <c r="E47" s="2558"/>
      <c r="F47" s="2558"/>
      <c r="G47" s="2558"/>
      <c r="H47" s="2558"/>
      <c r="I47" s="2558"/>
      <c r="J47" s="2558"/>
      <c r="K47" s="2558"/>
      <c r="L47" s="2558"/>
      <c r="M47" s="2558"/>
      <c r="N47" s="2559"/>
    </row>
    <row r="48" spans="1:14" x14ac:dyDescent="0.25">
      <c r="A48" s="2071"/>
      <c r="B48" s="2069"/>
      <c r="C48" s="2069"/>
      <c r="D48" s="2072"/>
      <c r="E48" s="2072"/>
      <c r="F48" s="2072"/>
      <c r="G48" s="2072"/>
      <c r="H48" s="2072"/>
      <c r="I48" s="2072"/>
      <c r="J48" s="2072"/>
      <c r="K48" s="2072"/>
      <c r="L48" s="2072"/>
      <c r="M48" s="2072"/>
      <c r="N48" s="2073"/>
    </row>
    <row r="49" spans="1:14" ht="15.75" x14ac:dyDescent="0.25">
      <c r="A49" s="2074" t="s">
        <v>2044</v>
      </c>
      <c r="B49" s="2075"/>
      <c r="C49" s="2075"/>
      <c r="D49" s="2076"/>
      <c r="E49" s="2076"/>
      <c r="F49" s="2076"/>
      <c r="G49" s="2076"/>
      <c r="H49" s="2076"/>
      <c r="I49" s="2076"/>
      <c r="J49" s="2076"/>
      <c r="K49" s="2076"/>
      <c r="L49" s="2076"/>
      <c r="M49" s="2076"/>
      <c r="N49" s="2077"/>
    </row>
    <row r="50" spans="1:14" x14ac:dyDescent="0.25">
      <c r="A50" s="2074" t="s">
        <v>2045</v>
      </c>
      <c r="B50" s="2069"/>
      <c r="C50" s="2069"/>
      <c r="D50" s="2069"/>
      <c r="E50" s="2069"/>
      <c r="F50" s="2069"/>
      <c r="G50" s="2069"/>
      <c r="H50" s="2069"/>
      <c r="I50" s="2069"/>
      <c r="J50" s="2069"/>
      <c r="K50" s="2069"/>
      <c r="L50" s="2069"/>
      <c r="M50" s="2069"/>
      <c r="N50" s="2070"/>
    </row>
    <row r="51" spans="1:14" x14ac:dyDescent="0.25">
      <c r="A51" s="2068"/>
      <c r="B51" s="2069"/>
      <c r="C51" s="2069"/>
      <c r="D51" s="2069"/>
      <c r="E51" s="2069"/>
      <c r="F51" s="2069"/>
      <c r="G51" s="2069"/>
      <c r="H51" s="2069"/>
      <c r="I51" s="2069"/>
      <c r="J51" s="2069"/>
      <c r="K51" s="2069"/>
      <c r="L51" s="2069"/>
      <c r="M51" s="2069"/>
      <c r="N51" s="2070"/>
    </row>
    <row r="52" spans="1:14" x14ac:dyDescent="0.25">
      <c r="A52" s="2068"/>
      <c r="B52" s="2069"/>
      <c r="C52" s="2069"/>
      <c r="D52" s="2069"/>
      <c r="E52" s="2069"/>
      <c r="F52" s="2069"/>
      <c r="G52" s="2069"/>
      <c r="H52" s="2069"/>
      <c r="I52" s="2069"/>
      <c r="J52" s="2069"/>
      <c r="K52" s="2001" t="s">
        <v>1021</v>
      </c>
      <c r="L52" s="2545" t="str">
        <f>J6</f>
        <v xml:space="preserve">   Region III Special Ed Co-op</v>
      </c>
      <c r="M52" s="2545"/>
      <c r="N52" s="2546"/>
    </row>
    <row r="53" spans="1:14" x14ac:dyDescent="0.25">
      <c r="A53" s="2068"/>
      <c r="B53" s="2069"/>
      <c r="C53" s="2069"/>
      <c r="D53" s="2069"/>
      <c r="E53" s="2069"/>
      <c r="F53" s="2069"/>
      <c r="G53" s="2069"/>
      <c r="H53" s="2069"/>
      <c r="I53" s="2069"/>
      <c r="J53" s="2069"/>
      <c r="K53" s="2001" t="s">
        <v>369</v>
      </c>
      <c r="L53" s="2532">
        <f>J7</f>
        <v>41057801060</v>
      </c>
      <c r="M53" s="2532"/>
      <c r="N53" s="2533"/>
    </row>
    <row r="54" spans="1:14" ht="15.75" thickBot="1" x14ac:dyDescent="0.3">
      <c r="A54" s="2068"/>
      <c r="B54" s="2069"/>
      <c r="C54" s="2069"/>
      <c r="D54" s="2069"/>
      <c r="E54" s="2069"/>
      <c r="F54" s="2069"/>
      <c r="G54" s="2069"/>
      <c r="H54" s="2069"/>
      <c r="I54" s="2069"/>
      <c r="J54" s="2069"/>
      <c r="K54" s="2069"/>
      <c r="L54" s="2069"/>
      <c r="M54" s="2069"/>
      <c r="N54" s="2070"/>
    </row>
    <row r="55" spans="1:14" x14ac:dyDescent="0.25">
      <c r="A55" s="2534"/>
      <c r="B55" s="2535"/>
      <c r="C55" s="2535"/>
      <c r="D55" s="2078"/>
      <c r="E55" s="2078"/>
      <c r="F55" s="2078"/>
      <c r="G55" s="2536" t="s">
        <v>2046</v>
      </c>
      <c r="H55" s="2536"/>
      <c r="I55" s="2536"/>
      <c r="J55" s="2536"/>
      <c r="K55" s="2536"/>
      <c r="L55" s="2536"/>
      <c r="M55" s="2536"/>
      <c r="N55" s="2537"/>
    </row>
    <row r="56" spans="1:14" ht="64.5" x14ac:dyDescent="0.25">
      <c r="A56" s="2538" t="s">
        <v>2047</v>
      </c>
      <c r="B56" s="2539"/>
      <c r="C56" s="2540"/>
      <c r="D56" s="2079" t="s">
        <v>2048</v>
      </c>
      <c r="E56" s="2079" t="s">
        <v>2049</v>
      </c>
      <c r="F56" s="2080"/>
      <c r="G56" s="2079" t="s">
        <v>2050</v>
      </c>
      <c r="H56" s="2079" t="s">
        <v>2051</v>
      </c>
      <c r="I56" s="2079" t="s">
        <v>2052</v>
      </c>
      <c r="J56" s="2079" t="s">
        <v>2053</v>
      </c>
      <c r="K56" s="2079" t="s">
        <v>2054</v>
      </c>
      <c r="L56" s="2079" t="s">
        <v>2055</v>
      </c>
      <c r="M56" s="2079" t="s">
        <v>2056</v>
      </c>
      <c r="N56" s="2081" t="s">
        <v>2057</v>
      </c>
    </row>
    <row r="57" spans="1:14" ht="24" customHeight="1" x14ac:dyDescent="0.25">
      <c r="A57" s="2541" t="s">
        <v>296</v>
      </c>
      <c r="B57" s="2542"/>
      <c r="C57" s="2542"/>
      <c r="D57" s="2082">
        <v>2361</v>
      </c>
      <c r="E57" s="2027">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43" t="s">
        <v>2058</v>
      </c>
      <c r="B58" s="2544"/>
      <c r="C58" s="2544"/>
      <c r="D58" s="2087">
        <v>2362</v>
      </c>
      <c r="E58" s="2027">
        <f>'Expenditures 15-22'!K320</f>
        <v>0</v>
      </c>
      <c r="F58" s="2083"/>
      <c r="G58" s="2088"/>
      <c r="H58" s="2089"/>
      <c r="I58" s="2089"/>
      <c r="J58" s="2089"/>
      <c r="K58" s="2089"/>
      <c r="L58" s="2089"/>
      <c r="M58" s="2089"/>
      <c r="N58" s="2086">
        <f>IF((SUM(G58:M58))=E58,SUM(G58:M58),"Column N does not agree with Column E")</f>
        <v>0</v>
      </c>
    </row>
    <row r="59" spans="1:14" ht="24.75" customHeight="1" x14ac:dyDescent="0.25">
      <c r="A59" s="2525" t="s">
        <v>297</v>
      </c>
      <c r="B59" s="2526"/>
      <c r="C59" s="2526"/>
      <c r="D59" s="2087">
        <v>2363</v>
      </c>
      <c r="E59" s="2027">
        <f>'Expenditures 15-22'!K321</f>
        <v>0</v>
      </c>
      <c r="F59" s="2083"/>
      <c r="G59" s="2088"/>
      <c r="H59" s="2089"/>
      <c r="I59" s="2089"/>
      <c r="J59" s="2089"/>
      <c r="K59" s="2089"/>
      <c r="L59" s="2089"/>
      <c r="M59" s="2089"/>
      <c r="N59" s="2086">
        <f t="shared" ref="N59:N67" si="4">IF((SUM(G59:M59))=E59,SUM(G59:M59),"Column N does not agree with Column E")</f>
        <v>0</v>
      </c>
    </row>
    <row r="60" spans="1:14" ht="24.75" customHeight="1" x14ac:dyDescent="0.25">
      <c r="A60" s="2525" t="s">
        <v>236</v>
      </c>
      <c r="B60" s="2526"/>
      <c r="C60" s="2526"/>
      <c r="D60" s="2087">
        <v>2364</v>
      </c>
      <c r="E60" s="2027">
        <f>'Expenditures 15-22'!K322</f>
        <v>0</v>
      </c>
      <c r="F60" s="2083"/>
      <c r="G60" s="2088"/>
      <c r="H60" s="2089"/>
      <c r="I60" s="2089"/>
      <c r="J60" s="2089"/>
      <c r="K60" s="2089"/>
      <c r="L60" s="2089"/>
      <c r="M60" s="2089"/>
      <c r="N60" s="2086">
        <f t="shared" si="4"/>
        <v>0</v>
      </c>
    </row>
    <row r="61" spans="1:14" ht="24.75" customHeight="1" x14ac:dyDescent="0.25">
      <c r="A61" s="2525" t="s">
        <v>697</v>
      </c>
      <c r="B61" s="2526"/>
      <c r="C61" s="2526"/>
      <c r="D61" s="2087">
        <v>2365</v>
      </c>
      <c r="E61" s="2027">
        <f>'Expenditures 15-22'!K323</f>
        <v>0</v>
      </c>
      <c r="F61" s="2083"/>
      <c r="G61" s="2088"/>
      <c r="H61" s="2089"/>
      <c r="I61" s="2089"/>
      <c r="J61" s="2089"/>
      <c r="K61" s="2089"/>
      <c r="L61" s="2089"/>
      <c r="M61" s="2089"/>
      <c r="N61" s="2086">
        <f t="shared" si="4"/>
        <v>0</v>
      </c>
    </row>
    <row r="62" spans="1:14" ht="24.75" customHeight="1" x14ac:dyDescent="0.25">
      <c r="A62" s="2525" t="s">
        <v>237</v>
      </c>
      <c r="B62" s="2526"/>
      <c r="C62" s="2526"/>
      <c r="D62" s="2087">
        <v>2366</v>
      </c>
      <c r="E62" s="2027">
        <f>'Expenditures 15-22'!K324</f>
        <v>0</v>
      </c>
      <c r="F62" s="2083"/>
      <c r="G62" s="2088"/>
      <c r="H62" s="2089"/>
      <c r="I62" s="2089"/>
      <c r="J62" s="2089"/>
      <c r="K62" s="2089"/>
      <c r="L62" s="2089"/>
      <c r="M62" s="2089"/>
      <c r="N62" s="2086">
        <f t="shared" si="4"/>
        <v>0</v>
      </c>
    </row>
    <row r="63" spans="1:14" ht="24.75" customHeight="1" x14ac:dyDescent="0.25">
      <c r="A63" s="2543" t="s">
        <v>1022</v>
      </c>
      <c r="B63" s="2544"/>
      <c r="C63" s="2544"/>
      <c r="D63" s="2087">
        <v>2367</v>
      </c>
      <c r="E63" s="2027">
        <f>'Expenditures 15-22'!K325</f>
        <v>0</v>
      </c>
      <c r="F63" s="2083"/>
      <c r="G63" s="2088"/>
      <c r="H63" s="2089"/>
      <c r="I63" s="2089"/>
      <c r="J63" s="2089"/>
      <c r="K63" s="2089"/>
      <c r="L63" s="2089"/>
      <c r="M63" s="2089"/>
      <c r="N63" s="2086">
        <f t="shared" si="4"/>
        <v>0</v>
      </c>
    </row>
    <row r="64" spans="1:14" ht="24.75" customHeight="1" x14ac:dyDescent="0.25">
      <c r="A64" s="2525" t="s">
        <v>1023</v>
      </c>
      <c r="B64" s="2526"/>
      <c r="C64" s="2526"/>
      <c r="D64" s="2087">
        <v>2368</v>
      </c>
      <c r="E64" s="2027">
        <f>'Expenditures 15-22'!K326</f>
        <v>0</v>
      </c>
      <c r="F64" s="2083"/>
      <c r="G64" s="2088"/>
      <c r="H64" s="2089"/>
      <c r="I64" s="2089"/>
      <c r="J64" s="2089"/>
      <c r="K64" s="2089"/>
      <c r="L64" s="2089"/>
      <c r="M64" s="2089"/>
      <c r="N64" s="2086">
        <f t="shared" si="4"/>
        <v>0</v>
      </c>
    </row>
    <row r="65" spans="1:14" ht="24" customHeight="1" x14ac:dyDescent="0.25">
      <c r="A65" s="2525" t="s">
        <v>965</v>
      </c>
      <c r="B65" s="2526"/>
      <c r="C65" s="2526"/>
      <c r="D65" s="2087">
        <v>2369</v>
      </c>
      <c r="E65" s="2027">
        <f>'Expenditures 15-22'!K327</f>
        <v>0</v>
      </c>
      <c r="F65" s="2083"/>
      <c r="G65" s="2088"/>
      <c r="H65" s="2089"/>
      <c r="I65" s="2089"/>
      <c r="J65" s="2089"/>
      <c r="K65" s="2089"/>
      <c r="L65" s="2089"/>
      <c r="M65" s="2089"/>
      <c r="N65" s="2086">
        <f t="shared" si="4"/>
        <v>0</v>
      </c>
    </row>
    <row r="66" spans="1:14" ht="24.75" customHeight="1" x14ac:dyDescent="0.25">
      <c r="A66" s="2525" t="s">
        <v>469</v>
      </c>
      <c r="B66" s="2526"/>
      <c r="C66" s="2526"/>
      <c r="D66" s="2087">
        <v>2371</v>
      </c>
      <c r="E66" s="2027">
        <f>'Expenditures 15-22'!K328</f>
        <v>0</v>
      </c>
      <c r="F66" s="2083"/>
      <c r="G66" s="2088"/>
      <c r="H66" s="2089"/>
      <c r="I66" s="2089"/>
      <c r="J66" s="2089"/>
      <c r="K66" s="2089"/>
      <c r="L66" s="2089"/>
      <c r="M66" s="2089"/>
      <c r="N66" s="2086">
        <f t="shared" si="4"/>
        <v>0</v>
      </c>
    </row>
    <row r="67" spans="1:14" ht="24.75" customHeight="1" x14ac:dyDescent="0.25">
      <c r="A67" s="2527" t="s">
        <v>2059</v>
      </c>
      <c r="B67" s="2528"/>
      <c r="C67" s="2528"/>
      <c r="D67" s="2090">
        <v>2372</v>
      </c>
      <c r="E67" s="2027">
        <f>'Expenditures 15-22'!K329</f>
        <v>0</v>
      </c>
      <c r="F67" s="2083"/>
      <c r="G67" s="2091"/>
      <c r="H67" s="2092"/>
      <c r="I67" s="2092"/>
      <c r="J67" s="2092"/>
      <c r="K67" s="2092"/>
      <c r="L67" s="2092"/>
      <c r="M67" s="2092"/>
      <c r="N67" s="2086">
        <f t="shared" si="4"/>
        <v>0</v>
      </c>
    </row>
    <row r="68" spans="1:14" x14ac:dyDescent="0.25">
      <c r="A68" s="2529" t="s">
        <v>1153</v>
      </c>
      <c r="B68" s="2530"/>
      <c r="C68" s="2530"/>
      <c r="D68" s="2078"/>
      <c r="E68" s="2093">
        <f>SUM(E57:E67)</f>
        <v>0</v>
      </c>
      <c r="F68" s="2094"/>
      <c r="G68" s="2093">
        <f t="shared" ref="G68:N68" si="5">SUM(G57:G67)</f>
        <v>0</v>
      </c>
      <c r="H68" s="2093">
        <f t="shared" si="5"/>
        <v>0</v>
      </c>
      <c r="I68" s="2093">
        <f t="shared" si="5"/>
        <v>0</v>
      </c>
      <c r="J68" s="2093">
        <f t="shared" si="5"/>
        <v>0</v>
      </c>
      <c r="K68" s="2093">
        <f t="shared" si="5"/>
        <v>0</v>
      </c>
      <c r="L68" s="2093">
        <f t="shared" si="5"/>
        <v>0</v>
      </c>
      <c r="M68" s="2093">
        <f t="shared" si="5"/>
        <v>0</v>
      </c>
      <c r="N68" s="2095">
        <f t="shared" si="5"/>
        <v>0</v>
      </c>
    </row>
    <row r="69" spans="1:14" x14ac:dyDescent="0.25">
      <c r="A69" s="2096"/>
      <c r="B69" s="2097"/>
      <c r="C69" s="2097"/>
      <c r="D69" s="2097"/>
      <c r="E69" s="2097"/>
      <c r="F69" s="2097"/>
      <c r="G69" s="2097"/>
      <c r="H69" s="2098" t="s">
        <v>2060</v>
      </c>
      <c r="I69" s="2097"/>
      <c r="J69" s="2097"/>
      <c r="K69" s="2097"/>
      <c r="L69" s="2098" t="s">
        <v>2061</v>
      </c>
      <c r="M69" s="2097"/>
      <c r="N69" s="2099"/>
    </row>
    <row r="70" spans="1:14" ht="46.5" customHeight="1" x14ac:dyDescent="0.25">
      <c r="A70" s="2100" t="s">
        <v>2062</v>
      </c>
      <c r="B70" s="2097"/>
      <c r="C70" s="2097"/>
      <c r="D70" s="2097"/>
      <c r="E70" s="2097"/>
      <c r="F70" s="2097"/>
      <c r="G70" s="2097"/>
      <c r="H70" s="2521" t="s">
        <v>2063</v>
      </c>
      <c r="I70" s="2521"/>
      <c r="J70" s="2521"/>
      <c r="K70" s="2097"/>
      <c r="L70" s="2521" t="s">
        <v>2064</v>
      </c>
      <c r="M70" s="2521"/>
      <c r="N70" s="2531"/>
    </row>
    <row r="71" spans="1:14" ht="42.75" customHeight="1" x14ac:dyDescent="0.25">
      <c r="A71" s="2096"/>
      <c r="B71" s="2097"/>
      <c r="C71" s="2097"/>
      <c r="D71" s="2097"/>
      <c r="E71" s="2097"/>
      <c r="F71" s="2097"/>
      <c r="G71" s="2097"/>
      <c r="H71" s="2521" t="s">
        <v>2065</v>
      </c>
      <c r="I71" s="2521"/>
      <c r="J71" s="2521"/>
      <c r="K71" s="2097"/>
      <c r="L71" s="2522" t="s">
        <v>2066</v>
      </c>
      <c r="M71" s="2522"/>
      <c r="N71" s="2523"/>
    </row>
    <row r="72" spans="1:14" ht="52.5" customHeight="1" thickBot="1" x14ac:dyDescent="0.3">
      <c r="A72" s="2101"/>
      <c r="B72" s="2102"/>
      <c r="C72" s="2102"/>
      <c r="D72" s="2102"/>
      <c r="E72" s="2102"/>
      <c r="F72" s="2102"/>
      <c r="G72" s="2102"/>
      <c r="H72" s="2524" t="s">
        <v>2067</v>
      </c>
      <c r="I72" s="2524"/>
      <c r="J72" s="2524"/>
      <c r="K72" s="2102"/>
      <c r="L72" s="2102"/>
      <c r="M72" s="2102"/>
      <c r="N72" s="2103"/>
    </row>
  </sheetData>
  <sheetProtection algorithmName="SHA-512" hashValue="wvV9QtWobMydH3zGoZz4VH+4X7hhi5SFuwYWT02VSVdUMMTuzYuDKS4SLK3LuMMhVy9kUHZEYRZOaax5h3gvwA==" saltValue="UOJPWUTUEcLsbKlWyYUckw==" spinCount="100000" sheet="1" objects="1" scenarios="1"/>
  <customSheetViews>
    <customSheetView guid="{27400517-D544-41E2-9D13-0D8FC40AA704}"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1"/>
      <headerFooter>
        <oddHeader>&amp;RPage &amp;P</oddHeader>
      </headerFooter>
    </customSheetView>
    <customSheetView guid="{00BB9B19-FC1B-492E-A95E-CC052A0B5070}"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2"/>
      <headerFooter>
        <oddHeader>&amp;RPage &amp;P</oddHeader>
      </headerFooter>
    </customSheetView>
    <customSheetView guid="{DCE9EA22-7307-4505-BC41-9954A9C79245}"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s>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CCAFF79C-9DAD-4830-A65A-7B060CF05640}"/>
    <dataValidation allowBlank="1" showInputMessage="1" showErrorMessage="1" prompt="Link cell K328 from &quot;Expenditures 15-22&quot; tab" sqref="E66" xr:uid="{6D8E81C9-A955-41B7-82A4-D08DBB22D669}"/>
    <dataValidation allowBlank="1" showInputMessage="1" showErrorMessage="1" prompt="Link cell K327 from &quot;Expenditures 15-22&quot; tab" sqref="E65" xr:uid="{E90C7452-683A-40EC-BCAA-8E6B72257B91}"/>
    <dataValidation allowBlank="1" showInputMessage="1" showErrorMessage="1" prompt="Link cell K326 from &quot;Expenditures 15-22&quot; tab" sqref="E64" xr:uid="{0E32C973-B87B-4550-A519-4FDD034DCC2D}"/>
    <dataValidation allowBlank="1" showInputMessage="1" showErrorMessage="1" prompt="Link cell K325 from &quot;Expenditures 15-22&quot; tab" sqref="E63" xr:uid="{9F8A5701-0102-4A87-84F9-FDFB344D9DE3}"/>
    <dataValidation allowBlank="1" showInputMessage="1" showErrorMessage="1" prompt="Link cell K324 from &quot;Expenditures 15-22&quot; tab" sqref="E62" xr:uid="{7E1D773C-F028-4661-9558-F8DE5A51E13B}"/>
    <dataValidation allowBlank="1" showInputMessage="1" showErrorMessage="1" prompt="Link cell K323 from &quot;Expenditures 15-22&quot; tab" sqref="E61" xr:uid="{223BE5D5-0D38-4ADE-8F33-B3D37ADA9998}"/>
    <dataValidation allowBlank="1" showInputMessage="1" showErrorMessage="1" prompt="Link cell K322 from &quot;Expenditures 15-22&quot; tab" sqref="E60" xr:uid="{199E1216-1924-4719-A764-2A025D34CF7E}"/>
    <dataValidation allowBlank="1" showInputMessage="1" showErrorMessage="1" prompt="Link cell K321 from &quot;Expenditures 15-22&quot; tab" sqref="E59" xr:uid="{EE75265A-C82C-4C26-A8A0-F6AC3CB12948}"/>
    <dataValidation allowBlank="1" showInputMessage="1" showErrorMessage="1" prompt="Link cell K320 from &quot;Expenditures 15-22&quot; tab" sqref="E58" xr:uid="{8BCCA0FF-F5FA-4952-8B8B-F40BACBD1B52}"/>
    <dataValidation allowBlank="1" showInputMessage="1" showErrorMessage="1" prompt="Link cell K319 from &quot;Expenditures 15-22&quot; tab" sqref="E57" xr:uid="{8CA01EE9-5477-4791-AFAF-C710A21C275E}"/>
    <dataValidation allowBlank="1" showInputMessage="1" showErrorMessage="1" prompt="Link cell K122 from &quot;Expenditures 15-22&quot; tab" sqref="F15" xr:uid="{F59E800C-DAB1-473B-BB58-049B3AEDDFA1}"/>
    <dataValidation allowBlank="1" showInputMessage="1" showErrorMessage="1" prompt="Link cell K67 from &quot;Expenditures 15-22&quot; tab" sqref="E17" xr:uid="{8929DD8F-628B-41FF-AE94-2B1C8ACC8F4C}"/>
    <dataValidation allowBlank="1" showInputMessage="1" showErrorMessage="1" prompt="Link cell K64 from &quot;Expenditures 15-22&quot; tab" sqref="E16" xr:uid="{E59F9FEA-49D8-46DA-AB3A-0D939E07D3DF}"/>
    <dataValidation allowBlank="1" showInputMessage="1" showErrorMessage="1" prompt="Link cell K59 from &quot;Expenditures 15-22&quot; tab" sqref="E15" xr:uid="{22AD36E4-2545-49EE-9FA1-C05F8EC17F85}"/>
    <dataValidation allowBlank="1" showInputMessage="1" showErrorMessage="1" prompt="Link cell K56 from &quot;Expenditures 15-22&quot; tab" sqref="E14" xr:uid="{08A560D4-2053-4A95-ACBB-4D024080386D}"/>
    <dataValidation allowBlank="1" showInputMessage="1" showErrorMessage="1" prompt="Link cell K51 from &quot;Expenditures 15-22&quot; tab" sqref="E13" xr:uid="{A7A82BFC-0EDD-4711-8F44-5D9AD21939BA}"/>
    <dataValidation allowBlank="1" showInputMessage="1" showErrorMessage="1" prompt="Link cell K50 from &quot;Expenditures 15-22&quot; tab " sqref="E12" xr:uid="{6189D517-81C3-4B04-822A-05C597D65D4E}"/>
    <dataValidation allowBlank="1" showInputMessage="1" showErrorMessage="1" prompt="Link cell A13 from &quot;Cover&quot; tab" sqref="J7:L7" xr:uid="{92CFB77D-3EC2-4C08-9CEB-DAA16BC99E41}"/>
    <dataValidation allowBlank="1" showInputMessage="1" showErrorMessage="1" prompt="Link cell A17 from &quot;Cover&quot; tab" sqref="J6:L6" xr:uid="{90BBD078-CF58-455F-A24C-BD5F90120C0E}"/>
  </dataValidations>
  <pageMargins left="0.75" right="0.75" top="0.75" bottom="0.5" header="0.3" footer="0.3"/>
  <pageSetup scale="75" firstPageNumber="61" fitToHeight="0" orientation="landscape" r:id="rId4"/>
  <headerFooter>
    <oddHeader xml:space="preserve">&amp;C&amp;"Times New Roman,Regular"&amp;11REGION III EDUCATION COOPERATIVE
LIMITATION OF ADMINISTRATIVE COSTS WORKSHEET
FOR THE YEAR ENDED JUNE 30, 2020
</oddHeader>
    <oddFooter>&amp;C&amp;"Times New Roman,Regular"&amp;11See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M53" sqref="M5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Region III Special Ed Co-op</v>
      </c>
    </row>
    <row r="65" spans="2:2" x14ac:dyDescent="0.2">
      <c r="B65" s="894">
        <f>COVER!A13</f>
        <v>41057801060</v>
      </c>
    </row>
  </sheetData>
  <customSheetViews>
    <customSheetView guid="{27400517-D544-41E2-9D13-0D8FC40AA704}" scale="60" showPageBreaks="1" showGridLines="0" printArea="1" view="pageBreakPreview">
      <selection activeCell="M53" sqref="M53"/>
      <pageMargins left="0.75" right="0.75" top="1" bottom="0.5" header="0.5" footer="0.5"/>
      <printOptions horizontalCentered="1"/>
      <pageSetup scale="80" firstPageNumber="32" orientation="portrait" r:id="rId1"/>
      <headerFooter>
        <oddHeader xml:space="preserve">&amp;C&amp;"Times New Roman,Regular"REGION III SPECIAL EDUCATION COOPERATIVE
ITEMIZATION SCHEDULE
FOR THE YEAR ENDED JUNE 30, 2020
</oddHeader>
        <oddFooter>&amp;C&amp;"Times New Roman,Regular"See Independent Auditor’s Reports
&amp;P</oddFooter>
      </headerFooter>
    </customSheetView>
    <customSheetView guid="{00BB9B19-FC1B-492E-A95E-CC052A0B5070}" scale="60" showPageBreaks="1" showGridLines="0" printArea="1" view="pageBreakPreview">
      <selection activeCell="M53" sqref="M53"/>
      <pageMargins left="0.75" right="0.75" top="1" bottom="0.5" header="0.5" footer="0.5"/>
      <printOptions horizontalCentered="1"/>
      <pageSetup scale="80" firstPageNumber="32" orientation="portrait" r:id="rId2"/>
      <headerFooter>
        <oddHeader xml:space="preserve">&amp;C&amp;"Times New Roman,Regular"REGION III SPECIAL EDUCATION COOPERATIVE
ITEMIZATION SCHEDULE
FOR THE YEAR ENDED JUNE 30, 2020
</oddHeader>
        <oddFooter>&amp;C&amp;"Times New Roman,Regular"See Independent Auditor’s Reports
&amp;P</oddFooter>
      </headerFooter>
    </customSheetView>
    <customSheetView guid="{DCE9EA22-7307-4505-BC41-9954A9C79245}" scale="60" showPageBreaks="1" showGridLines="0" printArea="1" view="pageBreakPreview">
      <selection activeCell="M53" sqref="M53"/>
      <pageMargins left="0.75" right="0.75" top="1" bottom="0.5" header="0.5" footer="0.5"/>
      <printOptions horizontalCentered="1"/>
      <pageSetup scale="80" firstPageNumber="32" orientation="portrait" r:id="rId3"/>
      <headerFooter>
        <oddHeader xml:space="preserve">&amp;C&amp;"Times New Roman,Regular"REGION III SPECIAL EDUCATION COOPERATIVE
ITEMIZATION SCHEDULE
FOR THE YEAR ENDED JUNE 30, 2020
</oddHeader>
        <oddFooter>&amp;C&amp;"Times New Roman,Regular"See Independent Auditor’s Reports
&amp;P</oddFooter>
      </headerFooter>
    </customSheetView>
  </customSheetViews>
  <phoneticPr fontId="15" type="noConversion"/>
  <printOptions horizontalCentered="1"/>
  <pageMargins left="0.75" right="0.75" top="1" bottom="0.5" header="0.5" footer="0.5"/>
  <pageSetup scale="80" firstPageNumber="32" orientation="portrait" r:id="rId4"/>
  <headerFooter>
    <oddHeader xml:space="preserve">&amp;C&amp;"Times New Roman,Regular"REGION III SPECIAL EDUCATION COOPERATIVE
ITEMIZATION SCHEDULE
FOR THE YEAR ENDED JUNE 30, 2020
</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27400517-D544-41E2-9D13-0D8FC40AA704}" scale="110" colorId="8" showGridLines="0">
      <selection activeCell="A17" sqref="A17:H17"/>
      <pageMargins left="0.75" right="0.75" top="1" bottom="0.5" header="0.5" footer="0.5"/>
      <printOptions horizontalCentered="1"/>
      <pageSetup scale="80" firstPageNumber="33" orientation="landscape" r:id="rId1"/>
      <headerFooter>
        <oddHeader xml:space="preserve">&amp;C&amp;"Times New Roman,Regular"REGION III SPECIAL EDUCATION COOPERATIVE
</oddHeader>
      </headerFooter>
    </customSheetView>
    <customSheetView guid="{00BB9B19-FC1B-492E-A95E-CC052A0B5070}" scale="110" colorId="8" showGridLines="0">
      <selection activeCell="A17" sqref="A17:H17"/>
      <pageMargins left="0.75" right="0.75" top="1" bottom="0.5" header="0.5" footer="0.5"/>
      <printOptions horizontalCentered="1"/>
      <pageSetup scale="80" firstPageNumber="33" orientation="landscape" r:id="rId2"/>
      <headerFooter>
        <oddHeader xml:space="preserve">&amp;C&amp;"Times New Roman,Regular"REGION III SPECIAL EDUCATION COOPERATIVE
</oddHeader>
      </headerFooter>
    </customSheetView>
    <customSheetView guid="{DCE9EA22-7307-4505-BC41-9954A9C79245}" scale="110" colorId="8" showGridLines="0">
      <selection activeCell="A17" sqref="A17:H17"/>
      <pageMargins left="0.75" right="0.75" top="1" bottom="0.5" header="0.5" footer="0.5"/>
      <printOptions horizontalCentered="1"/>
      <pageSetup scale="80" firstPageNumber="33" orientation="landscape" r:id="rId3"/>
      <headerFooter>
        <oddHeader xml:space="preserve">&amp;C&amp;"Times New Roman,Regular"REGION III SPECIAL EDUCATION COOPERATIVE
</oddHeader>
      </headerFooter>
    </customSheetView>
  </customSheetViews>
  <phoneticPr fontId="15" type="noConversion"/>
  <printOptions horizontalCentered="1"/>
  <pageMargins left="0.75" right="0.75" top="1" bottom="0.5" header="0.5" footer="0.5"/>
  <pageSetup scale="80" firstPageNumber="33" orientation="landscape" r:id="rId4"/>
  <headerFooter>
    <oddHeader xml:space="preserve">&amp;C&amp;"Times New Roman,Regular"REGION III SPECIAL EDUCATION COOPERATIVE
</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4" sqref="B24"/>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571" t="s">
        <v>1668</v>
      </c>
      <c r="B18" s="2571"/>
    </row>
  </sheetData>
  <sheetProtection selectLockedCells="1"/>
  <customSheetViews>
    <customSheetView guid="{27400517-D544-41E2-9D13-0D8FC40AA704}" scale="110" showGridLines="0">
      <selection activeCell="A17" sqref="A17:H17"/>
      <pageMargins left="0.75" right="0.75" top="1" bottom="0.5" header="0.5" footer="0.5"/>
      <printOptions horizontalCentered="1"/>
      <pageSetup firstPageNumber="34" orientation="portrait" r:id="rId1"/>
      <headerFooter>
        <oddHeader xml:space="preserve">&amp;C&amp;"Times New Roman,Regular"REGION III SPECIAL EDUCATION COOPERATIVE
</oddHeader>
      </headerFooter>
    </customSheetView>
    <customSheetView guid="{00BB9B19-FC1B-492E-A95E-CC052A0B5070}" scale="110" showGridLines="0">
      <selection activeCell="A17" sqref="A17:H17"/>
      <pageMargins left="0.75" right="0.75" top="1" bottom="0.5" header="0.5" footer="0.5"/>
      <printOptions horizontalCentered="1"/>
      <pageSetup firstPageNumber="34" orientation="portrait" r:id="rId2"/>
      <headerFooter>
        <oddHeader xml:space="preserve">&amp;C&amp;"Times New Roman,Regular"REGION III SPECIAL EDUCATION COOPERATIVE
</oddHeader>
      </headerFooter>
    </customSheetView>
    <customSheetView guid="{DCE9EA22-7307-4505-BC41-9954A9C79245}" scale="110" showGridLines="0">
      <selection activeCell="A17" sqref="A17:H17"/>
      <pageMargins left="0.75" right="0.75" top="1" bottom="0.5" header="0.5" footer="0.5"/>
      <printOptions horizontalCentered="1"/>
      <pageSetup firstPageNumber="34" orientation="portrait" r:id="rId3"/>
      <headerFooter>
        <oddHeader xml:space="preserve">&amp;C&amp;"Times New Roman,Regular"REGION III SPECIAL EDUCATION COOPERATIVE
</oddHeader>
      </headerFooter>
    </customSheetView>
  </customSheetViews>
  <mergeCells count="1">
    <mergeCell ref="A18:B18"/>
  </mergeCells>
  <phoneticPr fontId="15" type="noConversion"/>
  <printOptions horizontalCentered="1"/>
  <pageMargins left="0.75" right="0.75" top="1" bottom="0.5" header="0.5" footer="0.5"/>
  <pageSetup firstPageNumber="34" orientation="portrait" r:id="rId4"/>
  <headerFooter>
    <oddHeader xml:space="preserve">&amp;C&amp;"Times New Roman,Regular"REGION III SPECIAL EDUCATION COOPERATIVE
</oddHeader>
  </headerFooter>
  <drawing r:id="rId5"/>
  <legacyDrawing r:id="rId6"/>
  <oleObjects>
    <mc:AlternateContent xmlns:mc="http://schemas.openxmlformats.org/markup-compatibility/2006">
      <mc:Choice Requires="x14">
        <oleObject progId="Acrobat Document" dvAspect="DVASPECT_ICON" shapeId="43009" r:id="rId7">
          <objectPr defaultSize="0" r:id="rId8">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7"/>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A17" sqref="A17:H1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2" t="s">
        <v>1672</v>
      </c>
      <c r="B1" s="2573"/>
      <c r="C1" s="2573"/>
      <c r="D1" s="2573"/>
      <c r="E1" s="2573"/>
      <c r="F1" s="2574"/>
    </row>
    <row r="2" spans="1:8" ht="45" customHeight="1" x14ac:dyDescent="0.2">
      <c r="A2" s="25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3"/>
      <c r="C2" s="2583"/>
      <c r="D2" s="2583"/>
      <c r="E2" s="2583"/>
      <c r="F2" s="2584"/>
      <c r="G2" s="898"/>
      <c r="H2" s="898"/>
    </row>
    <row r="3" spans="1:8" ht="57" customHeight="1" x14ac:dyDescent="0.2">
      <c r="A3" s="2585" t="s">
        <v>1972</v>
      </c>
      <c r="B3" s="2586"/>
      <c r="C3" s="2586"/>
      <c r="D3" s="2586"/>
      <c r="E3" s="2586"/>
      <c r="F3" s="2587"/>
      <c r="G3" s="898"/>
      <c r="H3" s="898"/>
    </row>
    <row r="4" spans="1:8" ht="14.25" customHeight="1" x14ac:dyDescent="0.2">
      <c r="A4" s="25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2"/>
      <c r="C4" s="2592"/>
      <c r="D4" s="2592"/>
      <c r="E4" s="2592"/>
      <c r="F4" s="2593"/>
      <c r="G4" s="898"/>
      <c r="H4" s="898"/>
    </row>
    <row r="5" spans="1:8" ht="14.25" customHeight="1" x14ac:dyDescent="0.2">
      <c r="A5" s="25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5"/>
      <c r="C5" s="2595"/>
      <c r="D5" s="2595"/>
      <c r="E5" s="2595"/>
      <c r="F5" s="2596"/>
      <c r="G5" s="898"/>
      <c r="H5" s="898"/>
    </row>
    <row r="6" spans="1:8" s="899" customFormat="1" ht="41.25" customHeight="1" x14ac:dyDescent="0.2">
      <c r="A6" s="2588" t="s">
        <v>1673</v>
      </c>
      <c r="B6" s="2589"/>
      <c r="C6" s="2589"/>
      <c r="D6" s="2589"/>
      <c r="E6" s="2589"/>
      <c r="F6" s="2590"/>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5226575</v>
      </c>
      <c r="C8" s="1871">
        <f>'Acct Summary 7-8'!D8</f>
        <v>0</v>
      </c>
      <c r="D8" s="1871">
        <f>'Acct Summary 7-8'!F8</f>
        <v>0</v>
      </c>
      <c r="E8" s="1871">
        <f>'Acct Summary 7-8'!I8</f>
        <v>0</v>
      </c>
      <c r="F8" s="1871">
        <f>SUM(B8:E8)</f>
        <v>5226575</v>
      </c>
    </row>
    <row r="9" spans="1:8" s="903" customFormat="1" ht="14.25" customHeight="1" thickBot="1" x14ac:dyDescent="0.25">
      <c r="A9" s="902" t="s">
        <v>1355</v>
      </c>
      <c r="B9" s="1872">
        <f>'Acct Summary 7-8'!C17</f>
        <v>5114423</v>
      </c>
      <c r="C9" s="1872">
        <f>'Acct Summary 7-8'!D17</f>
        <v>0</v>
      </c>
      <c r="D9" s="1872">
        <f>'Acct Summary 7-8'!F17</f>
        <v>0</v>
      </c>
      <c r="E9" s="1871"/>
      <c r="F9" s="1871">
        <f>SUM(B9:E9)</f>
        <v>5114423</v>
      </c>
    </row>
    <row r="10" spans="1:8" s="903" customFormat="1" ht="14.25" thickTop="1" thickBot="1" x14ac:dyDescent="0.25">
      <c r="A10" s="904" t="s">
        <v>1356</v>
      </c>
      <c r="B10" s="1873">
        <f>(B8-B9)</f>
        <v>112152</v>
      </c>
      <c r="C10" s="1873">
        <f>(C8-C9)</f>
        <v>0</v>
      </c>
      <c r="D10" s="1873">
        <f>(D8-D9)</f>
        <v>0</v>
      </c>
      <c r="E10" s="1872">
        <f>(E8-E9)</f>
        <v>0</v>
      </c>
      <c r="F10" s="1874">
        <f>SUM(F8-F9)</f>
        <v>112152</v>
      </c>
    </row>
    <row r="11" spans="1:8" s="903" customFormat="1" ht="14.25" thickTop="1" thickBot="1" x14ac:dyDescent="0.25">
      <c r="A11" s="905" t="s">
        <v>1903</v>
      </c>
      <c r="B11" s="1875">
        <f>'Acct Summary 7-8'!C81</f>
        <v>628559</v>
      </c>
      <c r="C11" s="1875">
        <f>'Acct Summary 7-8'!D81</f>
        <v>0</v>
      </c>
      <c r="D11" s="1875">
        <f>'Acct Summary 7-8'!F81</f>
        <v>0</v>
      </c>
      <c r="E11" s="1875">
        <f>'Acct Summary 7-8'!I81</f>
        <v>0</v>
      </c>
      <c r="F11" s="1876">
        <f>SUM(B11:E11)</f>
        <v>628559</v>
      </c>
    </row>
    <row r="12" spans="1:8" ht="16.5" customHeight="1" thickTop="1" x14ac:dyDescent="0.2">
      <c r="A12" s="906"/>
      <c r="B12" s="907"/>
      <c r="C12" s="2576" t="str">
        <f>IF(AND(F10&lt;0,F11&gt;=0,ABS(F10*3)&gt;ABS(F11)),A16,IF(AND(F10&lt;0,F11&gt;0,ABS(F10*3)&lt;=ABS(F11)),A17,IF(AND(F10&lt;0,F11&lt;0),A16,IF(F11=0,A19,A18))))</f>
        <v>Balanced - no deficit reduction plan is required.</v>
      </c>
      <c r="D12" s="2577"/>
      <c r="E12" s="2577"/>
      <c r="F12" s="2578"/>
    </row>
    <row r="13" spans="1:8" ht="19.5" customHeight="1" x14ac:dyDescent="0.2">
      <c r="A13" s="908"/>
      <c r="B13" s="909"/>
      <c r="C13" s="2576"/>
      <c r="D13" s="2577"/>
      <c r="E13" s="2577"/>
      <c r="F13" s="2578"/>
      <c r="H13" s="898"/>
    </row>
    <row r="14" spans="1:8" ht="19.5" customHeight="1" x14ac:dyDescent="0.2">
      <c r="A14" s="908"/>
      <c r="B14" s="909"/>
      <c r="C14" s="2576"/>
      <c r="D14" s="2577"/>
      <c r="E14" s="2577"/>
      <c r="F14" s="2578"/>
      <c r="H14" s="898"/>
    </row>
    <row r="15" spans="1:8" ht="17.25" customHeight="1" x14ac:dyDescent="0.2">
      <c r="A15" s="908"/>
      <c r="B15" s="909"/>
      <c r="C15" s="2579"/>
      <c r="D15" s="2580"/>
      <c r="E15" s="2580"/>
      <c r="F15" s="2581"/>
      <c r="H15" s="898"/>
    </row>
    <row r="16" spans="1:8" s="288" customFormat="1" ht="51.75" hidden="1" customHeight="1" x14ac:dyDescent="0.2">
      <c r="A16" s="2575" t="s">
        <v>1669</v>
      </c>
      <c r="B16" s="2575"/>
      <c r="C16" s="2575"/>
      <c r="D16" s="2575"/>
      <c r="E16" s="2575"/>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customSheetViews>
    <customSheetView guid="{27400517-D544-41E2-9D13-0D8FC40AA704}" scale="110" showGridLines="0" zeroValues="0" hiddenRows="1">
      <selection activeCell="A17" sqref="A17:H17"/>
      <pageMargins left="0.75" right="0.75" top="1.1000000000000001" bottom="0.5" header="0.5" footer="0.5"/>
      <printOptions horizontalCentered="1"/>
      <pageSetup firstPageNumber="19" fitToHeight="0" orientation="landscape" r:id="rId1"/>
      <headerFooter>
        <oddHeader xml:space="preserve">&amp;C&amp;"Times New Roman,Regular"REGION III SPECIAL EDUCATION COOPERATIVE
DEFICIT ANNUAL FINANCIAL REPORT (AFR) SUMMARY INFORMATION
FOR THE YEAR ENDED JUNE 30, 2020
</oddHeader>
        <oddFooter>&amp;C&amp;"Times New Roman,Regular"See Independent Auditor’s Reports
&amp;P</oddFooter>
      </headerFooter>
    </customSheetView>
    <customSheetView guid="{00BB9B19-FC1B-492E-A95E-CC052A0B5070}" scale="110" showGridLines="0" zeroValues="0" hiddenRows="1">
      <selection activeCell="A17" sqref="A17:H17"/>
      <pageMargins left="0.75" right="0.75" top="1.1000000000000001" bottom="0.5" header="0.5" footer="0.5"/>
      <printOptions horizontalCentered="1"/>
      <pageSetup firstPageNumber="19" fitToHeight="0" orientation="landscape" r:id="rId2"/>
      <headerFooter>
        <oddHeader xml:space="preserve">&amp;C&amp;"Times New Roman,Regular"REGION III SPECIAL EDUCATION COOPERATIVE
DEFICIT ANNUAL FINANCIAL REPORT (AFR) SUMMARY INFORMATION
FOR THE YEAR ENDED JUNE 30, 2020
</oddHeader>
        <oddFooter>&amp;C&amp;"Times New Roman,Regular"See Independent Auditor’s Reports
&amp;P</oddFooter>
      </headerFooter>
    </customSheetView>
    <customSheetView guid="{DCE9EA22-7307-4505-BC41-9954A9C79245}" scale="110" showGridLines="0" zeroValues="0" hiddenRows="1">
      <selection activeCell="A17" sqref="A17:H17"/>
      <pageMargins left="0.75" right="0.75" top="1.1000000000000001" bottom="0.5" header="0.5" footer="0.5"/>
      <printOptions horizontalCentered="1"/>
      <pageSetup firstPageNumber="19" fitToHeight="0" orientation="landscape" r:id="rId3"/>
      <headerFooter>
        <oddHeader xml:space="preserve">&amp;C&amp;"Times New Roman,Regular"REGION III SPECIAL EDUCATION COOPERATIVE
DEFICIT ANNUAL FINANCIAL REPORT (AFR) SUMMARY INFORMATION
FOR THE YEAR ENDED JUNE 30, 2020
</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1000000000000001" bottom="0.5" header="0.5" footer="0.5"/>
  <pageSetup firstPageNumber="19" fitToHeight="0" orientation="landscape" r:id="rId4"/>
  <headerFooter>
    <oddHeader xml:space="preserve">&amp;C&amp;"Times New Roman,Regular"REGION III SPECIAL EDUCATION COOPERATIVE
DEFICIT ANNUAL FINANCIAL REPORT (AFR) SUMMARY INFORMATION
FOR THE YEAR ENDED JUNE 30, 2020
</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56" colorId="8" zoomScale="110" zoomScaleNormal="110" workbookViewId="0">
      <selection activeCell="A17" sqref="A17:H1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7" t="s">
        <v>660</v>
      </c>
      <c r="B3" s="2598"/>
      <c r="C3" s="2598"/>
      <c r="D3" s="2599"/>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8" t="s">
        <v>1490</v>
      </c>
      <c r="D7" s="2609"/>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600" t="s">
        <v>1001</v>
      </c>
      <c r="B15" s="2601"/>
      <c r="C15" s="2601"/>
      <c r="D15" s="2602"/>
    </row>
    <row r="16" spans="1:4" s="542" customFormat="1" ht="24" customHeight="1" x14ac:dyDescent="0.2">
      <c r="A16" s="2603" t="s">
        <v>658</v>
      </c>
      <c r="B16" s="2604"/>
      <c r="C16" s="2604"/>
      <c r="D16" s="2605"/>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12" t="s">
        <v>311</v>
      </c>
      <c r="D21" s="2613"/>
    </row>
    <row r="22" spans="1:10" ht="12.75" x14ac:dyDescent="0.2">
      <c r="A22" s="963"/>
      <c r="B22" s="964">
        <v>2</v>
      </c>
      <c r="C22" s="2610" t="s">
        <v>1510</v>
      </c>
      <c r="D22" s="2611"/>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ENTER ACCOUNTING INFO</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14" t="s">
        <v>533</v>
      </c>
      <c r="D43" s="2615"/>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6" t="s">
        <v>779</v>
      </c>
      <c r="D56" s="2607"/>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606" t="s">
        <v>1677</v>
      </c>
      <c r="D70" s="2607"/>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27400517-D544-41E2-9D13-0D8FC40AA704}" scale="110" colorId="8" showGridLines="0" hiddenRows="1">
      <selection activeCell="A17" sqref="A17:H17"/>
      <pageMargins left="0.75" right="0.75" top="1" bottom="0.5" header="0.5" footer="0.5"/>
      <printOptions horizontalCentered="1"/>
      <pageSetup scale="75" firstPageNumber="32" fitToWidth="0" orientation="landscape" r:id="rId1"/>
    </customSheetView>
    <customSheetView guid="{00BB9B19-FC1B-492E-A95E-CC052A0B5070}" scale="110" colorId="8" showGridLines="0" hiddenRows="1">
      <selection activeCell="A17" sqref="A17:H17"/>
      <pageMargins left="0.75" right="0.75" top="1" bottom="0.5" header="0.5" footer="0.5"/>
      <printOptions horizontalCentered="1"/>
      <pageSetup scale="75" firstPageNumber="32" fitToWidth="0" orientation="landscape" r:id="rId2"/>
    </customSheetView>
    <customSheetView guid="{DCE9EA22-7307-4505-BC41-9954A9C79245}" scale="110" colorId="8" showGridLines="0" hiddenRows="1">
      <selection activeCell="A17" sqref="A17:H17"/>
      <pageMargins left="0.75" right="0.75" top="1" bottom="0.5" header="0.5" footer="0.5"/>
      <printOptions horizontalCentered="1"/>
      <pageSetup scale="75" firstPageNumber="32" fitToWidth="0" orientation="landscape" r:id="rId3"/>
    </customSheetView>
  </customSheetViews>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75" right="0.75" top="1" bottom="0.5" header="0.5" footer="0.5"/>
  <pageSetup scale="75" firstPageNumber="32" fitToWidth="0" orientation="landscape"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1967</v>
      </c>
      <c r="F1" s="1593" t="s">
        <v>1968</v>
      </c>
      <c r="G1" s="1963" t="s">
        <v>1978</v>
      </c>
    </row>
    <row r="2" spans="1:7" ht="15.75" x14ac:dyDescent="0.25">
      <c r="A2" t="s">
        <v>260</v>
      </c>
      <c r="B2" s="135">
        <f>COVER!A13</f>
        <v>41057801060</v>
      </c>
      <c r="E2" s="1592">
        <v>2020</v>
      </c>
      <c r="F2" s="1592">
        <v>1</v>
      </c>
      <c r="G2" s="1962">
        <v>101000300</v>
      </c>
    </row>
    <row r="3" spans="1:7" ht="15" x14ac:dyDescent="0.25">
      <c r="A3" t="s">
        <v>950</v>
      </c>
      <c r="B3" s="135" t="str">
        <f>COVER!A15</f>
        <v>MADISON</v>
      </c>
      <c r="E3" s="1888" t="s">
        <v>1971</v>
      </c>
      <c r="F3" s="1888" t="s">
        <v>1970</v>
      </c>
      <c r="G3" s="1962">
        <v>101000400</v>
      </c>
    </row>
    <row r="4" spans="1:7" ht="15" x14ac:dyDescent="0.25">
      <c r="A4" t="s">
        <v>1000</v>
      </c>
      <c r="B4" s="135" t="str">
        <f>COVER!A17</f>
        <v xml:space="preserve">   Region III Special Ed Co-op</v>
      </c>
      <c r="E4" s="1886">
        <v>44119</v>
      </c>
      <c r="F4" s="1887">
        <v>44151</v>
      </c>
      <c r="G4" s="1962">
        <v>101000600</v>
      </c>
    </row>
    <row r="5" spans="1:7" ht="15" x14ac:dyDescent="0.25">
      <c r="A5" t="s">
        <v>699</v>
      </c>
      <c r="B5" s="135">
        <f>COVER!A38</f>
        <v>0</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 xml:space="preserve">ACCRUAL </v>
      </c>
      <c r="G9" s="1962">
        <v>102100800</v>
      </c>
    </row>
    <row r="10" spans="1:7" ht="15" x14ac:dyDescent="0.25">
      <c r="A10" t="s">
        <v>970</v>
      </c>
      <c r="B10" s="135">
        <f>COVER!B5</f>
        <v>0</v>
      </c>
      <c r="G10" s="1962">
        <v>202100300</v>
      </c>
    </row>
    <row r="11" spans="1:7" ht="15" x14ac:dyDescent="0.25">
      <c r="A11" t="s">
        <v>971</v>
      </c>
      <c r="B11" s="135" t="str">
        <f>COVER!B6</f>
        <v>X</v>
      </c>
      <c r="G11" s="1962">
        <v>202100400</v>
      </c>
    </row>
    <row r="12" spans="1:7" ht="15" x14ac:dyDescent="0.25">
      <c r="A12" s="1" t="s">
        <v>1529</v>
      </c>
      <c r="B12" s="135" t="str">
        <f>IF(COVER!J29="x","Yes",IF(COVER!L29="X","No",0))</f>
        <v>Yes</v>
      </c>
      <c r="G12" s="1962">
        <v>202100600</v>
      </c>
    </row>
    <row r="13" spans="1:7" ht="15" x14ac:dyDescent="0.25">
      <c r="A13" s="1" t="s">
        <v>1530</v>
      </c>
      <c r="B13" s="135" t="str">
        <f>IF(COVER!J30="x","Yes",IF(COVER!L30="x","No",0))</f>
        <v>Yes</v>
      </c>
      <c r="G13" s="1962">
        <v>202100800</v>
      </c>
    </row>
    <row r="14" spans="1:7" ht="15" x14ac:dyDescent="0.25">
      <c r="A14" t="s">
        <v>473</v>
      </c>
      <c r="B14" s="135" t="str">
        <f>IF(COVER!J31="x","Yes",IF(COVER!L31="x","No",0))</f>
        <v>No</v>
      </c>
      <c r="G14" s="1962">
        <v>402100300</v>
      </c>
    </row>
    <row r="15" spans="1:7" ht="15" x14ac:dyDescent="0.25">
      <c r="A15" t="s">
        <v>573</v>
      </c>
      <c r="B15" s="135" t="str">
        <f>COVER!T23</f>
        <v>066-005060</v>
      </c>
      <c r="G15" s="1962">
        <v>402100400</v>
      </c>
    </row>
    <row r="16" spans="1:7" ht="15" x14ac:dyDescent="0.25">
      <c r="A16" t="s">
        <v>419</v>
      </c>
      <c r="B16" s="135" t="str">
        <f>COVER!T13</f>
        <v>DENNIS ROSE &amp; ASSOCIATES, P.C.</v>
      </c>
      <c r="G16" s="1962">
        <v>402100600</v>
      </c>
    </row>
    <row r="17" spans="1:7" ht="15" x14ac:dyDescent="0.25">
      <c r="A17" t="s">
        <v>878</v>
      </c>
      <c r="B17" s="135" t="str">
        <f>COVER!T15</f>
        <v>DONNA HOGGATT</v>
      </c>
      <c r="G17" s="1962">
        <v>402100800</v>
      </c>
    </row>
    <row r="18" spans="1:7" ht="15" x14ac:dyDescent="0.25">
      <c r="A18" t="s">
        <v>1142</v>
      </c>
      <c r="B18" s="135" t="str">
        <f>COVER!T17</f>
        <v>1904 STATE STREET</v>
      </c>
      <c r="G18" s="1962">
        <v>102200300</v>
      </c>
    </row>
    <row r="19" spans="1:7" ht="15" x14ac:dyDescent="0.25">
      <c r="A19" t="s">
        <v>880</v>
      </c>
      <c r="B19" s="135" t="str">
        <f>COVER!T25</f>
        <v>DROSECPA@DRA-CPA.COM</v>
      </c>
      <c r="G19" s="1962">
        <v>102200400</v>
      </c>
    </row>
    <row r="20" spans="1:7" ht="15" x14ac:dyDescent="0.25">
      <c r="A20" t="s">
        <v>881</v>
      </c>
      <c r="B20" s="135" t="str">
        <f>COVER!T19</f>
        <v>ALTON</v>
      </c>
      <c r="G20" s="1962">
        <v>102200600</v>
      </c>
    </row>
    <row r="21" spans="1:7" ht="15" x14ac:dyDescent="0.25">
      <c r="A21" t="s">
        <v>476</v>
      </c>
      <c r="B21" s="135" t="str">
        <f>COVER!X19</f>
        <v>IL</v>
      </c>
      <c r="G21" s="1962">
        <v>102200800</v>
      </c>
    </row>
    <row r="22" spans="1:7" ht="15" x14ac:dyDescent="0.25">
      <c r="A22" t="s">
        <v>882</v>
      </c>
      <c r="B22" s="135">
        <f>COVER!Z19</f>
        <v>62002</v>
      </c>
      <c r="G22" s="1962">
        <v>102300300</v>
      </c>
    </row>
    <row r="23" spans="1:7" ht="15" x14ac:dyDescent="0.25">
      <c r="A23" t="s">
        <v>1144</v>
      </c>
      <c r="B23" s="135" t="str">
        <f>COVER!T21</f>
        <v>618-465-4999</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1073366</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444807</v>
      </c>
      <c r="C91" s="2" t="s">
        <v>569</v>
      </c>
      <c r="D91" s="2" t="str">
        <f t="shared" si="0"/>
        <v>Error?</v>
      </c>
      <c r="G91" s="1962">
        <v>102640400</v>
      </c>
    </row>
    <row r="92" spans="1:7" ht="15" x14ac:dyDescent="0.25">
      <c r="A92" s="5">
        <v>31</v>
      </c>
      <c r="B92" s="1890">
        <f>'Assets-Liab 5-6'!C39</f>
        <v>628559</v>
      </c>
      <c r="D92" s="2" t="str">
        <f t="shared" si="0"/>
        <v>Error?</v>
      </c>
      <c r="G92" s="1962">
        <v>102640600</v>
      </c>
    </row>
    <row r="93" spans="1:7" ht="15" x14ac:dyDescent="0.25">
      <c r="A93" s="5">
        <v>32</v>
      </c>
      <c r="B93" s="1890">
        <f>'Assets-Liab 5-6'!C41</f>
        <v>1073366</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0</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0</v>
      </c>
      <c r="D123" s="2" t="str">
        <f t="shared" si="0"/>
        <v>Error?</v>
      </c>
      <c r="G123" s="1962">
        <v>203000400</v>
      </c>
    </row>
    <row r="124" spans="1:7" ht="15" x14ac:dyDescent="0.25">
      <c r="A124" s="5">
        <v>63</v>
      </c>
      <c r="B124" s="1890">
        <f>'Assets-Liab 5-6'!D41</f>
        <v>0</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0</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0</v>
      </c>
      <c r="D170" s="2" t="str">
        <f t="shared" si="1"/>
        <v>Error?</v>
      </c>
    </row>
    <row r="171" spans="1:4" x14ac:dyDescent="0.2">
      <c r="A171" s="5">
        <v>110</v>
      </c>
      <c r="B171" s="1890">
        <f>'Assets-Liab 5-6'!F41</f>
        <v>0</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0</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0</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44150</v>
      </c>
      <c r="D273" s="2" t="str">
        <f t="shared" si="3"/>
        <v>Error?</v>
      </c>
    </row>
    <row r="274" spans="1:4" x14ac:dyDescent="0.2">
      <c r="A274" s="5">
        <v>213</v>
      </c>
      <c r="B274" s="1890">
        <f>'Assets-Liab 5-6'!M17</f>
        <v>191272</v>
      </c>
      <c r="D274" s="2" t="str">
        <f t="shared" si="3"/>
        <v>Error?</v>
      </c>
    </row>
    <row r="275" spans="1:4" x14ac:dyDescent="0.2">
      <c r="A275" s="5">
        <v>214</v>
      </c>
      <c r="B275" s="1890">
        <f>'Assets-Liab 5-6'!M18</f>
        <v>17402</v>
      </c>
      <c r="D275" s="2" t="str">
        <f t="shared" si="3"/>
        <v>Error?</v>
      </c>
    </row>
    <row r="276" spans="1:4" x14ac:dyDescent="0.2">
      <c r="A276" s="5">
        <v>215</v>
      </c>
      <c r="B276" s="1890">
        <f>'Assets-Liab 5-6'!M19</f>
        <v>7859</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260683</v>
      </c>
      <c r="C279" s="2" t="s">
        <v>569</v>
      </c>
      <c r="D279" s="2" t="str">
        <f t="shared" si="3"/>
        <v>Error?</v>
      </c>
    </row>
    <row r="280" spans="1:4" x14ac:dyDescent="0.2">
      <c r="A280" s="5">
        <v>219</v>
      </c>
      <c r="B280" s="1890">
        <f>'Assets-Liab 5-6'!M40</f>
        <v>260683</v>
      </c>
      <c r="D280" s="2" t="str">
        <f t="shared" si="3"/>
        <v>Error?</v>
      </c>
    </row>
    <row r="281" spans="1:4" x14ac:dyDescent="0.2">
      <c r="A281" s="5">
        <v>220</v>
      </c>
      <c r="B281" s="1890">
        <f>'Assets-Liab 5-6'!M41</f>
        <v>260683</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11562</v>
      </c>
      <c r="D719" s="2" t="str">
        <f t="shared" si="10"/>
        <v>Error?</v>
      </c>
    </row>
    <row r="720" spans="1:4" x14ac:dyDescent="0.2">
      <c r="A720" s="5">
        <v>659</v>
      </c>
      <c r="B720" s="1890">
        <f>'Expenditures 15-22'!C33</f>
        <v>1277313</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253036</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72549</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325585</v>
      </c>
      <c r="C727" s="2" t="s">
        <v>569</v>
      </c>
      <c r="D727" s="2" t="str">
        <f t="shared" si="10"/>
        <v>Error?</v>
      </c>
    </row>
    <row r="728" spans="1:4" x14ac:dyDescent="0.2">
      <c r="A728" s="5">
        <v>667</v>
      </c>
      <c r="B728" s="1890">
        <f>'Expenditures 15-22'!C44</f>
        <v>3520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3520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0</v>
      </c>
      <c r="D733" s="2" t="str">
        <f t="shared" si="10"/>
        <v>Error?</v>
      </c>
    </row>
    <row r="734" spans="1:4" x14ac:dyDescent="0.2">
      <c r="A734" s="5">
        <v>673</v>
      </c>
      <c r="B734" s="1890">
        <f>'Expenditures 15-22'!C53</f>
        <v>185113</v>
      </c>
      <c r="C734" s="2" t="s">
        <v>569</v>
      </c>
      <c r="D734" s="2" t="str">
        <f t="shared" si="10"/>
        <v>Error?</v>
      </c>
    </row>
    <row r="735" spans="1:4" x14ac:dyDescent="0.2">
      <c r="A735" s="5">
        <v>674</v>
      </c>
      <c r="B735" s="1890">
        <f>'Expenditures 15-22'!C55</f>
        <v>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0</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0</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514218</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1791531</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951</v>
      </c>
      <c r="D777" s="2" t="str">
        <f t="shared" si="11"/>
        <v>Error?</v>
      </c>
    </row>
    <row r="778" spans="1:4" x14ac:dyDescent="0.2">
      <c r="A778" s="5">
        <v>717</v>
      </c>
      <c r="B778" s="1890">
        <f>'Expenditures 15-22'!D33</f>
        <v>227471</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54419</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18766</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73185</v>
      </c>
      <c r="C785" s="2" t="s">
        <v>569</v>
      </c>
      <c r="D785" s="2" t="str">
        <f t="shared" si="11"/>
        <v>Error?</v>
      </c>
    </row>
    <row r="786" spans="1:4" x14ac:dyDescent="0.2">
      <c r="A786" s="5">
        <v>725</v>
      </c>
      <c r="B786" s="1890">
        <f>'Expenditures 15-22'!D44</f>
        <v>387</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387</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0</v>
      </c>
      <c r="D791" s="2" t="str">
        <f t="shared" si="11"/>
        <v>Error?</v>
      </c>
    </row>
    <row r="792" spans="1:4" x14ac:dyDescent="0.2">
      <c r="A792" s="5">
        <v>731</v>
      </c>
      <c r="B792" s="1890">
        <f>'Expenditures 15-22'!D53</f>
        <v>29184</v>
      </c>
      <c r="C792" s="2" t="s">
        <v>569</v>
      </c>
      <c r="D792" s="2" t="str">
        <f t="shared" si="11"/>
        <v>Error?</v>
      </c>
    </row>
    <row r="793" spans="1:4" x14ac:dyDescent="0.2">
      <c r="A793" s="5">
        <v>732</v>
      </c>
      <c r="B793" s="1890">
        <f>'Expenditures 15-22'!D55</f>
        <v>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0</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102756</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330227</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154062</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93952</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2568</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96520</v>
      </c>
      <c r="C843" s="2" t="s">
        <v>569</v>
      </c>
      <c r="D843" s="2" t="str">
        <f t="shared" si="12"/>
        <v>Error?</v>
      </c>
    </row>
    <row r="844" spans="1:4" x14ac:dyDescent="0.2">
      <c r="A844" s="5">
        <v>783</v>
      </c>
      <c r="B844" s="1890">
        <f>'Expenditures 15-22'!E44</f>
        <v>25331</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25331</v>
      </c>
      <c r="C847" s="2" t="s">
        <v>569</v>
      </c>
      <c r="D847" s="2" t="str">
        <f t="shared" si="12"/>
        <v>Error?</v>
      </c>
    </row>
    <row r="848" spans="1:4" x14ac:dyDescent="0.2">
      <c r="A848" s="5">
        <v>787</v>
      </c>
      <c r="B848" s="1890">
        <f>'Expenditures 15-22'!E49</f>
        <v>0</v>
      </c>
      <c r="D848" s="2" t="str">
        <f t="shared" si="12"/>
        <v>Error?</v>
      </c>
    </row>
    <row r="849" spans="1:4" x14ac:dyDescent="0.2">
      <c r="A849" s="5">
        <v>788</v>
      </c>
      <c r="B849" s="1890">
        <f>'Expenditures 15-22'!E50</f>
        <v>0</v>
      </c>
      <c r="D849" s="2" t="str">
        <f t="shared" si="12"/>
        <v>Error?</v>
      </c>
    </row>
    <row r="850" spans="1:4" x14ac:dyDescent="0.2">
      <c r="A850" s="5">
        <v>789</v>
      </c>
      <c r="B850" s="1890">
        <f>'Expenditures 15-22'!E53</f>
        <v>107666</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23185</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23185</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19302</v>
      </c>
      <c r="D870" s="2" t="str">
        <f t="shared" si="12"/>
        <v>Error?</v>
      </c>
    </row>
    <row r="871" spans="1:4" x14ac:dyDescent="0.2">
      <c r="A871" s="5">
        <v>810</v>
      </c>
      <c r="B871" s="1890">
        <f>'Expenditures 15-22'!E74</f>
        <v>272004</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498570</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36662</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4591</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19123</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23714</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0</v>
      </c>
      <c r="C905" s="2" t="s">
        <v>569</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13987</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0</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0</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37701</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74363</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4174</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4174</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2415558</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2419732</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0</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0</v>
      </c>
      <c r="C1106" s="2" t="s">
        <v>569</v>
      </c>
      <c r="D1106" s="2" t="str">
        <f t="shared" si="16"/>
        <v>Error?</v>
      </c>
    </row>
    <row r="1107" spans="1:4" x14ac:dyDescent="0.2">
      <c r="A1107" s="5">
        <v>1046</v>
      </c>
      <c r="B1107" s="1890">
        <f>'Expenditures 15-22'!K15</f>
        <v>12513</v>
      </c>
      <c r="C1107" s="2" t="s">
        <v>569</v>
      </c>
      <c r="D1107" s="2" t="str">
        <f t="shared" si="16"/>
        <v>Error?</v>
      </c>
    </row>
    <row r="1108" spans="1:4" x14ac:dyDescent="0.2">
      <c r="A1108" s="5">
        <v>1047</v>
      </c>
      <c r="B1108" s="1890">
        <f>'Expenditures 15-22'!K33</f>
        <v>1695508</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405998</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113006</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519004</v>
      </c>
      <c r="C1115" s="2" t="s">
        <v>569</v>
      </c>
      <c r="D1115" s="2" t="str">
        <f t="shared" si="16"/>
        <v>Error?</v>
      </c>
    </row>
    <row r="1116" spans="1:4" x14ac:dyDescent="0.2">
      <c r="A1116" s="5">
        <v>1055</v>
      </c>
      <c r="B1116" s="1890">
        <f>'Expenditures 15-22'!K44</f>
        <v>29238</v>
      </c>
      <c r="C1116" s="2" t="s">
        <v>569</v>
      </c>
      <c r="D1116" s="2" t="str">
        <f t="shared" si="16"/>
        <v>Error?</v>
      </c>
    </row>
    <row r="1117" spans="1:4" x14ac:dyDescent="0.2">
      <c r="A1117" s="5">
        <v>1056</v>
      </c>
      <c r="B1117" s="1890">
        <f>'Expenditures 15-22'!K45</f>
        <v>0</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29238</v>
      </c>
      <c r="C1119" s="2" t="s">
        <v>569</v>
      </c>
      <c r="D1119" s="2" t="str">
        <f t="shared" si="16"/>
        <v>Error?</v>
      </c>
    </row>
    <row r="1120" spans="1:4" x14ac:dyDescent="0.2">
      <c r="A1120" s="5">
        <v>1059</v>
      </c>
      <c r="B1120" s="1890">
        <f>'Expenditures 15-22'!K49</f>
        <v>0</v>
      </c>
      <c r="C1120" s="2" t="s">
        <v>569</v>
      </c>
      <c r="D1120" s="2" t="str">
        <f t="shared" si="16"/>
        <v>Error?</v>
      </c>
    </row>
    <row r="1121" spans="1:4" x14ac:dyDescent="0.2">
      <c r="A1121" s="5">
        <v>1060</v>
      </c>
      <c r="B1121" s="1890">
        <f>'Expenditures 15-22'!K50</f>
        <v>0</v>
      </c>
      <c r="C1121" s="2" t="s">
        <v>569</v>
      </c>
      <c r="D1121" s="2" t="str">
        <f t="shared" si="16"/>
        <v>Error?</v>
      </c>
    </row>
    <row r="1122" spans="1:4" x14ac:dyDescent="0.2">
      <c r="A1122" s="5">
        <v>1061</v>
      </c>
      <c r="B1122" s="1890">
        <f>'Expenditures 15-22'!K53</f>
        <v>340124</v>
      </c>
      <c r="C1122" s="2" t="s">
        <v>569</v>
      </c>
      <c r="D1122" s="2" t="str">
        <f t="shared" si="16"/>
        <v>Error?</v>
      </c>
    </row>
    <row r="1123" spans="1:4" x14ac:dyDescent="0.2">
      <c r="A1123" s="5">
        <v>1062</v>
      </c>
      <c r="B1123" s="1890">
        <f>'Expenditures 15-22'!K55</f>
        <v>0</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0</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0</v>
      </c>
      <c r="C1127" s="2" t="s">
        <v>569</v>
      </c>
      <c r="D1127" s="2" t="str">
        <f t="shared" si="16"/>
        <v>Error?</v>
      </c>
    </row>
    <row r="1128" spans="1:4" x14ac:dyDescent="0.2">
      <c r="A1128" s="5">
        <v>1067</v>
      </c>
      <c r="B1128" s="1890">
        <f>'Expenditures 15-22'!K61</f>
        <v>23185</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0</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23185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19302</v>
      </c>
      <c r="C1142" s="2" t="s">
        <v>569</v>
      </c>
      <c r="D1142" s="2" t="str">
        <f t="shared" si="16"/>
        <v>Error?</v>
      </c>
    </row>
    <row r="1143" spans="1:4" x14ac:dyDescent="0.2">
      <c r="A1143" s="5">
        <v>1082</v>
      </c>
      <c r="B1143" s="1890">
        <f>'Expenditures 15-22'!K74</f>
        <v>930853</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2488062</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5114423</v>
      </c>
      <c r="C1152" s="2" t="s">
        <v>569</v>
      </c>
      <c r="D1152" s="2" t="str">
        <f t="shared" si="17"/>
        <v>Error?</v>
      </c>
    </row>
    <row r="1153" spans="1:4" x14ac:dyDescent="0.2">
      <c r="A1153" s="5">
        <v>1092</v>
      </c>
      <c r="B1153" s="1890">
        <f>'Expenditures 15-22'!K115</f>
        <v>112152</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0</v>
      </c>
      <c r="D1237" s="2" t="str">
        <f t="shared" si="18"/>
        <v>Error?</v>
      </c>
    </row>
    <row r="1238" spans="1:4" x14ac:dyDescent="0.2">
      <c r="A1238" s="10">
        <v>1177</v>
      </c>
      <c r="B1238" s="1890"/>
      <c r="D1238" s="2" t="str">
        <f t="shared" si="18"/>
        <v>OK</v>
      </c>
    </row>
    <row r="1239" spans="1:4" x14ac:dyDescent="0.2">
      <c r="A1239" s="5">
        <v>1178</v>
      </c>
      <c r="B1239" s="1890">
        <f>'Expenditures 15-22'!E127</f>
        <v>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0</v>
      </c>
      <c r="C1241" s="2" t="s">
        <v>569</v>
      </c>
      <c r="D1241" s="2" t="str">
        <f t="shared" si="18"/>
        <v>Error?</v>
      </c>
    </row>
    <row r="1242" spans="1:4" x14ac:dyDescent="0.2">
      <c r="A1242" s="5">
        <v>1181</v>
      </c>
      <c r="B1242" s="1890">
        <f>'Expenditures 15-22'!E151</f>
        <v>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0</v>
      </c>
      <c r="D1245" s="2" t="str">
        <f t="shared" si="18"/>
        <v>Error?</v>
      </c>
    </row>
    <row r="1246" spans="1:4" x14ac:dyDescent="0.2">
      <c r="A1246" s="10">
        <v>1185</v>
      </c>
      <c r="B1246" s="1890"/>
      <c r="D1246" s="2" t="str">
        <f t="shared" si="18"/>
        <v>OK</v>
      </c>
    </row>
    <row r="1247" spans="1:4" x14ac:dyDescent="0.2">
      <c r="A1247" s="5">
        <v>1186</v>
      </c>
      <c r="B1247" s="1890">
        <f>'Expenditures 15-22'!F127</f>
        <v>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0</v>
      </c>
      <c r="C1249" s="2" t="s">
        <v>569</v>
      </c>
      <c r="D1249" s="2" t="str">
        <f t="shared" si="18"/>
        <v>Error?</v>
      </c>
    </row>
    <row r="1250" spans="1:4" x14ac:dyDescent="0.2">
      <c r="A1250" s="5">
        <v>1189</v>
      </c>
      <c r="B1250" s="1890">
        <f>'Expenditures 15-22'!F151</f>
        <v>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0</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0</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0</v>
      </c>
      <c r="C1288" s="2" t="s">
        <v>569</v>
      </c>
      <c r="D1288" s="2" t="str">
        <f t="shared" si="19"/>
        <v>Error?</v>
      </c>
    </row>
    <row r="1289" spans="1:4" x14ac:dyDescent="0.2">
      <c r="A1289" s="5">
        <v>1228</v>
      </c>
      <c r="B1289" s="1890">
        <f>'Expenditures 15-22'!K152</f>
        <v>0</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0</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0</v>
      </c>
      <c r="C1388" s="2" t="s">
        <v>569</v>
      </c>
      <c r="D1388" s="2" t="str">
        <f t="shared" si="20"/>
        <v>Error?</v>
      </c>
    </row>
    <row r="1389" spans="1:4" x14ac:dyDescent="0.2">
      <c r="A1389" s="5">
        <v>1328</v>
      </c>
      <c r="B1389" s="1890">
        <f>'Expenditures 15-22'!K211</f>
        <v>0</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0</v>
      </c>
      <c r="D1423" s="2" t="str">
        <f t="shared" si="21"/>
        <v>Error?</v>
      </c>
    </row>
    <row r="1424" spans="1:4" x14ac:dyDescent="0.2">
      <c r="A1424" s="5">
        <v>1363</v>
      </c>
      <c r="B1424" s="1890">
        <f>'Expenditures 15-22'!D257</f>
        <v>0</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0</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0</v>
      </c>
      <c r="C1487" s="2" t="s">
        <v>569</v>
      </c>
      <c r="D1487" s="2" t="str">
        <f t="shared" si="22"/>
        <v>Error?</v>
      </c>
    </row>
    <row r="1488" spans="1:4" x14ac:dyDescent="0.2">
      <c r="A1488" s="5">
        <v>1427</v>
      </c>
      <c r="B1488" s="1890">
        <f>'Expenditures 15-22'!K257</f>
        <v>0</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0</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0</v>
      </c>
      <c r="C1517" s="2" t="s">
        <v>569</v>
      </c>
      <c r="D1517" s="2" t="str">
        <f t="shared" si="22"/>
        <v>Error?</v>
      </c>
    </row>
    <row r="1518" spans="1:4" x14ac:dyDescent="0.2">
      <c r="A1518" s="5">
        <v>1457</v>
      </c>
      <c r="B1518" s="1890">
        <f>'Expenditures 15-22'!K296</f>
        <v>0</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516407</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628559</v>
      </c>
      <c r="C1630" s="2" t="s">
        <v>569</v>
      </c>
      <c r="D1630" s="2" t="str">
        <f t="shared" si="24"/>
        <v>Error?</v>
      </c>
    </row>
    <row r="1631" spans="1:4" x14ac:dyDescent="0.2">
      <c r="A1631" s="5">
        <v>1570</v>
      </c>
      <c r="B1631" s="1890">
        <f>'Acct Summary 7-8'!D79</f>
        <v>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0</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0</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0</v>
      </c>
      <c r="C1672" s="2" t="s">
        <v>569</v>
      </c>
      <c r="D1672" s="2" t="str">
        <f t="shared" si="25"/>
        <v>Error?</v>
      </c>
    </row>
    <row r="1673" spans="1:4" x14ac:dyDescent="0.2">
      <c r="A1673" s="5">
        <v>1612</v>
      </c>
      <c r="B1673" s="1890">
        <f>'Acct Summary 7-8'!G79</f>
        <v>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0</v>
      </c>
      <c r="C1744" s="2" t="s">
        <v>569</v>
      </c>
      <c r="D1744" s="2" t="str">
        <f t="shared" si="26"/>
        <v>Error?</v>
      </c>
    </row>
    <row r="1745" spans="1:5" x14ac:dyDescent="0.2">
      <c r="A1745" s="5">
        <v>1684</v>
      </c>
      <c r="B1745" s="1890">
        <f>'Tax Sched 23'!B5</f>
        <v>0</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0</v>
      </c>
      <c r="C1747" s="2" t="s">
        <v>569</v>
      </c>
      <c r="D1747" s="2" t="str">
        <f t="shared" si="26"/>
        <v>Error?</v>
      </c>
    </row>
    <row r="1748" spans="1:5" x14ac:dyDescent="0.2">
      <c r="A1748" s="5">
        <v>1687</v>
      </c>
      <c r="B1748" s="1890">
        <f>'Tax Sched 23'!B8</f>
        <v>0</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0</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0</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0</v>
      </c>
      <c r="C1759" s="2" t="s">
        <v>569</v>
      </c>
      <c r="D1759" s="2" t="str">
        <f t="shared" si="26"/>
        <v>Error?</v>
      </c>
    </row>
    <row r="1760" spans="1:5" x14ac:dyDescent="0.2">
      <c r="A1760" s="5">
        <v>1699</v>
      </c>
      <c r="B1760" s="1890">
        <f>'Tax Sched 23'!D4</f>
        <v>0</v>
      </c>
      <c r="C1760" s="2" t="s">
        <v>569</v>
      </c>
      <c r="D1760" s="2" t="str">
        <f t="shared" si="26"/>
        <v>Error?</v>
      </c>
    </row>
    <row r="1761" spans="1:7" x14ac:dyDescent="0.2">
      <c r="A1761" s="5">
        <v>1700</v>
      </c>
      <c r="B1761" s="1890">
        <f>'Tax Sched 23'!D5</f>
        <v>0</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0</v>
      </c>
      <c r="C1763" s="2" t="s">
        <v>569</v>
      </c>
      <c r="D1763" s="2" t="str">
        <f t="shared" si="26"/>
        <v>Error?</v>
      </c>
    </row>
    <row r="1764" spans="1:7" x14ac:dyDescent="0.2">
      <c r="A1764" s="5">
        <v>1703</v>
      </c>
      <c r="B1764" s="1890">
        <f>'Tax Sched 23'!D8</f>
        <v>0</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0</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0</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0</v>
      </c>
      <c r="C1792" s="2" t="s">
        <v>569</v>
      </c>
      <c r="D1792" s="2" t="str">
        <f t="shared" si="27"/>
        <v>Error?</v>
      </c>
    </row>
    <row r="1793" spans="1:4" x14ac:dyDescent="0.2">
      <c r="A1793" s="5">
        <v>1732</v>
      </c>
      <c r="B1793" s="1890">
        <f>'Tax Sched 23'!F5</f>
        <v>0</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0</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0</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0</v>
      </c>
      <c r="C1807" s="2" t="s">
        <v>569</v>
      </c>
      <c r="D1807" s="2" t="str">
        <f t="shared" si="27"/>
        <v>Error?</v>
      </c>
    </row>
    <row r="1808" spans="1:4" x14ac:dyDescent="0.2">
      <c r="A1808" s="5">
        <v>1747</v>
      </c>
      <c r="B1808" s="1890">
        <f>'Tax Sched 23'!E4</f>
        <v>0</v>
      </c>
      <c r="D1808" s="2" t="str">
        <f t="shared" si="27"/>
        <v>Error?</v>
      </c>
    </row>
    <row r="1809" spans="1:4" x14ac:dyDescent="0.2">
      <c r="A1809" s="5">
        <v>1748</v>
      </c>
      <c r="B1809" s="1890">
        <f>'Tax Sched 23'!E5</f>
        <v>0</v>
      </c>
      <c r="D1809" s="2" t="str">
        <f t="shared" si="27"/>
        <v>Error?</v>
      </c>
    </row>
    <row r="1810" spans="1:4" x14ac:dyDescent="0.2">
      <c r="A1810" s="5">
        <v>1749</v>
      </c>
      <c r="B1810" s="1890">
        <f>'Tax Sched 23'!E6</f>
        <v>0</v>
      </c>
      <c r="D1810" s="2" t="str">
        <f t="shared" si="27"/>
        <v>Error?</v>
      </c>
    </row>
    <row r="1811" spans="1:4" x14ac:dyDescent="0.2">
      <c r="A1811" s="5">
        <v>1750</v>
      </c>
      <c r="B1811" s="1890">
        <f>'Tax Sched 23'!E7</f>
        <v>0</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0</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0</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0</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44150</v>
      </c>
      <c r="D2008" s="2" t="str">
        <f t="shared" si="30"/>
        <v>Error?</v>
      </c>
    </row>
    <row r="2009" spans="1:4" x14ac:dyDescent="0.2">
      <c r="A2009" s="5">
        <v>1948</v>
      </c>
      <c r="B2009" s="1890">
        <f>'Cap Outlay Deprec 26'!C8</f>
        <v>191272</v>
      </c>
      <c r="D2009" s="2" t="str">
        <f t="shared" si="30"/>
        <v>Error?</v>
      </c>
    </row>
    <row r="2010" spans="1:4" x14ac:dyDescent="0.2">
      <c r="A2010" s="5">
        <v>1949</v>
      </c>
      <c r="B2010" s="1890">
        <f>'Cap Outlay Deprec 26'!C10</f>
        <v>17402</v>
      </c>
      <c r="D2010" s="2" t="str">
        <f t="shared" si="30"/>
        <v>Error?</v>
      </c>
    </row>
    <row r="2011" spans="1:4" x14ac:dyDescent="0.2">
      <c r="A2011" s="5">
        <v>1950</v>
      </c>
      <c r="B2011" s="1890">
        <f>'Cap Outlay Deprec 26'!C12</f>
        <v>7859</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260683</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44150</v>
      </c>
      <c r="C2026" s="2" t="s">
        <v>569</v>
      </c>
      <c r="D2026" s="2" t="str">
        <f t="shared" si="30"/>
        <v>Error?</v>
      </c>
    </row>
    <row r="2027" spans="1:4" x14ac:dyDescent="0.2">
      <c r="A2027" s="5">
        <v>1966</v>
      </c>
      <c r="B2027" s="1890">
        <f>'Cap Outlay Deprec 26'!F8</f>
        <v>191272</v>
      </c>
      <c r="C2027" s="2" t="s">
        <v>569</v>
      </c>
      <c r="D2027" s="2" t="str">
        <f t="shared" si="30"/>
        <v>Error?</v>
      </c>
    </row>
    <row r="2028" spans="1:4" x14ac:dyDescent="0.2">
      <c r="A2028" s="5">
        <v>1967</v>
      </c>
      <c r="B2028" s="1890">
        <f>'Cap Outlay Deprec 26'!F10</f>
        <v>17402</v>
      </c>
      <c r="C2028" s="2" t="s">
        <v>569</v>
      </c>
      <c r="D2028" s="2" t="str">
        <f t="shared" si="30"/>
        <v>Error?</v>
      </c>
    </row>
    <row r="2029" spans="1:4" x14ac:dyDescent="0.2">
      <c r="A2029" s="5">
        <v>1968</v>
      </c>
      <c r="B2029" s="1890">
        <f>'Cap Outlay Deprec 26'!F12</f>
        <v>7859</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260683</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144586</v>
      </c>
      <c r="D2033" s="2" t="str">
        <f t="shared" si="30"/>
        <v>Error?</v>
      </c>
    </row>
    <row r="2034" spans="1:4" x14ac:dyDescent="0.2">
      <c r="A2034" s="5">
        <v>1973</v>
      </c>
      <c r="B2034" s="1890">
        <f>'Cap Outlay Deprec 26'!H10</f>
        <v>17402</v>
      </c>
      <c r="D2034" s="2" t="str">
        <f t="shared" si="30"/>
        <v>Error?</v>
      </c>
    </row>
    <row r="2035" spans="1:4" x14ac:dyDescent="0.2">
      <c r="A2035" s="5">
        <v>1974</v>
      </c>
      <c r="B2035" s="1890">
        <f>'Cap Outlay Deprec 26'!H12</f>
        <v>7757</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169745</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3826</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102</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3928</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148412</v>
      </c>
      <c r="C2051" s="2" t="s">
        <v>569</v>
      </c>
      <c r="D2051" s="2" t="str">
        <f t="shared" si="31"/>
        <v>Error?</v>
      </c>
    </row>
    <row r="2052" spans="1:4" x14ac:dyDescent="0.2">
      <c r="A2052" s="5">
        <v>1991</v>
      </c>
      <c r="B2052" s="1890">
        <f>'Cap Outlay Deprec 26'!K10</f>
        <v>17402</v>
      </c>
      <c r="C2052" s="2" t="s">
        <v>569</v>
      </c>
      <c r="D2052" s="2" t="str">
        <f t="shared" si="31"/>
        <v>Error?</v>
      </c>
    </row>
    <row r="2053" spans="1:4" x14ac:dyDescent="0.2">
      <c r="A2053" s="5">
        <v>1992</v>
      </c>
      <c r="B2053" s="1890">
        <f>'Cap Outlay Deprec 26'!K12</f>
        <v>7859</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173673</v>
      </c>
      <c r="C2055" s="2" t="s">
        <v>569</v>
      </c>
      <c r="D2055" s="2" t="str">
        <f t="shared" si="31"/>
        <v>Error?</v>
      </c>
    </row>
    <row r="2056" spans="1:4" x14ac:dyDescent="0.2">
      <c r="A2056" s="5">
        <v>1995</v>
      </c>
      <c r="B2056" s="1890">
        <f>'Cap Outlay Deprec 26'!L5</f>
        <v>44150</v>
      </c>
      <c r="C2056" s="2" t="s">
        <v>569</v>
      </c>
      <c r="D2056" s="2" t="str">
        <f t="shared" si="31"/>
        <v>Error?</v>
      </c>
    </row>
    <row r="2057" spans="1:4" x14ac:dyDescent="0.2">
      <c r="A2057" s="5">
        <v>1996</v>
      </c>
      <c r="B2057" s="1890">
        <f>'Cap Outlay Deprec 26'!L8</f>
        <v>42860</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0</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87010</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2415558</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2488062</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2295079</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336066</v>
      </c>
      <c r="C2553" s="2" t="s">
        <v>569</v>
      </c>
      <c r="D2553" s="2" t="str">
        <f t="shared" si="38"/>
        <v>Error?</v>
      </c>
    </row>
    <row r="2554" spans="1:4" x14ac:dyDescent="0.2">
      <c r="A2554" s="5">
        <v>2493</v>
      </c>
      <c r="B2554" s="1890">
        <f>'Acct Summary 7-8'!C7</f>
        <v>367954</v>
      </c>
      <c r="C2554" s="2" t="s">
        <v>569</v>
      </c>
      <c r="D2554" s="2" t="str">
        <f t="shared" si="38"/>
        <v>Error?</v>
      </c>
    </row>
    <row r="2555" spans="1:4" x14ac:dyDescent="0.2">
      <c r="A2555" s="5">
        <v>2494</v>
      </c>
      <c r="B2555" s="1890">
        <f>'Acct Summary 7-8'!C8</f>
        <v>5226575</v>
      </c>
      <c r="C2555" s="2" t="s">
        <v>569</v>
      </c>
      <c r="D2555" s="2" t="str">
        <f t="shared" si="38"/>
        <v>Error?</v>
      </c>
    </row>
    <row r="2556" spans="1:4" x14ac:dyDescent="0.2">
      <c r="A2556" s="5">
        <v>2495</v>
      </c>
      <c r="B2556" s="1890">
        <f>'Acct Summary 7-8'!C12</f>
        <v>1695508</v>
      </c>
      <c r="C2556" s="2" t="s">
        <v>569</v>
      </c>
      <c r="D2556" s="2" t="str">
        <f t="shared" si="38"/>
        <v>Error?</v>
      </c>
    </row>
    <row r="2557" spans="1:4" x14ac:dyDescent="0.2">
      <c r="A2557" s="5">
        <v>2496</v>
      </c>
      <c r="B2557" s="1890">
        <f>'Acct Summary 7-8'!C13</f>
        <v>930853</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2488062</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5114423</v>
      </c>
      <c r="C2561" s="2" t="s">
        <v>569</v>
      </c>
      <c r="D2561" s="2" t="str">
        <f t="shared" si="39"/>
        <v>Error?</v>
      </c>
    </row>
    <row r="2562" spans="1:4" x14ac:dyDescent="0.2">
      <c r="A2562" s="5">
        <v>2501</v>
      </c>
      <c r="B2562" s="1890">
        <f>'Acct Summary 7-8'!C20</f>
        <v>112152</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0</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0</v>
      </c>
      <c r="C2568" s="2" t="s">
        <v>569</v>
      </c>
      <c r="D2568" s="2" t="str">
        <f t="shared" si="39"/>
        <v>Error?</v>
      </c>
    </row>
    <row r="2569" spans="1:4" x14ac:dyDescent="0.2">
      <c r="A2569" s="5">
        <v>2508</v>
      </c>
      <c r="B2569" s="1890">
        <f>'Acct Summary 7-8'!D13</f>
        <v>0</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0</v>
      </c>
      <c r="C2573" s="2" t="s">
        <v>569</v>
      </c>
      <c r="D2573" s="2" t="str">
        <f t="shared" si="39"/>
        <v>Error?</v>
      </c>
    </row>
    <row r="2574" spans="1:4" x14ac:dyDescent="0.2">
      <c r="A2574" s="5">
        <v>2513</v>
      </c>
      <c r="B2574" s="1890">
        <f>'Acct Summary 7-8'!D20</f>
        <v>0</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0</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0</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0</v>
      </c>
      <c r="C2595" s="2" t="s">
        <v>569</v>
      </c>
      <c r="D2595" s="2" t="str">
        <f t="shared" si="39"/>
        <v>Error?</v>
      </c>
    </row>
    <row r="2596" spans="1:4" x14ac:dyDescent="0.2">
      <c r="A2596" s="5">
        <v>2535</v>
      </c>
      <c r="B2596" s="1890">
        <f>'Acct Summary 7-8'!F13</f>
        <v>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0</v>
      </c>
      <c r="C2600" s="2" t="s">
        <v>569</v>
      </c>
      <c r="D2600" s="2" t="str">
        <f t="shared" si="39"/>
        <v>Error?</v>
      </c>
    </row>
    <row r="2601" spans="1:4" x14ac:dyDescent="0.2">
      <c r="A2601" s="5">
        <v>2540</v>
      </c>
      <c r="B2601" s="1890">
        <f>'Acct Summary 7-8'!F20</f>
        <v>0</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0</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0</v>
      </c>
      <c r="C2606" s="2" t="s">
        <v>569</v>
      </c>
      <c r="D2606" s="2" t="str">
        <f t="shared" si="39"/>
        <v>Error?</v>
      </c>
    </row>
    <row r="2607" spans="1:4" x14ac:dyDescent="0.2">
      <c r="A2607" s="5">
        <v>2546</v>
      </c>
      <c r="B2607" s="1890">
        <f>'Acct Summary 7-8'!G12</f>
        <v>0</v>
      </c>
      <c r="C2607" s="2" t="s">
        <v>569</v>
      </c>
      <c r="D2607" s="2" t="str">
        <f t="shared" si="39"/>
        <v>Error?</v>
      </c>
    </row>
    <row r="2608" spans="1:4" x14ac:dyDescent="0.2">
      <c r="A2608" s="5">
        <v>2547</v>
      </c>
      <c r="B2608" s="1890">
        <f>'Acct Summary 7-8'!G13</f>
        <v>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0</v>
      </c>
      <c r="C2612" s="2" t="s">
        <v>569</v>
      </c>
      <c r="D2612" s="2" t="str">
        <f t="shared" si="39"/>
        <v>Error?</v>
      </c>
    </row>
    <row r="2613" spans="1:4" x14ac:dyDescent="0.2">
      <c r="A2613" s="5">
        <v>2552</v>
      </c>
      <c r="B2613" s="1890">
        <f>'Acct Summary 7-8'!G20</f>
        <v>0</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185113</v>
      </c>
      <c r="D2718" s="2" t="str">
        <f t="shared" si="41"/>
        <v>Error?</v>
      </c>
    </row>
    <row r="2719" spans="1:4" x14ac:dyDescent="0.2">
      <c r="A2719" s="5">
        <v>2658</v>
      </c>
      <c r="B2719" s="1890">
        <f>'Expenditures 15-22'!D51</f>
        <v>29184</v>
      </c>
      <c r="D2719" s="2" t="str">
        <f t="shared" si="41"/>
        <v>Error?</v>
      </c>
    </row>
    <row r="2720" spans="1:4" x14ac:dyDescent="0.2">
      <c r="A2720" s="5">
        <v>2659</v>
      </c>
      <c r="B2720" s="1890">
        <f>'Expenditures 15-22'!E51</f>
        <v>107666</v>
      </c>
      <c r="D2720" s="2" t="str">
        <f t="shared" si="41"/>
        <v>Error?</v>
      </c>
    </row>
    <row r="2721" spans="1:4" x14ac:dyDescent="0.2">
      <c r="A2721" s="5">
        <v>2660</v>
      </c>
      <c r="B2721" s="1890">
        <f>'Expenditures 15-22'!F51</f>
        <v>13987</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4174</v>
      </c>
      <c r="D2723" s="2" t="str">
        <f t="shared" si="41"/>
        <v>Error?</v>
      </c>
    </row>
    <row r="2724" spans="1:4" x14ac:dyDescent="0.2">
      <c r="A2724" s="5">
        <v>2663</v>
      </c>
      <c r="B2724" s="1890">
        <f>'Expenditures 15-22'!K51</f>
        <v>340124</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72504</v>
      </c>
      <c r="C2789" s="2" t="s">
        <v>569</v>
      </c>
      <c r="D2789" s="2" t="str">
        <f t="shared" si="42"/>
        <v>Error?</v>
      </c>
    </row>
    <row r="2790" spans="1:4" x14ac:dyDescent="0.2">
      <c r="A2790" s="5">
        <v>2729</v>
      </c>
      <c r="B2790" s="1890">
        <f>'Expenditures 15-22'!E102</f>
        <v>72504</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0</v>
      </c>
      <c r="C2913" s="2" t="s">
        <v>569</v>
      </c>
      <c r="D2913" s="2" t="str">
        <f t="shared" si="44"/>
        <v>Error?</v>
      </c>
    </row>
    <row r="2914" spans="1:4" x14ac:dyDescent="0.2">
      <c r="A2914" s="5">
        <v>2853</v>
      </c>
      <c r="B2914" s="1890">
        <f>'Assets-Liab 5-6'!L33</f>
        <v>0</v>
      </c>
      <c r="D2914" s="2" t="str">
        <f t="shared" si="44"/>
        <v>Error?</v>
      </c>
    </row>
    <row r="2915" spans="1:4" x14ac:dyDescent="0.2">
      <c r="A2915" s="10">
        <v>2854</v>
      </c>
      <c r="B2915" s="1890"/>
      <c r="D2915" s="2" t="str">
        <f t="shared" si="44"/>
        <v>OK</v>
      </c>
    </row>
    <row r="2916" spans="1:4" x14ac:dyDescent="0.2">
      <c r="A2916" s="5">
        <v>2855</v>
      </c>
      <c r="B2916" s="1890">
        <f>'Assets-Liab 5-6'!L34</f>
        <v>0</v>
      </c>
      <c r="C2916" s="2" t="s">
        <v>569</v>
      </c>
      <c r="D2916" s="2" t="str">
        <f t="shared" si="44"/>
        <v>Error?</v>
      </c>
    </row>
    <row r="2917" spans="1:4" x14ac:dyDescent="0.2">
      <c r="A2917" s="5">
        <v>2856</v>
      </c>
      <c r="B2917" s="1890">
        <f>'Assets-Liab 5-6'!L41</f>
        <v>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72504</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2415558</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2488062</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0</v>
      </c>
      <c r="C3225" s="2" t="s">
        <v>569</v>
      </c>
      <c r="D3225" s="2" t="str">
        <f t="shared" si="49"/>
        <v>Error?</v>
      </c>
    </row>
    <row r="3226" spans="1:4" x14ac:dyDescent="0.2">
      <c r="A3226" s="5">
        <v>3165</v>
      </c>
      <c r="B3226" s="1890">
        <f>'Acct Summary 7-8'!I8</f>
        <v>0</v>
      </c>
      <c r="C3226" s="2" t="s">
        <v>569</v>
      </c>
      <c r="D3226" s="2" t="str">
        <f t="shared" si="49"/>
        <v>Error?</v>
      </c>
    </row>
    <row r="3227" spans="1:4" x14ac:dyDescent="0.2">
      <c r="A3227" s="5">
        <v>3166</v>
      </c>
      <c r="B3227" s="1890">
        <f>'Acct Summary 7-8'!I20</f>
        <v>0</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112152</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0</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0</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0</v>
      </c>
      <c r="C3320" s="2" t="s">
        <v>569</v>
      </c>
      <c r="D3320" s="2" t="str">
        <f t="shared" si="50"/>
        <v>Error?</v>
      </c>
    </row>
    <row r="3321" spans="1:4" x14ac:dyDescent="0.2">
      <c r="A3321" s="5">
        <v>3260</v>
      </c>
      <c r="B3321" s="1890">
        <f>'Acct Summary 7-8'!I79</f>
        <v>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1265751</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226520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154062</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36662</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1682995</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0</v>
      </c>
      <c r="D3387" s="2" t="str">
        <f t="shared" si="51"/>
        <v>Error?</v>
      </c>
    </row>
    <row r="3388" spans="1:4" x14ac:dyDescent="0.2">
      <c r="A3388" s="5">
        <v>3327</v>
      </c>
      <c r="B3388" s="1890">
        <f>'Expenditures 15-22'!D217</f>
        <v>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0</v>
      </c>
      <c r="C3390" s="2" t="s">
        <v>569</v>
      </c>
      <c r="D3390" s="2" t="str">
        <f t="shared" si="51"/>
        <v>Error?</v>
      </c>
    </row>
    <row r="3391" spans="1:4" x14ac:dyDescent="0.2">
      <c r="A3391" s="5">
        <v>3330</v>
      </c>
      <c r="B3391" s="1890">
        <f>'Expenditures 15-22'!K217</f>
        <v>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2227476</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617265</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0</v>
      </c>
      <c r="C3446" s="2" t="s">
        <v>569</v>
      </c>
      <c r="D3446" s="2" t="str">
        <f t="shared" si="52"/>
        <v>Error?</v>
      </c>
    </row>
    <row r="3447" spans="1:4" x14ac:dyDescent="0.2">
      <c r="A3447" s="5">
        <v>3386</v>
      </c>
      <c r="B3447" s="1890">
        <f>'Tax Sched 23'!D16</f>
        <v>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0</v>
      </c>
      <c r="C3449" s="2" t="s">
        <v>569</v>
      </c>
      <c r="D3449" s="2" t="str">
        <f t="shared" si="52"/>
        <v>Error?</v>
      </c>
    </row>
    <row r="3450" spans="1:4" x14ac:dyDescent="0.2">
      <c r="A3450" s="5">
        <v>3389</v>
      </c>
      <c r="B3450" s="1890">
        <f>'Tax Sched 23'!E16</f>
        <v>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855780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6082355</v>
      </c>
      <c r="C4122" s="2" t="s">
        <v>569</v>
      </c>
      <c r="D4122" s="2" t="str">
        <f t="shared" si="63"/>
        <v>Error?</v>
      </c>
    </row>
    <row r="4123" spans="1:4" x14ac:dyDescent="0.2">
      <c r="A4123" s="5">
        <v>4062</v>
      </c>
      <c r="B4123" s="1890">
        <f>'Acct Summary 7-8'!D10</f>
        <v>0</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0</v>
      </c>
      <c r="C4125" s="2" t="s">
        <v>569</v>
      </c>
      <c r="D4125" s="2" t="str">
        <f t="shared" si="63"/>
        <v>Error?</v>
      </c>
    </row>
    <row r="4126" spans="1:4" x14ac:dyDescent="0.2">
      <c r="A4126" s="5">
        <v>4065</v>
      </c>
      <c r="B4126" s="1890">
        <f>'Acct Summary 7-8'!G10</f>
        <v>0</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0</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855780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5970203</v>
      </c>
      <c r="C4136" s="2" t="s">
        <v>569</v>
      </c>
      <c r="D4136" s="2" t="str">
        <f t="shared" si="63"/>
        <v>Error?</v>
      </c>
    </row>
    <row r="4137" spans="1:4" x14ac:dyDescent="0.2">
      <c r="A4137" s="5">
        <v>4076</v>
      </c>
      <c r="B4137" s="1890">
        <f>'Acct Summary 7-8'!D19</f>
        <v>0</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0</v>
      </c>
      <c r="C4139" s="2" t="s">
        <v>569</v>
      </c>
      <c r="D4139" s="2" t="str">
        <f t="shared" si="63"/>
        <v>Error?</v>
      </c>
    </row>
    <row r="4140" spans="1:4" x14ac:dyDescent="0.2">
      <c r="A4140" s="5">
        <v>4079</v>
      </c>
      <c r="B4140" s="1890">
        <f>'Acct Summary 7-8'!G19</f>
        <v>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0</v>
      </c>
      <c r="C4265" s="2" t="s">
        <v>569</v>
      </c>
      <c r="D4265" s="2" t="str">
        <f t="shared" si="65"/>
        <v>Error?</v>
      </c>
      <c r="E4265" s="125"/>
    </row>
    <row r="4266" spans="1:5" x14ac:dyDescent="0.2">
      <c r="A4266" s="12">
        <v>4205</v>
      </c>
      <c r="B4266" s="1890">
        <f>('FP Info 3'!F10)*100000</f>
        <v>0</v>
      </c>
      <c r="C4266" s="2" t="s">
        <v>569</v>
      </c>
      <c r="D4266" s="2" t="str">
        <f t="shared" si="65"/>
        <v>Error?</v>
      </c>
      <c r="E4266" s="125"/>
    </row>
    <row r="4267" spans="1:5" x14ac:dyDescent="0.2">
      <c r="A4267" s="12">
        <v>4206</v>
      </c>
      <c r="B4267" s="1890">
        <f>('FP Info 3'!H10)*100000</f>
        <v>0</v>
      </c>
      <c r="C4267" s="2" t="s">
        <v>569</v>
      </c>
      <c r="D4267" s="2" t="str">
        <f t="shared" si="65"/>
        <v>Error?</v>
      </c>
      <c r="E4267" s="125"/>
    </row>
    <row r="4268" spans="1:5" x14ac:dyDescent="0.2">
      <c r="A4268" s="12">
        <v>4207</v>
      </c>
      <c r="B4268" s="1890">
        <f>('FP Info 3'!J10)*100000</f>
        <v>0</v>
      </c>
      <c r="C4268" s="2" t="s">
        <v>569</v>
      </c>
      <c r="D4268" s="2" t="str">
        <f t="shared" si="65"/>
        <v>Error?</v>
      </c>
    </row>
    <row r="4269" spans="1:5" x14ac:dyDescent="0.2">
      <c r="A4269" s="12">
        <v>4208</v>
      </c>
      <c r="B4269" s="1890">
        <f>'FP Info 3'!J16</f>
        <v>628559</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36919</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113729</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29100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0</v>
      </c>
      <c r="D4995" s="2" t="str">
        <f t="shared" si="77"/>
        <v>Error?</v>
      </c>
    </row>
    <row r="4996" spans="1:4" x14ac:dyDescent="0.2">
      <c r="A4996" s="12">
        <v>4935</v>
      </c>
      <c r="B4996" s="1890" t="str">
        <f>'FP Info 3'!H31</f>
        <v>Enter x in a.or b.</v>
      </c>
      <c r="D4996" s="2" t="e">
        <f t="shared" si="77"/>
        <v>#VALUE!</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0</v>
      </c>
      <c r="D5061" s="2" t="str">
        <f t="shared" si="78"/>
        <v>Error?</v>
      </c>
    </row>
    <row r="5062" spans="1:4" x14ac:dyDescent="0.2">
      <c r="A5062" s="10">
        <v>5001</v>
      </c>
      <c r="B5062" s="1890"/>
      <c r="D5062" s="2" t="str">
        <f t="shared" si="78"/>
        <v>OK</v>
      </c>
    </row>
    <row r="5063" spans="1:4" x14ac:dyDescent="0.2">
      <c r="A5063" s="5">
        <v>5002</v>
      </c>
      <c r="B5063" s="1890">
        <f>'Revenues 9-14'!C7</f>
        <v>0</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2275914</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2275914</v>
      </c>
      <c r="C5087" s="2" t="s">
        <v>569</v>
      </c>
      <c r="D5087" s="2" t="str">
        <f t="shared" si="78"/>
        <v>Error?</v>
      </c>
    </row>
    <row r="5088" spans="1:4" x14ac:dyDescent="0.2">
      <c r="A5088" s="5">
        <v>5027</v>
      </c>
      <c r="B5088" s="1890">
        <f>'Revenues 9-14'!C65</f>
        <v>75</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75</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0</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0</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30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6616</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12444</v>
      </c>
      <c r="D5119" s="2" t="str">
        <f t="shared" ref="D5119:D5182" si="79">IF(ISBLANK(B5119),"OK",IF(A5119-B5119=0,"OK","Error?"))</f>
        <v>Error?</v>
      </c>
    </row>
    <row r="5120" spans="1:4" x14ac:dyDescent="0.2">
      <c r="A5120" s="5">
        <v>5059</v>
      </c>
      <c r="B5120" s="1890">
        <f>'Revenues 9-14'!C108</f>
        <v>19090</v>
      </c>
      <c r="C5120" s="2" t="s">
        <v>569</v>
      </c>
      <c r="D5120" s="2" t="str">
        <f t="shared" si="79"/>
        <v>Error?</v>
      </c>
    </row>
    <row r="5121" spans="1:4" x14ac:dyDescent="0.2">
      <c r="A5121" s="5">
        <v>5060</v>
      </c>
      <c r="B5121" s="1890">
        <f>'Revenues 9-14'!C109</f>
        <v>2295079</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2227476</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2227476</v>
      </c>
      <c r="C5125" s="2" t="s">
        <v>569</v>
      </c>
      <c r="D5125" s="2" t="str">
        <f t="shared" si="79"/>
        <v>Error?</v>
      </c>
    </row>
    <row r="5126" spans="1:4" x14ac:dyDescent="0.2">
      <c r="A5126" s="5">
        <v>5065</v>
      </c>
      <c r="B5126" s="1890">
        <f>'Revenues 9-14'!C117</f>
        <v>306966</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306966</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29100</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336066</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0</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0</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3503</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213803</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217306</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367954</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367954</v>
      </c>
      <c r="C5326" s="2" t="s">
        <v>569</v>
      </c>
      <c r="D5326" s="2" t="str">
        <f t="shared" si="82"/>
        <v>Error?</v>
      </c>
    </row>
    <row r="5327" spans="1:5" x14ac:dyDescent="0.2">
      <c r="A5327" s="5">
        <v>5266</v>
      </c>
      <c r="B5327" s="1890">
        <f>'Revenues 9-14'!C268</f>
        <v>5226575</v>
      </c>
      <c r="C5327" s="2" t="s">
        <v>569</v>
      </c>
      <c r="D5327" s="2" t="str">
        <f t="shared" si="82"/>
        <v>Error?</v>
      </c>
    </row>
    <row r="5328" spans="1:5" x14ac:dyDescent="0.2">
      <c r="A5328" s="5">
        <v>5267</v>
      </c>
      <c r="B5328" s="1890">
        <f>'Revenues 9-14'!D5</f>
        <v>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0</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0</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0</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0</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0</v>
      </c>
      <c r="D5617" s="2" t="str">
        <f t="shared" si="86"/>
        <v>Error?</v>
      </c>
    </row>
    <row r="5618" spans="1:5" x14ac:dyDescent="0.2">
      <c r="A5618" s="5">
        <v>5557</v>
      </c>
      <c r="B5618" s="1890">
        <f>'Revenues 9-14'!F155</f>
        <v>0</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0</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0</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0</v>
      </c>
      <c r="C5720" s="2" t="s">
        <v>569</v>
      </c>
      <c r="D5720" s="2" t="str">
        <f t="shared" si="88"/>
        <v>Error?</v>
      </c>
    </row>
    <row r="5721" spans="1:4" x14ac:dyDescent="0.2">
      <c r="A5721" s="5">
        <v>5660</v>
      </c>
      <c r="B5721" s="1890">
        <f>'Revenues 9-14'!G5</f>
        <v>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0</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0</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0</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0</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0</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0</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456101</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423833</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20974</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112152</v>
      </c>
      <c r="D6267" s="2" t="str">
        <f t="shared" si="96"/>
        <v>Error?</v>
      </c>
      <c r="E6267" s="2" t="s">
        <v>189</v>
      </c>
    </row>
    <row r="6268" spans="1:5" x14ac:dyDescent="0.2">
      <c r="A6268">
        <v>6207</v>
      </c>
      <c r="B6268" s="1890">
        <f>'Acct Summary 7-8'!D82</f>
        <v>0</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0</v>
      </c>
      <c r="D6270" s="2" t="str">
        <f t="shared" si="96"/>
        <v>Error?</v>
      </c>
      <c r="E6270" s="2" t="s">
        <v>189</v>
      </c>
    </row>
    <row r="6271" spans="1:5" x14ac:dyDescent="0.2">
      <c r="A6271">
        <v>6210</v>
      </c>
      <c r="B6271" s="1890">
        <f>'Acct Summary 7-8'!G82</f>
        <v>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0</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0.17842716435529521</v>
      </c>
      <c r="D6276" s="2" t="str">
        <f t="shared" si="97"/>
        <v>Error?</v>
      </c>
      <c r="E6276" s="2" t="s">
        <v>189</v>
      </c>
    </row>
    <row r="6277" spans="1:5" x14ac:dyDescent="0.2">
      <c r="A6277">
        <v>6216</v>
      </c>
      <c r="B6277" s="1890" t="e">
        <f>'Acct Summary 7-8'!D83</f>
        <v>#DIV/0!</v>
      </c>
      <c r="D6277" s="2" t="e">
        <f t="shared" si="97"/>
        <v>#DIV/0!</v>
      </c>
      <c r="E6277" s="2" t="s">
        <v>189</v>
      </c>
    </row>
    <row r="6278" spans="1:5" x14ac:dyDescent="0.2">
      <c r="A6278">
        <v>6217</v>
      </c>
      <c r="B6278" s="1890" t="e">
        <f>'Acct Summary 7-8'!E83</f>
        <v>#DIV/0!</v>
      </c>
      <c r="D6278" s="2" t="e">
        <f t="shared" si="97"/>
        <v>#DIV/0!</v>
      </c>
      <c r="E6278" s="2" t="s">
        <v>189</v>
      </c>
    </row>
    <row r="6279" spans="1:5" x14ac:dyDescent="0.2">
      <c r="A6279">
        <v>6218</v>
      </c>
      <c r="B6279" s="1890" t="e">
        <f>'Acct Summary 7-8'!F83</f>
        <v>#DIV/0!</v>
      </c>
      <c r="D6279" s="2" t="e">
        <f t="shared" si="97"/>
        <v>#DIV/0!</v>
      </c>
      <c r="E6279" s="2" t="s">
        <v>189</v>
      </c>
    </row>
    <row r="6280" spans="1:5" x14ac:dyDescent="0.2">
      <c r="A6280">
        <v>6219</v>
      </c>
      <c r="B6280" s="1890" t="e">
        <f>'Acct Summary 7-8'!G83</f>
        <v>#DIV/0!</v>
      </c>
      <c r="D6280" s="2" t="e">
        <f t="shared" si="97"/>
        <v>#DIV/0!</v>
      </c>
      <c r="E6280" s="2" t="s">
        <v>189</v>
      </c>
    </row>
    <row r="6281" spans="1:5" x14ac:dyDescent="0.2">
      <c r="A6281">
        <v>6220</v>
      </c>
      <c r="B6281" s="1890" t="e">
        <f>'Acct Summary 7-8'!H83</f>
        <v>#DIV/0!</v>
      </c>
      <c r="D6281" s="2" t="e">
        <f t="shared" si="97"/>
        <v>#DIV/0!</v>
      </c>
      <c r="E6281" s="2" t="s">
        <v>189</v>
      </c>
    </row>
    <row r="6282" spans="1:5" x14ac:dyDescent="0.2">
      <c r="A6282">
        <v>6221</v>
      </c>
      <c r="B6282" s="1890" t="e">
        <f>'Acct Summary 7-8'!I83</f>
        <v>#DIV/0!</v>
      </c>
      <c r="D6282" s="2" t="e">
        <f t="shared" si="97"/>
        <v>#DIV/0!</v>
      </c>
      <c r="E6282" s="2" t="s">
        <v>189</v>
      </c>
    </row>
    <row r="6283" spans="1:5" x14ac:dyDescent="0.2">
      <c r="A6283">
        <v>6222</v>
      </c>
      <c r="B6283" s="1890" t="e">
        <f>'Acct Summary 7-8'!J83</f>
        <v>#DIV/0!</v>
      </c>
      <c r="D6283" s="2" t="e">
        <f t="shared" si="97"/>
        <v>#DIV/0!</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3928</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0</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f>'Expenditures 15-22'!D282</f>
        <v>0</v>
      </c>
      <c r="D7783" s="2" t="str">
        <f t="shared" si="127"/>
        <v>Error?</v>
      </c>
      <c r="E7783" s="4" t="s">
        <v>1826</v>
      </c>
    </row>
    <row r="7784" spans="1:5" x14ac:dyDescent="0.2">
      <c r="A7784">
        <v>7723</v>
      </c>
      <c r="B7784" s="1890">
        <f>'Expenditures 15-22'!K282</f>
        <v>0</v>
      </c>
      <c r="D7784" s="2" t="str">
        <f t="shared" si="127"/>
        <v>Error?</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0</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0</v>
      </c>
      <c r="D7817" s="2" t="str">
        <f t="shared" si="128"/>
        <v>Error?</v>
      </c>
      <c r="E7817" s="4" t="s">
        <v>1966</v>
      </c>
    </row>
    <row r="7818" spans="1:5" x14ac:dyDescent="0.2">
      <c r="A7818">
        <v>7757</v>
      </c>
      <c r="B7818" s="1890">
        <f>'PCTC-OEPP 27-28'!F172</f>
        <v>0</v>
      </c>
      <c r="D7818" s="2" t="str">
        <f t="shared" si="128"/>
        <v>Error?</v>
      </c>
      <c r="E7818" s="4" t="s">
        <v>1980</v>
      </c>
    </row>
    <row r="7819" spans="1:5" x14ac:dyDescent="0.2">
      <c r="A7819">
        <v>7758</v>
      </c>
      <c r="B7819" s="1890">
        <f>'PCTC-OEPP 27-28'!F173</f>
        <v>0</v>
      </c>
      <c r="D7819" s="2" t="str">
        <f t="shared" si="128"/>
        <v>Error?</v>
      </c>
      <c r="E7819" s="4" t="s">
        <v>1980</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5114423</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0</v>
      </c>
      <c r="D7826" s="2" t="str">
        <f t="shared" si="129"/>
        <v>Error?</v>
      </c>
      <c r="E7826" s="4" t="s">
        <v>1998</v>
      </c>
    </row>
    <row r="7827" spans="1:5" x14ac:dyDescent="0.2">
      <c r="A7827">
        <v>7766</v>
      </c>
      <c r="B7827" s="1890">
        <f>'PCTC-OEPP 27-28'!F35</f>
        <v>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12513</v>
      </c>
      <c r="D7830" s="2" t="str">
        <f t="shared" si="129"/>
        <v>Error?</v>
      </c>
      <c r="E7830" s="4" t="s">
        <v>1998</v>
      </c>
    </row>
    <row r="7831" spans="1:5" x14ac:dyDescent="0.2">
      <c r="A7831">
        <v>7770</v>
      </c>
      <c r="B7831" s="1890">
        <f>'PCTC-OEPP 27-28'!F52</f>
        <v>0</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2500575</v>
      </c>
      <c r="D7834" s="2" t="str">
        <f t="shared" si="129"/>
        <v>Error?</v>
      </c>
      <c r="E7834" s="4" t="s">
        <v>1998</v>
      </c>
    </row>
    <row r="7835" spans="1:5" x14ac:dyDescent="0.2">
      <c r="A7835">
        <v>7774</v>
      </c>
      <c r="B7835" s="1890">
        <f>'PCTC-OEPP 27-28'!F78</f>
        <v>2613848</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t="str">
        <f>'PCTC-OEPP 27-28'!F80</f>
        <v xml:space="preserve"> Complete Line 79</v>
      </c>
      <c r="D7837" s="2" t="e">
        <f t="shared" si="129"/>
        <v>#VALUE!</v>
      </c>
      <c r="E7837" s="4" t="s">
        <v>1998</v>
      </c>
    </row>
    <row r="7838" spans="1:5" x14ac:dyDescent="0.2">
      <c r="A7838">
        <v>7777</v>
      </c>
      <c r="B7838" s="1890">
        <f>'PCTC-OEPP 27-28'!F96</f>
        <v>0</v>
      </c>
      <c r="D7838" s="2" t="str">
        <f t="shared" si="129"/>
        <v>Error?</v>
      </c>
      <c r="E7838" s="4" t="s">
        <v>1998</v>
      </c>
    </row>
    <row r="7839" spans="1:5" x14ac:dyDescent="0.2">
      <c r="A7839">
        <v>7778</v>
      </c>
      <c r="B7839" s="1890">
        <f>'PCTC-OEPP 27-28'!F102</f>
        <v>0</v>
      </c>
      <c r="D7839" s="2" t="str">
        <f t="shared" si="129"/>
        <v>Error?</v>
      </c>
      <c r="E7839" s="4" t="s">
        <v>1998</v>
      </c>
    </row>
    <row r="7840" spans="1:5" x14ac:dyDescent="0.2">
      <c r="A7840">
        <v>7779</v>
      </c>
      <c r="B7840" s="1890">
        <f>'PCTC-OEPP 27-28'!F103</f>
        <v>0</v>
      </c>
      <c r="D7840" s="2" t="str">
        <f t="shared" si="129"/>
        <v>Error?</v>
      </c>
      <c r="E7840" s="4" t="s">
        <v>1998</v>
      </c>
    </row>
    <row r="7841" spans="1:5" x14ac:dyDescent="0.2">
      <c r="A7841">
        <v>7780</v>
      </c>
      <c r="B7841" s="1890">
        <f>'PCTC-OEPP 27-28'!F104</f>
        <v>0</v>
      </c>
      <c r="D7841" s="2" t="str">
        <f t="shared" si="129"/>
        <v>Error?</v>
      </c>
      <c r="E7841" s="4" t="s">
        <v>1998</v>
      </c>
    </row>
    <row r="7842" spans="1:5" x14ac:dyDescent="0.2">
      <c r="A7842">
        <v>7781</v>
      </c>
      <c r="B7842" s="1890">
        <f>'PCTC-OEPP 27-28'!F106</f>
        <v>0</v>
      </c>
      <c r="D7842" s="2" t="str">
        <f t="shared" si="129"/>
        <v>Error?</v>
      </c>
      <c r="E7842" s="4" t="s">
        <v>1998</v>
      </c>
    </row>
    <row r="7843" spans="1:5" x14ac:dyDescent="0.2">
      <c r="A7843">
        <v>7782</v>
      </c>
      <c r="B7843" s="1890">
        <f>'PCTC-OEPP 27-28'!F107</f>
        <v>0</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0</v>
      </c>
      <c r="D7846" s="2" t="str">
        <f t="shared" si="129"/>
        <v>Error?</v>
      </c>
      <c r="E7846" s="4" t="s">
        <v>1998</v>
      </c>
    </row>
    <row r="7847" spans="1:5" x14ac:dyDescent="0.2">
      <c r="A7847">
        <v>7786</v>
      </c>
      <c r="B7847" s="1890">
        <f>'PCTC-OEPP 27-28'!F112</f>
        <v>0</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29100</v>
      </c>
      <c r="D7855" s="2" t="str">
        <f t="shared" si="129"/>
        <v>Error?</v>
      </c>
      <c r="E7855" s="4" t="s">
        <v>1998</v>
      </c>
    </row>
    <row r="7856" spans="1:5" x14ac:dyDescent="0.2">
      <c r="A7856">
        <v>7795</v>
      </c>
      <c r="B7856" s="1890">
        <f>'PCTC-OEPP 27-28'!F124</f>
        <v>0</v>
      </c>
      <c r="D7856" s="2" t="str">
        <f t="shared" si="129"/>
        <v>Error?</v>
      </c>
      <c r="E7856" s="4" t="s">
        <v>1998</v>
      </c>
    </row>
    <row r="7857" spans="1:5" x14ac:dyDescent="0.2">
      <c r="A7857">
        <v>7796</v>
      </c>
      <c r="B7857" s="1890">
        <f>'PCTC-OEPP 27-28'!F125</f>
        <v>0</v>
      </c>
      <c r="D7857" s="2" t="str">
        <f t="shared" si="129"/>
        <v>Error?</v>
      </c>
      <c r="E7857" s="4" t="s">
        <v>1998</v>
      </c>
    </row>
    <row r="7858" spans="1:5" x14ac:dyDescent="0.2">
      <c r="A7858">
        <v>7797</v>
      </c>
      <c r="B7858" s="1890">
        <f>'PCTC-OEPP 27-28'!F126</f>
        <v>0</v>
      </c>
      <c r="D7858" s="2" t="str">
        <f t="shared" si="129"/>
        <v>Error?</v>
      </c>
      <c r="E7858" s="4" t="s">
        <v>1998</v>
      </c>
    </row>
    <row r="7859" spans="1:5" x14ac:dyDescent="0.2">
      <c r="A7859">
        <v>7798</v>
      </c>
      <c r="B7859" s="1890">
        <f>'PCTC-OEPP 27-28'!F127</f>
        <v>0</v>
      </c>
      <c r="D7859" s="2" t="str">
        <f t="shared" si="129"/>
        <v>Error?</v>
      </c>
      <c r="E7859" s="4" t="s">
        <v>1998</v>
      </c>
    </row>
    <row r="7860" spans="1:5" x14ac:dyDescent="0.2">
      <c r="A7860">
        <v>7799</v>
      </c>
      <c r="B7860" s="1890">
        <f>'PCTC-OEPP 27-28'!F128</f>
        <v>0</v>
      </c>
      <c r="D7860" s="2" t="str">
        <f t="shared" si="129"/>
        <v>Error?</v>
      </c>
      <c r="E7860" s="4" t="s">
        <v>1998</v>
      </c>
    </row>
    <row r="7861" spans="1:5" x14ac:dyDescent="0.2">
      <c r="A7861">
        <v>7800</v>
      </c>
      <c r="B7861" s="1890">
        <f>'PCTC-OEPP 27-28'!F129</f>
        <v>213803</v>
      </c>
      <c r="D7861" s="2" t="str">
        <f t="shared" si="129"/>
        <v>Error?</v>
      </c>
      <c r="E7861" s="4" t="s">
        <v>1998</v>
      </c>
    </row>
    <row r="7862" spans="1:5" x14ac:dyDescent="0.2">
      <c r="A7862">
        <v>7801</v>
      </c>
      <c r="B7862" s="1890">
        <f>'PCTC-OEPP 27-28'!F130</f>
        <v>0</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0</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0</v>
      </c>
      <c r="D7868" s="2" t="str">
        <f t="shared" si="129"/>
        <v>Error?</v>
      </c>
      <c r="E7868" s="4" t="s">
        <v>1998</v>
      </c>
    </row>
    <row r="7869" spans="1:5" x14ac:dyDescent="0.2">
      <c r="A7869">
        <v>7808</v>
      </c>
      <c r="B7869" s="1890">
        <f>'PCTC-OEPP 27-28'!F162</f>
        <v>0</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0</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36919</v>
      </c>
      <c r="D7874" s="2" t="str">
        <f t="shared" si="129"/>
        <v>Error?</v>
      </c>
      <c r="E7874" s="4" t="s">
        <v>1998</v>
      </c>
    </row>
    <row r="7875" spans="1:5" x14ac:dyDescent="0.2">
      <c r="A7875">
        <v>7814</v>
      </c>
      <c r="B7875" s="1890">
        <f>'PCTC-OEPP 27-28'!F170</f>
        <v>113729</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393551</v>
      </c>
      <c r="D7877" s="2" t="str">
        <f t="shared" si="129"/>
        <v>Error?</v>
      </c>
      <c r="E7877" s="4" t="s">
        <v>1998</v>
      </c>
    </row>
    <row r="7878" spans="1:5" x14ac:dyDescent="0.2">
      <c r="A7878">
        <v>7817</v>
      </c>
      <c r="B7878" s="1890">
        <f>'PCTC-OEPP 27-28'!F176</f>
        <v>2220297</v>
      </c>
      <c r="D7878" s="2" t="str">
        <f t="shared" si="129"/>
        <v>Error?</v>
      </c>
      <c r="E7878" s="4" t="s">
        <v>1998</v>
      </c>
    </row>
    <row r="7879" spans="1:5" x14ac:dyDescent="0.2">
      <c r="A7879">
        <v>7818</v>
      </c>
      <c r="B7879" s="1890">
        <f>'PCTC-OEPP 27-28'!F178</f>
        <v>2224225</v>
      </c>
      <c r="D7879" s="2" t="str">
        <f t="shared" si="129"/>
        <v>Error?</v>
      </c>
      <c r="E7879" s="4" t="s">
        <v>1998</v>
      </c>
    </row>
    <row r="7880" spans="1:5" x14ac:dyDescent="0.2">
      <c r="A7880">
        <v>7819</v>
      </c>
      <c r="B7880" s="1890"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27400517-D544-41E2-9D13-0D8FC40AA704}"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00BB9B19-FC1B-492E-A95E-CC052A0B5070}"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DCE9EA22-7307-4505-BC41-9954A9C79245}"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s>
  <phoneticPr fontId="15" type="noConversion"/>
  <pageMargins left="0.75" right="0.75" top="1" bottom="1" header="0.5" footer="0.5"/>
  <pageSetup scale="75" orientation="portrait" r:id="rId4"/>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J19" zoomScale="110" zoomScaleNormal="110" workbookViewId="0">
      <selection activeCell="P38" sqref="P38"/>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9" t="s">
        <v>1183</v>
      </c>
      <c r="B2" s="2639"/>
      <c r="C2" s="2639"/>
      <c r="D2" s="2639"/>
      <c r="E2" s="2639"/>
      <c r="F2" s="2639"/>
      <c r="G2" s="2639"/>
      <c r="H2" s="2639"/>
      <c r="I2" s="2639"/>
      <c r="J2" s="2639"/>
      <c r="K2" s="2639"/>
      <c r="L2" s="2639"/>
    </row>
    <row r="3" spans="1:29" ht="13.5" customHeight="1" x14ac:dyDescent="0.2">
      <c r="A3" s="2625" t="s">
        <v>1182</v>
      </c>
      <c r="B3" s="2625"/>
      <c r="C3" s="2625"/>
      <c r="D3" s="2625"/>
      <c r="E3" s="2625"/>
      <c r="F3" s="2625"/>
      <c r="G3" s="2625"/>
      <c r="H3" s="2625"/>
      <c r="I3" s="2625"/>
      <c r="J3" s="2625"/>
      <c r="K3" s="2625"/>
      <c r="L3" s="2625"/>
    </row>
    <row r="4" spans="1:29" ht="13.5" customHeight="1" x14ac:dyDescent="0.2">
      <c r="A4" s="2656" t="str">
        <f>"Year Ending June 30, "&amp;'AFR20'!E2</f>
        <v>Year Ending June 30, 2020</v>
      </c>
      <c r="B4" s="2657"/>
      <c r="C4" s="2657"/>
      <c r="D4" s="2657"/>
      <c r="E4" s="2657"/>
      <c r="F4" s="2657"/>
      <c r="G4" s="2657"/>
      <c r="H4" s="2657"/>
      <c r="I4" s="2657"/>
      <c r="J4" s="2657"/>
      <c r="K4" s="2657"/>
      <c r="L4" s="265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9" t="str">
        <f>COVER!A17</f>
        <v xml:space="preserve">   Region III Special Ed Co-op</v>
      </c>
      <c r="B7" s="2620"/>
      <c r="C7" s="2620"/>
      <c r="D7" s="2658"/>
      <c r="E7" s="2659">
        <f>COVER!A13</f>
        <v>41057801060</v>
      </c>
      <c r="F7" s="2660"/>
      <c r="G7" s="2626" t="str">
        <f>COVER!T23</f>
        <v>066-005060</v>
      </c>
      <c r="H7" s="2627"/>
      <c r="I7" s="2627"/>
      <c r="J7" s="2627"/>
      <c r="K7" s="2627"/>
      <c r="L7" s="2628"/>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9"/>
      <c r="B9" s="2630"/>
      <c r="C9" s="2630"/>
      <c r="D9" s="2630"/>
      <c r="E9" s="2630"/>
      <c r="F9" s="2631"/>
      <c r="G9" s="2632" t="str">
        <f>COVER!T13</f>
        <v>DENNIS ROSE &amp; ASSOCIATES, P.C.</v>
      </c>
      <c r="H9" s="2633"/>
      <c r="I9" s="2633"/>
      <c r="J9" s="2633"/>
      <c r="K9" s="2633"/>
      <c r="L9" s="2634"/>
    </row>
    <row r="10" spans="1:29" ht="13.5" customHeight="1" x14ac:dyDescent="0.2">
      <c r="A10" s="2616">
        <f>COVER!A38</f>
        <v>0</v>
      </c>
      <c r="B10" s="2617"/>
      <c r="C10" s="2617"/>
      <c r="D10" s="2617"/>
      <c r="E10" s="2617"/>
      <c r="F10" s="2618"/>
      <c r="G10" s="2632" t="str">
        <f>COVER!T17</f>
        <v>1904 STATE STREET</v>
      </c>
      <c r="H10" s="2645"/>
      <c r="I10" s="2645"/>
      <c r="J10" s="2645"/>
      <c r="K10" s="2645"/>
      <c r="L10" s="2646"/>
    </row>
    <row r="11" spans="1:29" ht="13.5" customHeight="1" x14ac:dyDescent="0.2">
      <c r="A11" s="1008" t="s">
        <v>1505</v>
      </c>
      <c r="B11" s="1009"/>
      <c r="C11" s="1010"/>
      <c r="D11" s="1015"/>
      <c r="E11" s="1010"/>
      <c r="F11" s="1014"/>
      <c r="G11" s="2632" t="str">
        <f>COVER!T19</f>
        <v>ALTON</v>
      </c>
      <c r="H11" s="2645"/>
      <c r="I11" s="2645"/>
      <c r="J11" s="2645"/>
      <c r="K11" s="2645"/>
      <c r="L11" s="2646"/>
    </row>
    <row r="12" spans="1:29" ht="13.5" customHeight="1" x14ac:dyDescent="0.2">
      <c r="A12" s="2650" t="s">
        <v>1504</v>
      </c>
      <c r="B12" s="2651"/>
      <c r="C12" s="2651"/>
      <c r="D12" s="2651"/>
      <c r="E12" s="2651"/>
      <c r="F12" s="2652"/>
      <c r="G12" s="2647"/>
      <c r="H12" s="2648"/>
      <c r="I12" s="2648"/>
      <c r="J12" s="2648"/>
      <c r="K12" s="2648"/>
      <c r="L12" s="2649"/>
    </row>
    <row r="13" spans="1:29" ht="13.5" customHeight="1" x14ac:dyDescent="0.2">
      <c r="A13" s="2632"/>
      <c r="B13" s="2645"/>
      <c r="C13" s="2645"/>
      <c r="D13" s="2645"/>
      <c r="E13" s="2645"/>
      <c r="F13" s="2646"/>
      <c r="G13" s="2640" t="s">
        <v>1506</v>
      </c>
      <c r="H13" s="2641"/>
      <c r="I13" s="2653" t="str">
        <f>COVER!T25</f>
        <v>DROSECPA@DRA-CPA.COM</v>
      </c>
      <c r="J13" s="2654"/>
      <c r="K13" s="2654"/>
      <c r="L13" s="2655"/>
    </row>
    <row r="14" spans="1:29" ht="13.5" customHeight="1" x14ac:dyDescent="0.2">
      <c r="A14" s="2632" t="str">
        <f>COVER!A19</f>
        <v>1800 STOREY LANE</v>
      </c>
      <c r="B14" s="2645"/>
      <c r="C14" s="2645"/>
      <c r="D14" s="2645"/>
      <c r="E14" s="2645"/>
      <c r="F14" s="2646"/>
      <c r="G14" s="1019" t="s">
        <v>1177</v>
      </c>
      <c r="H14" s="1017"/>
      <c r="I14" s="1017"/>
      <c r="J14" s="1017"/>
      <c r="K14" s="1017"/>
      <c r="L14" s="1018"/>
    </row>
    <row r="15" spans="1:29" ht="13.5" customHeight="1" x14ac:dyDescent="0.2">
      <c r="A15" s="2632" t="str">
        <f>COVER!A21</f>
        <v>COTTAGE HILLS</v>
      </c>
      <c r="B15" s="2645"/>
      <c r="C15" s="2645"/>
      <c r="D15" s="2645"/>
      <c r="E15" s="2645"/>
      <c r="F15" s="2646"/>
      <c r="G15" s="2642" t="str">
        <f>COVER!T15</f>
        <v>DONNA HOGGATT</v>
      </c>
      <c r="H15" s="2643"/>
      <c r="I15" s="2643"/>
      <c r="J15" s="2643"/>
      <c r="K15" s="2643"/>
      <c r="L15" s="2644"/>
    </row>
    <row r="16" spans="1:29" ht="12.2" customHeight="1" x14ac:dyDescent="0.2">
      <c r="A16" s="2622">
        <f>COVER!A25</f>
        <v>62018</v>
      </c>
      <c r="B16" s="2623"/>
      <c r="C16" s="2623"/>
      <c r="D16" s="2623"/>
      <c r="E16" s="2623"/>
      <c r="F16" s="2624"/>
      <c r="G16" s="2635"/>
      <c r="H16" s="2636"/>
      <c r="I16" s="2636"/>
      <c r="J16" s="2636"/>
      <c r="K16" s="2636"/>
      <c r="L16" s="2637"/>
    </row>
    <row r="17" spans="1:13" ht="12.2" customHeight="1" x14ac:dyDescent="0.2">
      <c r="A17" s="2638"/>
      <c r="B17" s="2623"/>
      <c r="C17" s="2623"/>
      <c r="D17" s="2623"/>
      <c r="E17" s="2623"/>
      <c r="F17" s="2624"/>
      <c r="G17" s="1019" t="s">
        <v>1176</v>
      </c>
      <c r="H17" s="1017"/>
      <c r="I17" s="1017"/>
      <c r="J17" s="1017"/>
      <c r="K17" s="1021" t="s">
        <v>1175</v>
      </c>
      <c r="L17" s="1014"/>
      <c r="M17" s="1007"/>
    </row>
    <row r="18" spans="1:13" ht="12.2" customHeight="1" x14ac:dyDescent="0.2">
      <c r="A18" s="2616"/>
      <c r="B18" s="2617"/>
      <c r="C18" s="2617"/>
      <c r="D18" s="2617"/>
      <c r="E18" s="2617"/>
      <c r="F18" s="2618"/>
      <c r="G18" s="2619" t="str">
        <f>COVER!T21</f>
        <v>618-465-4999</v>
      </c>
      <c r="H18" s="2620"/>
      <c r="I18" s="2620"/>
      <c r="J18" s="2620"/>
      <c r="K18" s="2619" t="str">
        <f>COVER!X21</f>
        <v>618-465-5050</v>
      </c>
      <c r="L18" s="262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customSheetViews>
    <customSheetView guid="{27400517-D544-41E2-9D13-0D8FC40AA704}" scale="110" showGridLines="0" zeroValues="0">
      <selection activeCell="P38" sqref="P38"/>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00BB9B19-FC1B-492E-A95E-CC052A0B5070}" scale="110" showGridLines="0" zeroValues="0">
      <selection activeCell="P38" sqref="P38"/>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DCE9EA22-7307-4505-BC41-9954A9C79245}" scale="110" showGridLines="0" zeroValues="0">
      <selection activeCell="P38" sqref="P38"/>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75" right="0.75" top="1" bottom="0.5" header="0.5" footer="0.5"/>
  <pageSetup scale="89" firstPageNumber="38" fitToHeight="0" orientation="portrait" useFirstPageNumber="1" r:id="rId4"/>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49" zoomScale="125" zoomScaleNormal="125" workbookViewId="0">
      <selection activeCell="G34" sqref="G3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61" t="str">
        <f>'Single Audit Cover'!A7</f>
        <v xml:space="preserve">   Region III Special Ed Co-op</v>
      </c>
      <c r="B1" s="2662"/>
      <c r="C1" s="2662"/>
      <c r="D1" s="2662"/>
    </row>
    <row r="2" spans="1:11" s="1036" customFormat="1" ht="12.75" x14ac:dyDescent="0.2">
      <c r="A2" s="2663">
        <f>'Single Audit Cover'!E7</f>
        <v>41057801060</v>
      </c>
      <c r="B2" s="2664"/>
      <c r="C2" s="2664"/>
      <c r="D2" s="2664"/>
    </row>
    <row r="3" spans="1:11" s="1036" customFormat="1" ht="12.75" x14ac:dyDescent="0.2">
      <c r="A3" s="2661" t="s">
        <v>1499</v>
      </c>
      <c r="B3" s="2662"/>
      <c r="C3" s="2662"/>
      <c r="D3" s="2662"/>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customSheetViews>
    <customSheetView guid="{27400517-D544-41E2-9D13-0D8FC40AA704}" scale="125" showGridLines="0" topLeftCell="A76">
      <selection activeCell="G34" sqref="G34"/>
      <pageMargins left="0.75" right="0.75" top="1" bottom="0.5" header="0.5" footer="0.5"/>
      <printOptions horizontalCentered="1"/>
      <pageSetup scale="65" firstPageNumber="36" fitToHeight="0" orientation="portrait" r:id="rId1"/>
    </customSheetView>
    <customSheetView guid="{00BB9B19-FC1B-492E-A95E-CC052A0B5070}" scale="125" showGridLines="0" topLeftCell="A76">
      <selection activeCell="G34" sqref="G34"/>
      <pageMargins left="0.75" right="0.75" top="1" bottom="0.5" header="0.5" footer="0.5"/>
      <printOptions horizontalCentered="1"/>
      <pageSetup scale="65" firstPageNumber="36" fitToHeight="0" orientation="portrait" r:id="rId2"/>
    </customSheetView>
    <customSheetView guid="{DCE9EA22-7307-4505-BC41-9954A9C79245}" scale="125" showGridLines="0" topLeftCell="A76">
      <selection activeCell="G34" sqref="G34"/>
      <pageMargins left="0.75" right="0.75" top="1" bottom="0.5" header="0.5" footer="0.5"/>
      <printOptions horizontalCentered="1"/>
      <pageSetup scale="65" firstPageNumber="36" fitToHeight="0" orientation="portrait" r:id="rId3"/>
    </customSheetView>
  </customSheetViews>
  <mergeCells count="3">
    <mergeCell ref="A1:D1"/>
    <mergeCell ref="A2:D2"/>
    <mergeCell ref="A3:D3"/>
  </mergeCells>
  <hyperlinks>
    <hyperlink ref="D29" r:id="rId4" xr:uid="{00000000-0004-0000-1900-000000000000}"/>
    <hyperlink ref="D60" r:id="rId5" display="        Verify Non-Cash Commodities amount on ISBE web site: https://www.isbe.net/Pages/School-Nutrition-Programs-Food-Distribution.aspx" xr:uid="{00000000-0004-0000-1900-000001000000}"/>
    <hyperlink ref="D64" r:id="rId6" xr:uid="{00000000-0004-0000-1900-000002000000}"/>
    <hyperlink ref="D68" r:id="rId7" xr:uid="{00000000-0004-0000-1900-000003000000}"/>
  </hyperlinks>
  <printOptions horizontalCentered="1"/>
  <pageMargins left="0.75" right="0.75" top="1" bottom="0.5" header="0.5" footer="0.5"/>
  <pageSetup scale="65" firstPageNumber="36" fitToHeight="0" orientation="portrait"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18" sqref="F18"/>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6" t="str">
        <f>'Single Audit Cover'!A7</f>
        <v xml:space="preserve">   Region III Special Ed Co-op</v>
      </c>
      <c r="B1" s="2666"/>
      <c r="C1" s="2666"/>
      <c r="D1" s="2666"/>
      <c r="E1" s="2666"/>
    </row>
    <row r="2" spans="1:5" x14ac:dyDescent="0.2">
      <c r="A2" s="2667">
        <f>'Single Audit Cover'!E7</f>
        <v>41057801060</v>
      </c>
      <c r="B2" s="2667"/>
      <c r="C2" s="2667"/>
      <c r="D2" s="2667"/>
      <c r="E2" s="2667"/>
    </row>
    <row r="3" spans="1:5" ht="4.5" customHeight="1" x14ac:dyDescent="0.2"/>
    <row r="4" spans="1:5" x14ac:dyDescent="0.2">
      <c r="A4" s="2666" t="s">
        <v>1236</v>
      </c>
      <c r="B4" s="2666"/>
      <c r="C4" s="2666"/>
      <c r="D4" s="2666"/>
      <c r="E4" s="2666"/>
    </row>
    <row r="5" spans="1:5" x14ac:dyDescent="0.2">
      <c r="A5" s="2669" t="str">
        <f>'Single Audit Cover'!A4</f>
        <v>Year Ending June 30, 2020</v>
      </c>
      <c r="B5" s="2669"/>
      <c r="C5" s="2669"/>
      <c r="D5" s="2669"/>
      <c r="E5" s="2669"/>
    </row>
    <row r="6" spans="1:5" x14ac:dyDescent="0.2">
      <c r="A6" s="2666" t="s">
        <v>1235</v>
      </c>
      <c r="B6" s="2666"/>
      <c r="C6" s="2666"/>
      <c r="D6" s="2666"/>
      <c r="E6" s="2666"/>
    </row>
    <row r="8" spans="1:5" x14ac:dyDescent="0.2">
      <c r="A8" s="1081" t="s">
        <v>1234</v>
      </c>
    </row>
    <row r="10" spans="1:5" x14ac:dyDescent="0.2">
      <c r="A10" s="1082" t="s">
        <v>1233</v>
      </c>
      <c r="B10" s="1083" t="s">
        <v>1232</v>
      </c>
      <c r="C10" s="1083"/>
      <c r="D10" s="1084">
        <f>SUM('Acct Summary 7-8'!C7:K7)</f>
        <v>367954</v>
      </c>
    </row>
    <row r="11" spans="1:5" ht="18" customHeight="1" x14ac:dyDescent="0.2">
      <c r="A11" s="1082" t="s">
        <v>1231</v>
      </c>
      <c r="B11" s="1083"/>
      <c r="C11" s="1083"/>
    </row>
    <row r="12" spans="1:5" x14ac:dyDescent="0.2">
      <c r="A12" s="1082" t="s">
        <v>1230</v>
      </c>
      <c r="B12" s="1083" t="s">
        <v>1229</v>
      </c>
      <c r="C12" s="1083"/>
      <c r="D12" s="1085">
        <f>SUM('Revenues 9-14'!C112:D112,'Revenues 9-14'!F112:G112)</f>
        <v>2227476</v>
      </c>
    </row>
    <row r="13" spans="1:5" x14ac:dyDescent="0.2">
      <c r="A13" s="1082" t="s">
        <v>1228</v>
      </c>
      <c r="B13" s="1083"/>
      <c r="C13" s="1083"/>
    </row>
    <row r="14" spans="1:5" x14ac:dyDescent="0.2">
      <c r="A14" s="1082" t="s">
        <v>2004</v>
      </c>
      <c r="B14" s="1083"/>
      <c r="C14" s="1083"/>
      <c r="D14" s="1085">
        <f>'ICR Computation 30'!E11</f>
        <v>0</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-113729</v>
      </c>
    </row>
    <row r="19" spans="1:4" ht="13.5" thickBot="1" x14ac:dyDescent="0.25">
      <c r="A19" s="1086" t="s">
        <v>1226</v>
      </c>
      <c r="D19" s="1087">
        <f>SUM(D10:D17)</f>
        <v>2481701</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8"/>
      <c r="B24" s="2668"/>
      <c r="D24" s="1089"/>
    </row>
    <row r="25" spans="1:4" x14ac:dyDescent="0.2">
      <c r="A25" s="2665"/>
      <c r="B25" s="2665"/>
      <c r="D25" s="1089"/>
    </row>
    <row r="26" spans="1:4" x14ac:dyDescent="0.2">
      <c r="A26" s="2665"/>
      <c r="B26" s="2665"/>
      <c r="D26" s="1089"/>
    </row>
    <row r="27" spans="1:4" x14ac:dyDescent="0.2">
      <c r="A27" s="2665"/>
      <c r="B27" s="2665"/>
      <c r="D27" s="1089"/>
    </row>
    <row r="28" spans="1:4" x14ac:dyDescent="0.2">
      <c r="A28" s="2665"/>
      <c r="B28" s="2665"/>
      <c r="D28" s="1089"/>
    </row>
    <row r="29" spans="1:4" x14ac:dyDescent="0.2">
      <c r="A29" s="2665"/>
      <c r="B29" s="2665"/>
      <c r="D29" s="1089"/>
    </row>
    <row r="30" spans="1:4" x14ac:dyDescent="0.2">
      <c r="A30" s="2665"/>
      <c r="B30" s="2665"/>
      <c r="D30" s="1089"/>
    </row>
    <row r="32" spans="1:4" x14ac:dyDescent="0.2">
      <c r="A32" s="1081" t="s">
        <v>1224</v>
      </c>
      <c r="D32" s="1084">
        <f>SUM(D19:D30)</f>
        <v>2481701</v>
      </c>
    </row>
    <row r="33" spans="1:4" x14ac:dyDescent="0.2">
      <c r="D33" s="1090"/>
    </row>
    <row r="34" spans="1:4" x14ac:dyDescent="0.2">
      <c r="A34" s="295" t="s">
        <v>1223</v>
      </c>
    </row>
    <row r="35" spans="1:4" x14ac:dyDescent="0.2">
      <c r="A35" s="295" t="s">
        <v>1222</v>
      </c>
      <c r="B35" s="1079" t="s">
        <v>1221</v>
      </c>
      <c r="D35" s="1091">
        <f>+' SEFA'!F27</f>
        <v>2481701</v>
      </c>
    </row>
    <row r="37" spans="1:4" x14ac:dyDescent="0.2">
      <c r="A37" s="1081" t="s">
        <v>1220</v>
      </c>
    </row>
    <row r="39" spans="1:4" ht="13.35" customHeight="1" x14ac:dyDescent="0.2">
      <c r="A39" s="1088" t="s">
        <v>1219</v>
      </c>
    </row>
    <row r="40" spans="1:4" x14ac:dyDescent="0.2">
      <c r="A40" s="2665"/>
      <c r="B40" s="2665"/>
      <c r="D40" s="1089"/>
    </row>
    <row r="41" spans="1:4" x14ac:dyDescent="0.2">
      <c r="A41" s="2665"/>
      <c r="B41" s="2665"/>
      <c r="D41" s="1092"/>
    </row>
    <row r="42" spans="1:4" x14ac:dyDescent="0.2">
      <c r="A42" s="2665"/>
      <c r="B42" s="2665"/>
      <c r="D42" s="1092"/>
    </row>
    <row r="43" spans="1:4" x14ac:dyDescent="0.2">
      <c r="A43" s="2665"/>
      <c r="B43" s="2665"/>
      <c r="D43" s="1092"/>
    </row>
    <row r="44" spans="1:4" x14ac:dyDescent="0.2">
      <c r="A44" s="2665"/>
      <c r="B44" s="2665"/>
      <c r="D44" s="1092"/>
    </row>
    <row r="45" spans="1:4" x14ac:dyDescent="0.2">
      <c r="A45" s="2665"/>
      <c r="B45" s="2665"/>
      <c r="D45" s="1092"/>
    </row>
    <row r="47" spans="1:4" x14ac:dyDescent="0.2">
      <c r="B47" s="1093" t="s">
        <v>1218</v>
      </c>
      <c r="C47" s="1093"/>
      <c r="D47" s="1094">
        <f>SUM(D35:D45)</f>
        <v>2481701</v>
      </c>
    </row>
    <row r="49" spans="2:4" x14ac:dyDescent="0.2">
      <c r="B49" s="1093" t="s">
        <v>1217</v>
      </c>
      <c r="C49" s="1093"/>
      <c r="D49" s="1094">
        <f>D32-D47</f>
        <v>0</v>
      </c>
    </row>
  </sheetData>
  <sheetProtection sheet="1" objects="1" scenarios="1"/>
  <customSheetViews>
    <customSheetView guid="{27400517-D544-41E2-9D13-0D8FC40AA704}" scale="110" showGridLines="0">
      <selection activeCell="G25" sqref="G25"/>
      <pageMargins left="0.75" right="0.75" top="1" bottom="0.5" header="0.5" footer="0.5"/>
      <printOptions horizontalCentered="1"/>
      <pageSetup scale="95" firstPageNumber="37" orientation="portrait" r:id="rId1"/>
      <headerFooter>
        <oddFooter>&amp;C&amp;"Times New Roman,Regular"See Independent Auditor’s Reports
&amp;P</oddFooter>
      </headerFooter>
    </customSheetView>
    <customSheetView guid="{00BB9B19-FC1B-492E-A95E-CC052A0B5070}" scale="110" showGridLines="0">
      <selection activeCell="G25" sqref="G25"/>
      <pageMargins left="0.75" right="0.75" top="1" bottom="0.5" header="0.5" footer="0.5"/>
      <printOptions horizontalCentered="1"/>
      <pageSetup scale="95" firstPageNumber="37" orientation="portrait" r:id="rId2"/>
      <headerFooter>
        <oddFooter>&amp;C&amp;"Times New Roman,Regular"See Independent Auditor’s Reports
&amp;P</oddFooter>
      </headerFooter>
    </customSheetView>
    <customSheetView guid="{DCE9EA22-7307-4505-BC41-9954A9C79245}" scale="110" showGridLines="0">
      <selection activeCell="G25" sqref="G25"/>
      <pageMargins left="0.75" right="0.75" top="1" bottom="0.5" header="0.5" footer="0.5"/>
      <printOptions horizontalCentered="1"/>
      <pageSetup scale="95" firstPageNumber="37" orientation="portrait" r:id="rId3"/>
      <headerFooter>
        <oddFooter>&amp;C&amp;"Times New Roman,Regular"See Independent Auditor’s Reports
&amp;P</oddFoot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75" right="0.75" top="1" bottom="0.5" header="0.5" footer="0.5"/>
  <pageSetup scale="95" firstPageNumber="37" orientation="portrait" r:id="rId4"/>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5" sqref="I15:I16"/>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5" t="str">
        <f>'Single Audit Cover'!A7</f>
        <v xml:space="preserve">   Region III Special Ed Co-op</v>
      </c>
      <c r="C1" s="2670"/>
      <c r="D1" s="2670"/>
      <c r="E1" s="2670"/>
      <c r="F1" s="2670"/>
      <c r="G1" s="2670"/>
      <c r="H1" s="2670"/>
      <c r="I1" s="2670"/>
      <c r="J1" s="2670"/>
      <c r="K1" s="2670"/>
      <c r="L1" s="2670"/>
      <c r="M1" s="2670"/>
    </row>
    <row r="2" spans="2:14" ht="15" x14ac:dyDescent="0.2">
      <c r="B2" s="2671">
        <f>'Single Audit Cover'!E7</f>
        <v>41057801060</v>
      </c>
      <c r="C2" s="2671"/>
      <c r="D2" s="2671"/>
      <c r="E2" s="2671"/>
      <c r="F2" s="2671"/>
      <c r="G2" s="2671"/>
      <c r="H2" s="2671"/>
      <c r="I2" s="2671"/>
      <c r="J2" s="2671"/>
      <c r="K2" s="2671"/>
      <c r="L2" s="2671"/>
      <c r="M2" s="2671"/>
      <c r="N2" s="1123"/>
    </row>
    <row r="3" spans="2:14" ht="15" x14ac:dyDescent="0.2">
      <c r="B3" s="2672" t="s">
        <v>1210</v>
      </c>
      <c r="C3" s="2672"/>
      <c r="D3" s="2672"/>
      <c r="E3" s="2672"/>
      <c r="F3" s="2672"/>
      <c r="G3" s="2672"/>
      <c r="H3" s="2672"/>
      <c r="I3" s="2672"/>
      <c r="J3" s="2672"/>
      <c r="K3" s="2672"/>
      <c r="L3" s="2672"/>
      <c r="M3" s="2672"/>
      <c r="N3" s="1123"/>
    </row>
    <row r="4" spans="2:14" ht="15" x14ac:dyDescent="0.2">
      <c r="B4" s="2673" t="str">
        <f>'Single Audit Cover'!A4</f>
        <v>Year Ending June 30, 2020</v>
      </c>
      <c r="C4" s="2673"/>
      <c r="D4" s="2673"/>
      <c r="E4" s="2673"/>
      <c r="F4" s="2673"/>
      <c r="G4" s="2673"/>
      <c r="H4" s="2673"/>
      <c r="I4" s="2673"/>
      <c r="J4" s="2673"/>
      <c r="K4" s="2673"/>
      <c r="L4" s="2673"/>
      <c r="M4" s="2673"/>
      <c r="N4" s="1123"/>
    </row>
    <row r="5" spans="2:14" x14ac:dyDescent="0.2">
      <c r="H5" s="1984"/>
      <c r="J5" s="1984"/>
    </row>
    <row r="6" spans="2:14" x14ac:dyDescent="0.2">
      <c r="B6" s="1124"/>
      <c r="C6" s="1125"/>
      <c r="D6" s="1126" t="s">
        <v>1256</v>
      </c>
      <c r="E6" s="1127" t="s">
        <v>524</v>
      </c>
      <c r="F6" s="1128"/>
      <c r="G6" s="1129" t="s">
        <v>1711</v>
      </c>
      <c r="H6" s="1127"/>
      <c r="I6" s="1127"/>
      <c r="J6" s="1985"/>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3" t="str">
        <f>"7/1/"&amp;MID('AFR20'!$E$2,3,2)-2&amp;"-6/30/"&amp;MID('AFR20'!$E$2,3,2)-1</f>
        <v>7/1/18-6/30/19</v>
      </c>
      <c r="F9" s="1983" t="str">
        <f>"7/1/"&amp;MID('AFR20'!$E$2,3,2)-1&amp;"-6/30/"&amp;MID('AFR20'!$E$2,3,2)</f>
        <v>7/1/19-6/30/20</v>
      </c>
      <c r="G9" s="1983" t="str">
        <f>"7/1/"&amp;MID('AFR20'!$E$2,3,2)-2&amp;"-6/30/"&amp;MID('AFR20'!$E$2,3,2)-1</f>
        <v>7/1/18-6/30/19</v>
      </c>
      <c r="H9" s="1138" t="s">
        <v>1568</v>
      </c>
      <c r="I9" s="1983"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2068</v>
      </c>
      <c r="C11" s="1879"/>
      <c r="D11" s="1880"/>
      <c r="E11" s="1881"/>
      <c r="F11" s="1881"/>
      <c r="G11" s="1881"/>
      <c r="H11" s="1881"/>
      <c r="I11" s="1881"/>
      <c r="J11" s="1881"/>
      <c r="K11" s="1881"/>
      <c r="L11" s="1881">
        <f>+G11+I11+K11</f>
        <v>0</v>
      </c>
      <c r="M11" s="1881"/>
    </row>
    <row r="12" spans="2:14" ht="20.100000000000001" customHeight="1" x14ac:dyDescent="0.2">
      <c r="B12" s="1158" t="s">
        <v>2069</v>
      </c>
      <c r="C12" s="1882"/>
      <c r="D12" s="1883"/>
      <c r="E12" s="1884"/>
      <c r="F12" s="1884"/>
      <c r="G12" s="1884"/>
      <c r="H12" s="1884"/>
      <c r="I12" s="1884"/>
      <c r="J12" s="1884"/>
      <c r="K12" s="1884"/>
      <c r="L12" s="1881">
        <f t="shared" ref="L12:L26" si="0">+G12+I12+K12</f>
        <v>0</v>
      </c>
      <c r="M12" s="1884"/>
    </row>
    <row r="13" spans="2:14" ht="20.100000000000001" customHeight="1" x14ac:dyDescent="0.2">
      <c r="B13" s="1158" t="s">
        <v>2070</v>
      </c>
      <c r="C13" s="1882" t="s">
        <v>2078</v>
      </c>
      <c r="D13" s="1883" t="s">
        <v>2079</v>
      </c>
      <c r="E13" s="1884">
        <v>114926</v>
      </c>
      <c r="F13" s="1884">
        <v>12380</v>
      </c>
      <c r="G13" s="1884">
        <v>114926</v>
      </c>
      <c r="H13" s="1884">
        <v>114351</v>
      </c>
      <c r="I13" s="1884">
        <v>12380</v>
      </c>
      <c r="J13" s="1884">
        <f>SUM('SEFA NOTES'!D18:F20)</f>
        <v>12024</v>
      </c>
      <c r="K13" s="1884"/>
      <c r="L13" s="1881">
        <f t="shared" si="0"/>
        <v>127306</v>
      </c>
      <c r="M13" s="1884">
        <v>156034</v>
      </c>
    </row>
    <row r="14" spans="2:14" ht="20.100000000000001" customHeight="1" x14ac:dyDescent="0.2">
      <c r="B14" s="1158" t="s">
        <v>2071</v>
      </c>
      <c r="C14" s="1882" t="s">
        <v>2078</v>
      </c>
      <c r="D14" s="1883" t="s">
        <v>2080</v>
      </c>
      <c r="E14" s="1884"/>
      <c r="F14" s="1884">
        <v>120441</v>
      </c>
      <c r="G14" s="1884"/>
      <c r="H14" s="1884"/>
      <c r="I14" s="1884">
        <v>120441</v>
      </c>
      <c r="J14" s="1884">
        <f>SUM('SEFA NOTES'!D23:F27)</f>
        <v>117294</v>
      </c>
      <c r="K14" s="1884"/>
      <c r="L14" s="1881">
        <f t="shared" si="0"/>
        <v>120441</v>
      </c>
      <c r="M14" s="1884">
        <v>168246</v>
      </c>
    </row>
    <row r="15" spans="2:14" ht="20.100000000000001" customHeight="1" x14ac:dyDescent="0.2">
      <c r="B15" s="1158" t="s">
        <v>2072</v>
      </c>
      <c r="C15" s="1882" t="s">
        <v>2081</v>
      </c>
      <c r="D15" s="1883" t="s">
        <v>2082</v>
      </c>
      <c r="E15" s="1884">
        <v>2083491</v>
      </c>
      <c r="F15" s="1884">
        <v>115515</v>
      </c>
      <c r="G15" s="1884">
        <v>2083491</v>
      </c>
      <c r="H15" s="1884">
        <v>2002987</v>
      </c>
      <c r="I15" s="1884">
        <v>115515</v>
      </c>
      <c r="J15" s="1884">
        <f>SUM('SEFA NOTES (2)'!D18:F20)</f>
        <v>102639</v>
      </c>
      <c r="K15" s="1884"/>
      <c r="L15" s="1881">
        <f t="shared" si="0"/>
        <v>2199006</v>
      </c>
      <c r="M15" s="1884">
        <v>2319040</v>
      </c>
    </row>
    <row r="16" spans="2:14" ht="20.100000000000001" customHeight="1" x14ac:dyDescent="0.2">
      <c r="B16" s="1158" t="s">
        <v>2072</v>
      </c>
      <c r="C16" s="1882" t="s">
        <v>2081</v>
      </c>
      <c r="D16" s="1883" t="s">
        <v>2083</v>
      </c>
      <c r="E16" s="1884"/>
      <c r="F16" s="1884">
        <v>2196446</v>
      </c>
      <c r="G16" s="1884"/>
      <c r="H16" s="1884"/>
      <c r="I16" s="1884">
        <v>2196446</v>
      </c>
      <c r="J16" s="1884">
        <f>SUM('SEFA NOTES (2)'!D23:F28)</f>
        <v>2098158</v>
      </c>
      <c r="K16" s="1884"/>
      <c r="L16" s="1881">
        <f t="shared" si="0"/>
        <v>2196446</v>
      </c>
      <c r="M16" s="1884">
        <v>2325374</v>
      </c>
    </row>
    <row r="17" spans="2:14" ht="20.100000000000001" customHeight="1" x14ac:dyDescent="0.2">
      <c r="B17" s="1158" t="s">
        <v>2073</v>
      </c>
      <c r="C17" s="1882"/>
      <c r="D17" s="1883"/>
      <c r="E17" s="1884">
        <f t="shared" ref="E17:J17" si="1">SUM(E13:E16)</f>
        <v>2198417</v>
      </c>
      <c r="F17" s="1884">
        <f t="shared" si="1"/>
        <v>2444782</v>
      </c>
      <c r="G17" s="1884">
        <f t="shared" si="1"/>
        <v>2198417</v>
      </c>
      <c r="H17" s="1884">
        <f t="shared" si="1"/>
        <v>2117338</v>
      </c>
      <c r="I17" s="1884">
        <f t="shared" si="1"/>
        <v>2444782</v>
      </c>
      <c r="J17" s="1884">
        <f t="shared" si="1"/>
        <v>2330115</v>
      </c>
      <c r="K17" s="1884"/>
      <c r="L17" s="1884">
        <f>SUM(L13:L16)</f>
        <v>4643199</v>
      </c>
      <c r="M17" s="1884">
        <f>SUM(M13:M16)</f>
        <v>4968694</v>
      </c>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t="s">
        <v>2074</v>
      </c>
      <c r="C19" s="1882"/>
      <c r="D19" s="1883"/>
      <c r="E19" s="1884"/>
      <c r="F19" s="1884"/>
      <c r="G19" s="1884"/>
      <c r="H19" s="1884"/>
      <c r="I19" s="1884"/>
      <c r="J19" s="1884"/>
      <c r="K19" s="1884"/>
      <c r="L19" s="1881">
        <f t="shared" si="0"/>
        <v>0</v>
      </c>
      <c r="M19" s="1884"/>
    </row>
    <row r="20" spans="2:14" ht="20.100000000000001" customHeight="1" x14ac:dyDescent="0.2">
      <c r="B20" s="1158" t="s">
        <v>2075</v>
      </c>
      <c r="C20" s="1882"/>
      <c r="D20" s="1883"/>
      <c r="E20" s="1884"/>
      <c r="F20" s="1884"/>
      <c r="G20" s="1884"/>
      <c r="H20" s="1884"/>
      <c r="I20" s="1884"/>
      <c r="J20" s="1884"/>
      <c r="K20" s="1884"/>
      <c r="L20" s="1881">
        <f t="shared" si="0"/>
        <v>0</v>
      </c>
      <c r="M20" s="1884"/>
    </row>
    <row r="21" spans="2:14" ht="20.100000000000001" customHeight="1" x14ac:dyDescent="0.2">
      <c r="B21" s="1158" t="s">
        <v>2076</v>
      </c>
      <c r="C21" s="1882">
        <v>93.778000000000006</v>
      </c>
      <c r="D21" s="1883" t="s">
        <v>2084</v>
      </c>
      <c r="E21" s="1884"/>
      <c r="F21" s="1884">
        <v>36919</v>
      </c>
      <c r="G21" s="1884"/>
      <c r="H21" s="1884"/>
      <c r="I21" s="1884">
        <v>36919</v>
      </c>
      <c r="J21" s="1884"/>
      <c r="K21" s="1884"/>
      <c r="L21" s="1881">
        <f t="shared" si="0"/>
        <v>36919</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t="s">
        <v>2077</v>
      </c>
      <c r="C27" s="1882"/>
      <c r="D27" s="1883"/>
      <c r="E27" s="1884">
        <f t="shared" ref="E27:J27" si="2">+E17+E21</f>
        <v>2198417</v>
      </c>
      <c r="F27" s="1884">
        <f t="shared" si="2"/>
        <v>2481701</v>
      </c>
      <c r="G27" s="1884">
        <f t="shared" si="2"/>
        <v>2198417</v>
      </c>
      <c r="H27" s="1884">
        <f t="shared" si="2"/>
        <v>2117338</v>
      </c>
      <c r="I27" s="1884">
        <f t="shared" si="2"/>
        <v>2481701</v>
      </c>
      <c r="J27" s="1884">
        <f t="shared" si="2"/>
        <v>2330115</v>
      </c>
      <c r="K27" s="1884"/>
      <c r="L27" s="1884">
        <f>+L17+L21</f>
        <v>4680118</v>
      </c>
      <c r="M27" s="1884">
        <f>+M17+M21</f>
        <v>4968694</v>
      </c>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27400517-D544-41E2-9D13-0D8FC40AA704}" showGridLines="0">
      <selection activeCell="P38" sqref="P38"/>
      <pageMargins left="0.75" right="0.75" top="0.5" bottom="0.5" header="0.5" footer="0.5"/>
      <printOptions horizontalCentered="1"/>
      <pageSetup scale="74" firstPageNumber="38" orientation="landscape" r:id="rId1"/>
      <headerFooter>
        <oddFooter>&amp;C&amp;"Times New Roman,Regular"See Independent Auditor’s Reports
&amp;P</oddFooter>
      </headerFooter>
    </customSheetView>
    <customSheetView guid="{00BB9B19-FC1B-492E-A95E-CC052A0B5070}" showGridLines="0">
      <selection activeCell="P38" sqref="P38"/>
      <pageMargins left="0.75" right="0.75" top="0.5" bottom="0.5" header="0.5" footer="0.5"/>
      <printOptions horizontalCentered="1"/>
      <pageSetup scale="74" firstPageNumber="38" orientation="landscape" r:id="rId2"/>
      <headerFooter>
        <oddFooter>&amp;C&amp;"Times New Roman,Regular"See Independent Auditor’s Reports
&amp;P</oddFooter>
      </headerFooter>
    </customSheetView>
    <customSheetView guid="{DCE9EA22-7307-4505-BC41-9954A9C79245}" showGridLines="0">
      <selection activeCell="H14" sqref="H14"/>
      <pageMargins left="0.75" right="0.75" top="0.5" bottom="0.5" header="0.5" footer="0.5"/>
      <printOptions horizontalCentered="1"/>
      <pageSetup scale="74" firstPageNumber="38" orientation="landscape" r:id="rId3"/>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5" bottom="0.5" header="0.5" footer="0.5"/>
  <pageSetup scale="74" firstPageNumber="38" orientation="landscape" r:id="rId4"/>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C82F-F5A6-4CA0-A50F-6FD92AF913F5}">
  <dimension ref="B1:N152"/>
  <sheetViews>
    <sheetView showGridLines="0" zoomScaleNormal="100" workbookViewId="0">
      <selection activeCell="B22" sqref="B2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25" t="str">
        <f>'Single Audit Cover'!A7</f>
        <v xml:space="preserve">   Region III Special Ed Co-op</v>
      </c>
      <c r="C1" s="2670"/>
      <c r="D1" s="2670"/>
      <c r="E1" s="2670"/>
      <c r="F1" s="2670"/>
      <c r="G1" s="2670"/>
      <c r="H1" s="2670"/>
      <c r="I1" s="2670"/>
      <c r="J1" s="2670"/>
      <c r="K1" s="2670"/>
      <c r="L1" s="2670"/>
      <c r="M1" s="2670"/>
    </row>
    <row r="2" spans="2:14" ht="15" x14ac:dyDescent="0.2">
      <c r="B2" s="2671">
        <f>'Single Audit Cover'!E7</f>
        <v>41057801060</v>
      </c>
      <c r="C2" s="2671"/>
      <c r="D2" s="2671"/>
      <c r="E2" s="2671"/>
      <c r="F2" s="2671"/>
      <c r="G2" s="2671"/>
      <c r="H2" s="2671"/>
      <c r="I2" s="2671"/>
      <c r="J2" s="2671"/>
      <c r="K2" s="2671"/>
      <c r="L2" s="2671"/>
      <c r="M2" s="2671"/>
      <c r="N2" s="1123"/>
    </row>
    <row r="3" spans="2:14" ht="15" x14ac:dyDescent="0.2">
      <c r="B3" s="2672" t="s">
        <v>1210</v>
      </c>
      <c r="C3" s="2672"/>
      <c r="D3" s="2672"/>
      <c r="E3" s="2672"/>
      <c r="F3" s="2672"/>
      <c r="G3" s="2672"/>
      <c r="H3" s="2672"/>
      <c r="I3" s="2672"/>
      <c r="J3" s="2672"/>
      <c r="K3" s="2672"/>
      <c r="L3" s="2672"/>
      <c r="M3" s="2672"/>
      <c r="N3" s="1123"/>
    </row>
    <row r="4" spans="2:14" ht="15" x14ac:dyDescent="0.2">
      <c r="B4" s="2673" t="str">
        <f>'Single Audit Cover'!A4</f>
        <v>Year Ending June 30, 2020</v>
      </c>
      <c r="C4" s="2673"/>
      <c r="D4" s="2673"/>
      <c r="E4" s="2673"/>
      <c r="F4" s="2673"/>
      <c r="G4" s="2673"/>
      <c r="H4" s="2673"/>
      <c r="I4" s="2673"/>
      <c r="J4" s="2673"/>
      <c r="K4" s="2673"/>
      <c r="L4" s="2673"/>
      <c r="M4" s="2673"/>
      <c r="N4" s="1123"/>
    </row>
    <row r="5" spans="2:14" x14ac:dyDescent="0.2">
      <c r="H5" s="1984"/>
      <c r="J5" s="1984"/>
    </row>
    <row r="6" spans="2:14" x14ac:dyDescent="0.2">
      <c r="B6" s="1124"/>
      <c r="C6" s="1125"/>
      <c r="D6" s="1126" t="s">
        <v>1256</v>
      </c>
      <c r="E6" s="1127" t="s">
        <v>524</v>
      </c>
      <c r="F6" s="1128"/>
      <c r="G6" s="1129" t="s">
        <v>1711</v>
      </c>
      <c r="H6" s="1127"/>
      <c r="I6" s="1127"/>
      <c r="J6" s="1985"/>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3" t="str">
        <f>"7/1/"&amp;MID('AFR20'!$E$2,3,2)-2&amp;"-6/30/"&amp;MID('AFR20'!$E$2,3,2)-1</f>
        <v>7/1/18-6/30/19</v>
      </c>
      <c r="F9" s="1983" t="str">
        <f>"7/1/"&amp;MID('AFR20'!$E$2,3,2)-1&amp;"-6/30/"&amp;MID('AFR20'!$E$2,3,2)</f>
        <v>7/1/19-6/30/20</v>
      </c>
      <c r="G9" s="1983" t="str">
        <f>"7/1/"&amp;MID('AFR20'!$E$2,3,2)-2&amp;"-6/30/"&amp;MID('AFR20'!$E$2,3,2)-1</f>
        <v>7/1/18-6/30/19</v>
      </c>
      <c r="H9" s="1138" t="s">
        <v>1568</v>
      </c>
      <c r="I9" s="1983"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2085</v>
      </c>
      <c r="C11" s="1879"/>
      <c r="D11" s="1880"/>
      <c r="E11" s="1881"/>
      <c r="F11" s="1881"/>
      <c r="G11" s="1881"/>
      <c r="H11" s="1881"/>
      <c r="I11" s="1881"/>
      <c r="J11" s="1881"/>
      <c r="K11" s="1881"/>
      <c r="L11" s="1881">
        <f>+G11+I11+K11</f>
        <v>0</v>
      </c>
      <c r="M11" s="1881"/>
    </row>
    <row r="12" spans="2:14" ht="20.100000000000001" customHeight="1" x14ac:dyDescent="0.2">
      <c r="B12" s="1158" t="s">
        <v>2086</v>
      </c>
      <c r="C12" s="1882"/>
      <c r="D12" s="1883"/>
      <c r="E12" s="1884">
        <f>+' SEFA'!E13+' SEFA'!E14</f>
        <v>114926</v>
      </c>
      <c r="F12" s="1884">
        <f>+' SEFA'!F13+' SEFA'!F14</f>
        <v>132821</v>
      </c>
      <c r="G12" s="1884">
        <f>+' SEFA'!G13+' SEFA'!G14</f>
        <v>114926</v>
      </c>
      <c r="H12" s="1884">
        <f>+' SEFA'!H13+' SEFA'!H14</f>
        <v>114351</v>
      </c>
      <c r="I12" s="1884">
        <f>+' SEFA'!I13+' SEFA'!I14</f>
        <v>132821</v>
      </c>
      <c r="J12" s="1884">
        <f>+' SEFA'!J13+' SEFA'!J14</f>
        <v>129318</v>
      </c>
      <c r="K12" s="1884">
        <f>+' SEFA'!K13+' SEFA'!K14</f>
        <v>0</v>
      </c>
      <c r="L12" s="1884">
        <f>+' SEFA'!L13+' SEFA'!L14</f>
        <v>247747</v>
      </c>
      <c r="M12" s="1884">
        <f>+' SEFA'!M13+' SEFA'!M14</f>
        <v>324280</v>
      </c>
    </row>
    <row r="13" spans="2:14" ht="20.100000000000001" customHeight="1" x14ac:dyDescent="0.2">
      <c r="B13" s="1158" t="s">
        <v>2087</v>
      </c>
      <c r="C13" s="1882"/>
      <c r="D13" s="1883"/>
      <c r="E13" s="1884">
        <f>+' SEFA'!E15+' SEFA'!E16</f>
        <v>2083491</v>
      </c>
      <c r="F13" s="1884">
        <f>+' SEFA'!F15+' SEFA'!F16</f>
        <v>2311961</v>
      </c>
      <c r="G13" s="1884">
        <f>+' SEFA'!G15+' SEFA'!G16</f>
        <v>2083491</v>
      </c>
      <c r="H13" s="1884">
        <f>+' SEFA'!H15+' SEFA'!H16</f>
        <v>2002987</v>
      </c>
      <c r="I13" s="1884">
        <f>+' SEFA'!I15+' SEFA'!I16</f>
        <v>2311961</v>
      </c>
      <c r="J13" s="1884">
        <f>+' SEFA'!J15+' SEFA'!J16</f>
        <v>2200797</v>
      </c>
      <c r="K13" s="1884">
        <f>+' SEFA'!K15+' SEFA'!K16</f>
        <v>0</v>
      </c>
      <c r="L13" s="1884">
        <f>+' SEFA'!L15+' SEFA'!L16</f>
        <v>4395452</v>
      </c>
      <c r="M13" s="1884">
        <f>+' SEFA'!M15+' SEFA'!M16</f>
        <v>4644414</v>
      </c>
    </row>
    <row r="14" spans="2:14" ht="20.100000000000001" customHeight="1" x14ac:dyDescent="0.2">
      <c r="B14" s="1158" t="s">
        <v>2088</v>
      </c>
      <c r="C14" s="1882"/>
      <c r="D14" s="1883"/>
      <c r="E14" s="1884">
        <f>+' SEFA'!E21</f>
        <v>0</v>
      </c>
      <c r="F14" s="1884">
        <f>+' SEFA'!F21</f>
        <v>36919</v>
      </c>
      <c r="G14" s="1884">
        <f>+' SEFA'!G21</f>
        <v>0</v>
      </c>
      <c r="H14" s="1884">
        <f>+' SEFA'!H21</f>
        <v>0</v>
      </c>
      <c r="I14" s="1884">
        <f>+' SEFA'!I21</f>
        <v>36919</v>
      </c>
      <c r="J14" s="1884">
        <f>+' SEFA'!J21</f>
        <v>0</v>
      </c>
      <c r="K14" s="1884">
        <f>+' SEFA'!K21</f>
        <v>0</v>
      </c>
      <c r="L14" s="1884">
        <f>+' SEFA'!L21</f>
        <v>36919</v>
      </c>
      <c r="M14" s="1884">
        <f>+' SEFA'!M21</f>
        <v>0</v>
      </c>
    </row>
    <row r="15" spans="2:14" ht="20.100000000000001" customHeight="1" x14ac:dyDescent="0.2">
      <c r="B15" s="1158"/>
      <c r="C15" s="1882"/>
      <c r="D15" s="1883"/>
      <c r="E15" s="1884"/>
      <c r="F15" s="1884"/>
      <c r="G15" s="1884"/>
      <c r="H15" s="1884"/>
      <c r="I15" s="1884"/>
      <c r="J15" s="1884"/>
      <c r="K15" s="1884"/>
      <c r="L15" s="1884"/>
      <c r="M15" s="1884"/>
    </row>
    <row r="16" spans="2:14" ht="20.100000000000001" customHeight="1" x14ac:dyDescent="0.2">
      <c r="B16" s="1158" t="s">
        <v>2089</v>
      </c>
      <c r="C16" s="1882"/>
      <c r="D16" s="1883"/>
      <c r="E16" s="1884">
        <f t="shared" ref="E16:M16" si="0">SUM(E12:E15)</f>
        <v>2198417</v>
      </c>
      <c r="F16" s="1884">
        <f t="shared" si="0"/>
        <v>2481701</v>
      </c>
      <c r="G16" s="1884">
        <f t="shared" si="0"/>
        <v>2198417</v>
      </c>
      <c r="H16" s="1884">
        <f t="shared" si="0"/>
        <v>2117338</v>
      </c>
      <c r="I16" s="1884">
        <f t="shared" si="0"/>
        <v>2481701</v>
      </c>
      <c r="J16" s="1884">
        <f t="shared" si="0"/>
        <v>2330115</v>
      </c>
      <c r="K16" s="1884">
        <f t="shared" si="0"/>
        <v>0</v>
      </c>
      <c r="L16" s="1884">
        <f t="shared" si="0"/>
        <v>4680118</v>
      </c>
      <c r="M16" s="1884">
        <f t="shared" si="0"/>
        <v>4968694</v>
      </c>
    </row>
    <row r="17" spans="2:14" ht="20.100000000000001" customHeight="1" x14ac:dyDescent="0.2">
      <c r="B17" s="1158"/>
      <c r="C17" s="1882"/>
      <c r="D17" s="1883"/>
      <c r="E17" s="1884"/>
      <c r="F17" s="1884"/>
      <c r="G17" s="1884"/>
      <c r="H17" s="1884"/>
      <c r="I17" s="1884"/>
      <c r="J17" s="1884"/>
      <c r="K17" s="1884"/>
      <c r="L17" s="1881">
        <f t="shared" ref="L17:L27" si="1">+G17+I17+K17</f>
        <v>0</v>
      </c>
      <c r="M17" s="1884"/>
    </row>
    <row r="18" spans="2:14" ht="20.100000000000001" customHeight="1" x14ac:dyDescent="0.2">
      <c r="B18" s="1158"/>
      <c r="C18" s="1882"/>
      <c r="D18" s="1883"/>
      <c r="E18" s="1884"/>
      <c r="F18" s="1884"/>
      <c r="G18" s="1884"/>
      <c r="H18" s="1884"/>
      <c r="I18" s="1884"/>
      <c r="J18" s="1884"/>
      <c r="K18" s="1884"/>
      <c r="L18" s="1881">
        <f t="shared" si="1"/>
        <v>0</v>
      </c>
      <c r="M18" s="1884"/>
    </row>
    <row r="19" spans="2:14" ht="20.100000000000001" customHeight="1" x14ac:dyDescent="0.2">
      <c r="B19" s="1158"/>
      <c r="C19" s="1882"/>
      <c r="D19" s="1883"/>
      <c r="E19" s="1884"/>
      <c r="F19" s="1884"/>
      <c r="G19" s="1884"/>
      <c r="H19" s="1884"/>
      <c r="I19" s="1884"/>
      <c r="J19" s="1884"/>
      <c r="K19" s="1884"/>
      <c r="L19" s="1881">
        <f t="shared" si="1"/>
        <v>0</v>
      </c>
      <c r="M19" s="1884"/>
    </row>
    <row r="20" spans="2:14" ht="20.100000000000001" customHeight="1" x14ac:dyDescent="0.2">
      <c r="B20" s="1158" t="s">
        <v>2090</v>
      </c>
      <c r="C20" s="1882"/>
      <c r="D20" s="1883"/>
      <c r="E20" s="1884"/>
      <c r="F20" s="1884"/>
      <c r="G20" s="1884"/>
      <c r="H20" s="1884"/>
      <c r="I20" s="1884"/>
      <c r="J20" s="1884"/>
      <c r="K20" s="1884"/>
      <c r="L20" s="1881">
        <f t="shared" si="1"/>
        <v>0</v>
      </c>
      <c r="M20" s="1884"/>
    </row>
    <row r="21" spans="2:14" ht="20.100000000000001" customHeight="1" x14ac:dyDescent="0.2">
      <c r="B21" s="1158" t="s">
        <v>2091</v>
      </c>
      <c r="C21" s="1882"/>
      <c r="D21" s="1883"/>
      <c r="E21" s="1884">
        <f t="shared" ref="E21:M21" si="2">+E12+E13</f>
        <v>2198417</v>
      </c>
      <c r="F21" s="1884">
        <f t="shared" si="2"/>
        <v>2444782</v>
      </c>
      <c r="G21" s="1884">
        <f t="shared" si="2"/>
        <v>2198417</v>
      </c>
      <c r="H21" s="1884">
        <f t="shared" si="2"/>
        <v>2117338</v>
      </c>
      <c r="I21" s="1884">
        <f t="shared" si="2"/>
        <v>2444782</v>
      </c>
      <c r="J21" s="1884">
        <f t="shared" si="2"/>
        <v>2330115</v>
      </c>
      <c r="K21" s="1884">
        <f t="shared" si="2"/>
        <v>0</v>
      </c>
      <c r="L21" s="1884">
        <f t="shared" si="2"/>
        <v>4643199</v>
      </c>
      <c r="M21" s="1884">
        <f t="shared" si="2"/>
        <v>4968694</v>
      </c>
    </row>
    <row r="22" spans="2:14" ht="20.100000000000001" customHeight="1" x14ac:dyDescent="0.2">
      <c r="B22" s="1158"/>
      <c r="C22" s="1882"/>
      <c r="D22" s="1883"/>
      <c r="E22" s="1884"/>
      <c r="F22" s="1884"/>
      <c r="G22" s="1884"/>
      <c r="H22" s="1884"/>
      <c r="I22" s="1884"/>
      <c r="J22" s="1884"/>
      <c r="K22" s="1884"/>
      <c r="L22" s="1881">
        <f t="shared" si="1"/>
        <v>0</v>
      </c>
      <c r="M22" s="1884"/>
    </row>
    <row r="23" spans="2:14" ht="20.100000000000001" customHeight="1" x14ac:dyDescent="0.2">
      <c r="B23" s="1158"/>
      <c r="C23" s="1882"/>
      <c r="D23" s="1883"/>
      <c r="E23" s="1884"/>
      <c r="F23" s="1884"/>
      <c r="G23" s="1884"/>
      <c r="H23" s="1884"/>
      <c r="I23" s="1884"/>
      <c r="J23" s="1884"/>
      <c r="K23" s="1884"/>
      <c r="L23" s="1881">
        <f t="shared" si="1"/>
        <v>0</v>
      </c>
      <c r="M23" s="1884"/>
    </row>
    <row r="24" spans="2:14" ht="20.100000000000001" customHeight="1" x14ac:dyDescent="0.2">
      <c r="B24" s="1158"/>
      <c r="C24" s="1882"/>
      <c r="D24" s="1883"/>
      <c r="E24" s="1884"/>
      <c r="F24" s="1884"/>
      <c r="G24" s="1884"/>
      <c r="H24" s="1884"/>
      <c r="I24" s="1884"/>
      <c r="J24" s="1884"/>
      <c r="K24" s="1884"/>
      <c r="L24" s="1881">
        <f t="shared" si="1"/>
        <v>0</v>
      </c>
      <c r="M24" s="1884"/>
    </row>
    <row r="25" spans="2:14" ht="20.100000000000001" customHeight="1" x14ac:dyDescent="0.2">
      <c r="B25" s="1158"/>
      <c r="C25" s="1882"/>
      <c r="D25" s="1883"/>
      <c r="E25" s="1884"/>
      <c r="F25" s="1884"/>
      <c r="G25" s="1884"/>
      <c r="H25" s="1884"/>
      <c r="I25" s="1884"/>
      <c r="J25" s="1884"/>
      <c r="K25" s="1884"/>
      <c r="L25" s="1881">
        <f t="shared" si="1"/>
        <v>0</v>
      </c>
      <c r="M25" s="1884"/>
    </row>
    <row r="26" spans="2:14" ht="20.100000000000001" customHeight="1" x14ac:dyDescent="0.2">
      <c r="B26" s="1158"/>
      <c r="C26" s="1882"/>
      <c r="D26" s="1883"/>
      <c r="E26" s="1884"/>
      <c r="F26" s="1884"/>
      <c r="G26" s="1884"/>
      <c r="H26" s="1884"/>
      <c r="I26" s="1884"/>
      <c r="J26" s="1884"/>
      <c r="K26" s="1884"/>
      <c r="L26" s="1881">
        <f t="shared" si="1"/>
        <v>0</v>
      </c>
      <c r="M26" s="1884"/>
    </row>
    <row r="27" spans="2:14" ht="20.100000000000001" customHeight="1" x14ac:dyDescent="0.2">
      <c r="B27" s="1158"/>
      <c r="C27" s="1882"/>
      <c r="D27" s="1883"/>
      <c r="E27" s="1884"/>
      <c r="F27" s="1884"/>
      <c r="G27" s="1884"/>
      <c r="H27" s="1884"/>
      <c r="I27" s="1884"/>
      <c r="J27" s="1884"/>
      <c r="K27" s="1884"/>
      <c r="L27" s="1881">
        <f t="shared" si="1"/>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5" bottom="0.5" header="0.5" footer="0.5"/>
  <pageSetup scale="74"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topLeftCell="A16" zoomScale="120" zoomScaleNormal="120" workbookViewId="0">
      <selection activeCell="I25" sqref="I25"/>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Region III Special Ed Co-op</v>
      </c>
      <c r="B1" s="2675"/>
      <c r="C1" s="2675"/>
      <c r="D1" s="2675"/>
      <c r="E1" s="2675"/>
      <c r="F1" s="2675"/>
    </row>
    <row r="2" spans="1:7" ht="13.5" customHeight="1" x14ac:dyDescent="0.2">
      <c r="A2" s="2671">
        <f>'Single Audit Cover'!E7</f>
        <v>41057801060</v>
      </c>
      <c r="B2" s="2671"/>
      <c r="C2" s="2671"/>
      <c r="D2" s="2671"/>
      <c r="E2" s="2671"/>
      <c r="F2" s="2671"/>
      <c r="G2" s="1096"/>
    </row>
    <row r="3" spans="1:7" ht="15.75" customHeight="1" x14ac:dyDescent="0.2">
      <c r="A3" s="2676" t="s">
        <v>1262</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1708</v>
      </c>
      <c r="C6" s="295"/>
      <c r="D6" s="295"/>
    </row>
    <row r="7" spans="1:7" ht="60.95" customHeight="1" x14ac:dyDescent="0.2">
      <c r="A7" s="2674" t="s">
        <v>2092</v>
      </c>
      <c r="B7" s="2674"/>
      <c r="C7" s="2674"/>
      <c r="D7" s="2674"/>
      <c r="E7" s="2674"/>
      <c r="F7" s="2674"/>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2018</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24.75" customHeight="1" x14ac:dyDescent="0.2">
      <c r="A13" s="2674" t="s">
        <v>2093</v>
      </c>
      <c r="B13" s="2674"/>
      <c r="C13" s="2674"/>
      <c r="D13" s="2674"/>
      <c r="E13" s="2674"/>
      <c r="F13" s="2674"/>
    </row>
    <row r="14" spans="1:7" ht="9.75" customHeight="1" x14ac:dyDescent="0.2">
      <c r="C14" s="1081"/>
      <c r="D14" s="1081"/>
    </row>
    <row r="15" spans="1:7" ht="13.5" customHeight="1" x14ac:dyDescent="0.2">
      <c r="C15" s="1525" t="s">
        <v>1261</v>
      </c>
      <c r="D15" s="2679" t="s">
        <v>1260</v>
      </c>
      <c r="E15" s="2679"/>
      <c r="F15" s="2679"/>
    </row>
    <row r="16" spans="1:7" ht="13.5" customHeight="1" x14ac:dyDescent="0.2">
      <c r="A16" s="1103"/>
      <c r="B16" s="1097" t="s">
        <v>1259</v>
      </c>
      <c r="C16" s="1525" t="s">
        <v>1258</v>
      </c>
      <c r="D16" s="2680" t="s">
        <v>1574</v>
      </c>
      <c r="E16" s="2680"/>
      <c r="F16" s="2680"/>
    </row>
    <row r="17" spans="1:6" ht="20.45" customHeight="1" x14ac:dyDescent="0.2">
      <c r="A17" s="1104" t="s">
        <v>2100</v>
      </c>
      <c r="B17" s="1105"/>
      <c r="C17" s="1106"/>
      <c r="D17" s="2678"/>
      <c r="E17" s="2678"/>
      <c r="F17" s="2678"/>
    </row>
    <row r="18" spans="1:6" ht="20.65" customHeight="1" x14ac:dyDescent="0.2">
      <c r="A18" s="1104"/>
      <c r="B18" s="1105" t="s">
        <v>2101</v>
      </c>
      <c r="C18" s="1106" t="s">
        <v>2078</v>
      </c>
      <c r="D18" s="2678">
        <v>3495</v>
      </c>
      <c r="E18" s="2678"/>
      <c r="F18" s="2678"/>
    </row>
    <row r="19" spans="1:6" ht="20.65" customHeight="1" x14ac:dyDescent="0.2">
      <c r="A19" s="1104"/>
      <c r="B19" s="1105" t="s">
        <v>2106</v>
      </c>
      <c r="C19" s="1106" t="s">
        <v>2078</v>
      </c>
      <c r="D19" s="2678">
        <v>3325</v>
      </c>
      <c r="E19" s="2678"/>
      <c r="F19" s="2678"/>
    </row>
    <row r="20" spans="1:6" ht="20.65" customHeight="1" x14ac:dyDescent="0.2">
      <c r="A20" s="1104"/>
      <c r="B20" s="1105" t="s">
        <v>2104</v>
      </c>
      <c r="C20" s="1106" t="s">
        <v>2078</v>
      </c>
      <c r="D20" s="2678">
        <v>5204</v>
      </c>
      <c r="E20" s="2678"/>
      <c r="F20" s="2678"/>
    </row>
    <row r="21" spans="1:6" ht="20.65" customHeight="1" x14ac:dyDescent="0.2">
      <c r="A21" s="1104"/>
      <c r="B21" s="1105"/>
      <c r="C21" s="1106"/>
      <c r="D21" s="2678"/>
      <c r="E21" s="2678"/>
      <c r="F21" s="2678"/>
    </row>
    <row r="22" spans="1:6" ht="20.65" customHeight="1" x14ac:dyDescent="0.2">
      <c r="A22" s="1104" t="s">
        <v>2102</v>
      </c>
      <c r="B22" s="1105"/>
      <c r="C22" s="1106"/>
      <c r="D22" s="2678"/>
      <c r="E22" s="2678"/>
      <c r="F22" s="2678"/>
    </row>
    <row r="23" spans="1:6" ht="20.65" customHeight="1" x14ac:dyDescent="0.2">
      <c r="A23" s="1104"/>
      <c r="B23" s="1105" t="s">
        <v>2103</v>
      </c>
      <c r="C23" s="1106" t="s">
        <v>2078</v>
      </c>
      <c r="D23" s="2678">
        <v>33532</v>
      </c>
      <c r="E23" s="2678"/>
      <c r="F23" s="2678"/>
    </row>
    <row r="24" spans="1:6" ht="20.65" customHeight="1" x14ac:dyDescent="0.2">
      <c r="A24" s="1104"/>
      <c r="B24" s="1105" t="s">
        <v>2101</v>
      </c>
      <c r="C24" s="1106" t="s">
        <v>2078</v>
      </c>
      <c r="D24" s="2678">
        <v>33720</v>
      </c>
      <c r="E24" s="2678"/>
      <c r="F24" s="2678"/>
    </row>
    <row r="25" spans="1:6" ht="20.65" customHeight="1" x14ac:dyDescent="0.2">
      <c r="A25" s="1104"/>
      <c r="B25" s="1105" t="s">
        <v>2104</v>
      </c>
      <c r="C25" s="1106" t="s">
        <v>2078</v>
      </c>
      <c r="D25" s="2678">
        <v>18235</v>
      </c>
      <c r="E25" s="2678"/>
      <c r="F25" s="2678"/>
    </row>
    <row r="26" spans="1:6" ht="20.65" customHeight="1" x14ac:dyDescent="0.2">
      <c r="A26" s="1104"/>
      <c r="B26" s="1105" t="s">
        <v>2105</v>
      </c>
      <c r="C26" s="1106" t="s">
        <v>2078</v>
      </c>
      <c r="D26" s="2678">
        <v>11992</v>
      </c>
      <c r="E26" s="2678"/>
      <c r="F26" s="2678"/>
    </row>
    <row r="27" spans="1:6" ht="20.65" customHeight="1" x14ac:dyDescent="0.2">
      <c r="A27" s="1104"/>
      <c r="B27" s="1105" t="s">
        <v>2106</v>
      </c>
      <c r="C27" s="1106" t="s">
        <v>2078</v>
      </c>
      <c r="D27" s="2678">
        <v>19815</v>
      </c>
      <c r="E27" s="2678"/>
      <c r="F27" s="2678"/>
    </row>
    <row r="28" spans="1:6" ht="20.65" customHeight="1" x14ac:dyDescent="0.2">
      <c r="A28" s="1104"/>
      <c r="B28" s="1105"/>
      <c r="C28" s="1106"/>
      <c r="D28" s="2678"/>
      <c r="E28" s="2678"/>
      <c r="F28" s="2678"/>
    </row>
    <row r="29" spans="1:6" ht="20.65" customHeight="1" x14ac:dyDescent="0.2">
      <c r="A29" s="1104"/>
      <c r="B29" s="1105"/>
      <c r="C29" s="1106"/>
      <c r="D29" s="2678"/>
      <c r="E29" s="2678"/>
      <c r="F29" s="2678"/>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82" t="s">
        <v>2094</v>
      </c>
      <c r="B32" s="2682"/>
      <c r="C32" s="2682"/>
      <c r="D32" s="2682"/>
      <c r="E32" s="2682"/>
      <c r="F32" s="2682"/>
    </row>
    <row r="33" spans="1:6" ht="13.5" customHeight="1" x14ac:dyDescent="0.2">
      <c r="A33" s="306" t="s">
        <v>1420</v>
      </c>
      <c r="B33" s="306"/>
      <c r="C33" s="1109">
        <v>0</v>
      </c>
      <c r="D33" s="1576"/>
      <c r="E33" s="1107"/>
    </row>
    <row r="34" spans="1:6" ht="13.5" customHeight="1" x14ac:dyDescent="0.2">
      <c r="A34" s="306" t="s">
        <v>1811</v>
      </c>
      <c r="B34" s="306"/>
      <c r="C34" s="1110">
        <v>0</v>
      </c>
      <c r="D34" s="1576" t="s">
        <v>1575</v>
      </c>
      <c r="E34" s="2683">
        <f>+C33+C34</f>
        <v>0</v>
      </c>
      <c r="F34" s="2684"/>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99</v>
      </c>
      <c r="D38" s="1576"/>
      <c r="E38" s="1107"/>
    </row>
    <row r="39" spans="1:6" ht="14.25" customHeight="1" x14ac:dyDescent="0.2">
      <c r="A39" s="306"/>
      <c r="B39" s="306" t="s">
        <v>1422</v>
      </c>
      <c r="C39" s="1113" t="s">
        <v>99</v>
      </c>
      <c r="D39" s="1576"/>
      <c r="E39" s="1107"/>
    </row>
    <row r="40" spans="1:6" ht="14.25" customHeight="1" x14ac:dyDescent="0.2">
      <c r="A40" s="306"/>
      <c r="B40" s="306" t="s">
        <v>1423</v>
      </c>
      <c r="C40" s="1113" t="s">
        <v>99</v>
      </c>
      <c r="D40" s="1576"/>
      <c r="E40" s="1107"/>
    </row>
    <row r="41" spans="1:6" ht="14.25" customHeight="1" x14ac:dyDescent="0.2">
      <c r="A41" s="306"/>
      <c r="B41" s="306" t="s">
        <v>1424</v>
      </c>
      <c r="C41" s="1113" t="s">
        <v>99</v>
      </c>
      <c r="D41" s="1576"/>
      <c r="E41" s="1107"/>
    </row>
    <row r="42" spans="1:6" ht="14.25" customHeight="1" x14ac:dyDescent="0.2">
      <c r="A42" s="306" t="s">
        <v>1425</v>
      </c>
      <c r="B42" s="306"/>
      <c r="C42" s="1574" t="s">
        <v>99</v>
      </c>
      <c r="D42" s="1576"/>
      <c r="E42" s="1107"/>
    </row>
    <row r="43" spans="1:6" ht="14.25" customHeight="1" x14ac:dyDescent="0.2">
      <c r="A43" s="306" t="s">
        <v>1426</v>
      </c>
      <c r="B43" s="306"/>
      <c r="C43" s="1114" t="s">
        <v>99</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5" t="s">
        <v>1576</v>
      </c>
      <c r="C49" s="2685"/>
      <c r="D49" s="2685"/>
      <c r="E49" s="1213"/>
    </row>
    <row r="50" spans="1:5" s="1121" customFormat="1" ht="3.75" customHeight="1" x14ac:dyDescent="0.2">
      <c r="A50" s="1120"/>
      <c r="B50" s="1524"/>
      <c r="C50" s="1524"/>
      <c r="D50" s="1524"/>
      <c r="E50" s="1213"/>
    </row>
    <row r="51" spans="1:5" s="1121" customFormat="1" ht="20.25" customHeight="1" x14ac:dyDescent="0.2">
      <c r="A51" s="1122">
        <v>6</v>
      </c>
      <c r="B51" s="2681" t="s">
        <v>1537</v>
      </c>
      <c r="C51" s="2681"/>
      <c r="D51" s="2681"/>
    </row>
    <row r="52" spans="1:5" ht="14.25" customHeight="1" x14ac:dyDescent="0.2">
      <c r="A52" s="1122"/>
      <c r="B52" s="2681"/>
      <c r="C52" s="2681"/>
      <c r="D52" s="2681"/>
    </row>
  </sheetData>
  <customSheetViews>
    <customSheetView guid="{27400517-D544-41E2-9D13-0D8FC40AA704}" scale="120" showGridLines="0" topLeftCell="A25">
      <selection activeCell="K17" sqref="K17"/>
      <pageMargins left="0.75" right="0.75" top="0.75" bottom="0.5" header="0.5" footer="0.5"/>
      <printOptions horizontalCentered="1"/>
      <pageSetup scale="80" firstPageNumber="39" orientation="portrait" r:id="rId1"/>
      <headerFooter>
        <oddFooter>&amp;C&amp;"Times New Roman,Regular"See Independent Auditor’s Reports
&amp;P</oddFooter>
      </headerFooter>
    </customSheetView>
    <customSheetView guid="{00BB9B19-FC1B-492E-A95E-CC052A0B5070}" scale="120" showGridLines="0" topLeftCell="A25">
      <selection activeCell="K17" sqref="K17"/>
      <pageMargins left="0.75" right="0.75" top="0.75" bottom="0.5" header="0.5" footer="0.5"/>
      <printOptions horizontalCentered="1"/>
      <pageSetup scale="80" firstPageNumber="39" orientation="portrait" r:id="rId2"/>
      <headerFooter>
        <oddFooter>&amp;C&amp;"Times New Roman,Regular"See Independent Auditor’s Reports
&amp;P</oddFooter>
      </headerFooter>
    </customSheetView>
    <customSheetView guid="{DCE9EA22-7307-4505-BC41-9954A9C79245}" scale="120" showGridLines="0" topLeftCell="A25">
      <selection activeCell="K17" sqref="K17"/>
      <pageMargins left="0.75" right="0.75" top="0.75" bottom="0.5" header="0.5" footer="0.5"/>
      <printOptions horizontalCentered="1"/>
      <pageSetup scale="80" firstPageNumber="39" orientation="portrait" r:id="rId3"/>
      <headerFooter>
        <oddFooter>&amp;C&amp;"Times New Roman,Regular"See Independent Auditor’s Reports
&amp;P</oddFoot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75" right="0.75" top="0.75" bottom="0.5" header="0.5" footer="0.5"/>
  <pageSetup scale="80" firstPageNumber="71" orientation="portrait" r:id="rId4"/>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7C3F-BD88-4970-BC7F-05D7214CD407}">
  <dimension ref="A1:G52"/>
  <sheetViews>
    <sheetView showGridLines="0" topLeftCell="A10" zoomScale="120" zoomScaleNormal="120" workbookViewId="0">
      <selection activeCell="H24" sqref="H2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Region III Special Ed Co-op</v>
      </c>
      <c r="B1" s="2675"/>
      <c r="C1" s="2675"/>
      <c r="D1" s="2675"/>
      <c r="E1" s="2675"/>
      <c r="F1" s="2675"/>
    </row>
    <row r="2" spans="1:7" ht="13.5" customHeight="1" x14ac:dyDescent="0.2">
      <c r="A2" s="2671">
        <f>'Single Audit Cover'!E7</f>
        <v>41057801060</v>
      </c>
      <c r="B2" s="2671"/>
      <c r="C2" s="2671"/>
      <c r="D2" s="2671"/>
      <c r="E2" s="2671"/>
      <c r="F2" s="2671"/>
      <c r="G2" s="1096"/>
    </row>
    <row r="3" spans="1:7" ht="15.75" customHeight="1" x14ac:dyDescent="0.2">
      <c r="A3" s="2676" t="s">
        <v>1262</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1708</v>
      </c>
      <c r="C6" s="295"/>
      <c r="D6" s="295"/>
    </row>
    <row r="7" spans="1:7" ht="60.95" customHeight="1" x14ac:dyDescent="0.2">
      <c r="A7" s="2674" t="s">
        <v>2092</v>
      </c>
      <c r="B7" s="2674"/>
      <c r="C7" s="2674"/>
      <c r="D7" s="2674"/>
      <c r="E7" s="2674"/>
      <c r="F7" s="2674"/>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2018</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24.75" customHeight="1" x14ac:dyDescent="0.2">
      <c r="A13" s="2674" t="s">
        <v>2093</v>
      </c>
      <c r="B13" s="2674"/>
      <c r="C13" s="2674"/>
      <c r="D13" s="2674"/>
      <c r="E13" s="2674"/>
      <c r="F13" s="2674"/>
    </row>
    <row r="14" spans="1:7" ht="9.75" customHeight="1" x14ac:dyDescent="0.2">
      <c r="C14" s="1081"/>
      <c r="D14" s="1081"/>
    </row>
    <row r="15" spans="1:7" ht="13.5" customHeight="1" x14ac:dyDescent="0.2">
      <c r="C15" s="2104" t="s">
        <v>1261</v>
      </c>
      <c r="D15" s="2679" t="s">
        <v>1260</v>
      </c>
      <c r="E15" s="2679"/>
      <c r="F15" s="2679"/>
    </row>
    <row r="16" spans="1:7" ht="13.5" customHeight="1" x14ac:dyDescent="0.2">
      <c r="A16" s="1103"/>
      <c r="B16" s="1097" t="s">
        <v>1259</v>
      </c>
      <c r="C16" s="2104" t="s">
        <v>1258</v>
      </c>
      <c r="D16" s="2680" t="s">
        <v>1574</v>
      </c>
      <c r="E16" s="2680"/>
      <c r="F16" s="2680"/>
    </row>
    <row r="17" spans="1:6" ht="20.45" customHeight="1" x14ac:dyDescent="0.2">
      <c r="A17" s="1104" t="s">
        <v>2107</v>
      </c>
      <c r="B17" s="1105"/>
      <c r="C17" s="1106"/>
      <c r="D17" s="2678"/>
      <c r="E17" s="2678"/>
      <c r="F17" s="2678"/>
    </row>
    <row r="18" spans="1:6" ht="20.65" customHeight="1" x14ac:dyDescent="0.2">
      <c r="A18" s="1104"/>
      <c r="B18" s="1105" t="s">
        <v>2101</v>
      </c>
      <c r="C18" s="1106" t="s">
        <v>2081</v>
      </c>
      <c r="D18" s="2678">
        <v>20696</v>
      </c>
      <c r="E18" s="2678"/>
      <c r="F18" s="2678"/>
    </row>
    <row r="19" spans="1:6" ht="20.65" customHeight="1" x14ac:dyDescent="0.2">
      <c r="A19" s="1104"/>
      <c r="B19" s="1105" t="s">
        <v>2106</v>
      </c>
      <c r="C19" s="1106" t="s">
        <v>2081</v>
      </c>
      <c r="D19" s="2678">
        <v>24608</v>
      </c>
      <c r="E19" s="2678"/>
      <c r="F19" s="2678"/>
    </row>
    <row r="20" spans="1:6" ht="20.65" customHeight="1" x14ac:dyDescent="0.2">
      <c r="A20" s="1104"/>
      <c r="B20" s="1105" t="s">
        <v>2104</v>
      </c>
      <c r="C20" s="1106" t="s">
        <v>2081</v>
      </c>
      <c r="D20" s="2678">
        <v>57335</v>
      </c>
      <c r="E20" s="2678"/>
      <c r="F20" s="2678"/>
    </row>
    <row r="21" spans="1:6" ht="20.65" customHeight="1" x14ac:dyDescent="0.2">
      <c r="A21" s="1104"/>
      <c r="B21" s="1105"/>
      <c r="C21" s="1106"/>
      <c r="D21" s="2678"/>
      <c r="E21" s="2678"/>
      <c r="F21" s="2678"/>
    </row>
    <row r="22" spans="1:6" ht="20.65" customHeight="1" x14ac:dyDescent="0.2">
      <c r="A22" s="1104" t="s">
        <v>2108</v>
      </c>
      <c r="B22" s="1105"/>
      <c r="C22" s="1106"/>
      <c r="D22" s="2678"/>
      <c r="E22" s="2678"/>
      <c r="F22" s="2678"/>
    </row>
    <row r="23" spans="1:6" ht="20.65" customHeight="1" x14ac:dyDescent="0.2">
      <c r="A23" s="1104"/>
      <c r="B23" s="1105" t="s">
        <v>2103</v>
      </c>
      <c r="C23" s="1106" t="s">
        <v>2081</v>
      </c>
      <c r="D23" s="2678">
        <v>601217</v>
      </c>
      <c r="E23" s="2678"/>
      <c r="F23" s="2678"/>
    </row>
    <row r="24" spans="1:6" ht="20.65" customHeight="1" x14ac:dyDescent="0.2">
      <c r="A24" s="1104"/>
      <c r="B24" s="1105" t="s">
        <v>2101</v>
      </c>
      <c r="C24" s="1106" t="s">
        <v>2081</v>
      </c>
      <c r="D24" s="2678">
        <v>248219</v>
      </c>
      <c r="E24" s="2678"/>
      <c r="F24" s="2678"/>
    </row>
    <row r="25" spans="1:6" ht="20.65" customHeight="1" x14ac:dyDescent="0.2">
      <c r="A25" s="1104"/>
      <c r="B25" s="1105" t="s">
        <v>2109</v>
      </c>
      <c r="C25" s="1106" t="s">
        <v>2081</v>
      </c>
      <c r="D25" s="2678">
        <v>149416</v>
      </c>
      <c r="E25" s="2678"/>
      <c r="F25" s="2678"/>
    </row>
    <row r="26" spans="1:6" ht="20.65" customHeight="1" x14ac:dyDescent="0.2">
      <c r="A26" s="1104"/>
      <c r="B26" s="1105" t="s">
        <v>2104</v>
      </c>
      <c r="C26" s="1106" t="s">
        <v>2081</v>
      </c>
      <c r="D26" s="2678">
        <v>561930</v>
      </c>
      <c r="E26" s="2678"/>
      <c r="F26" s="2678"/>
    </row>
    <row r="27" spans="1:6" ht="20.65" customHeight="1" x14ac:dyDescent="0.2">
      <c r="A27" s="1104"/>
      <c r="B27" s="1105" t="s">
        <v>2105</v>
      </c>
      <c r="C27" s="1106" t="s">
        <v>2081</v>
      </c>
      <c r="D27" s="2678">
        <v>338864</v>
      </c>
      <c r="E27" s="2678"/>
      <c r="F27" s="2678"/>
    </row>
    <row r="28" spans="1:6" ht="20.65" customHeight="1" x14ac:dyDescent="0.2">
      <c r="A28" s="1104"/>
      <c r="B28" s="1105" t="s">
        <v>2106</v>
      </c>
      <c r="C28" s="1106" t="s">
        <v>2081</v>
      </c>
      <c r="D28" s="2678">
        <v>198512</v>
      </c>
      <c r="E28" s="2678"/>
      <c r="F28" s="2678"/>
    </row>
    <row r="29" spans="1:6" ht="20.65" customHeight="1" x14ac:dyDescent="0.2">
      <c r="A29" s="1104"/>
      <c r="B29" s="1105"/>
      <c r="C29" s="1106"/>
      <c r="D29" s="2678"/>
      <c r="E29" s="2678"/>
      <c r="F29" s="2678"/>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82" t="s">
        <v>2094</v>
      </c>
      <c r="B32" s="2682"/>
      <c r="C32" s="2682"/>
      <c r="D32" s="2682"/>
      <c r="E32" s="2682"/>
      <c r="F32" s="2682"/>
    </row>
    <row r="33" spans="1:6" ht="13.5" customHeight="1" x14ac:dyDescent="0.2">
      <c r="A33" s="306" t="s">
        <v>1420</v>
      </c>
      <c r="B33" s="306"/>
      <c r="C33" s="1109">
        <v>0</v>
      </c>
      <c r="D33" s="1576"/>
      <c r="E33" s="1107"/>
    </row>
    <row r="34" spans="1:6" ht="13.5" customHeight="1" x14ac:dyDescent="0.2">
      <c r="A34" s="306" t="s">
        <v>1811</v>
      </c>
      <c r="B34" s="306"/>
      <c r="C34" s="1110">
        <v>0</v>
      </c>
      <c r="D34" s="1576" t="s">
        <v>1575</v>
      </c>
      <c r="E34" s="2683">
        <f>+C33+C34</f>
        <v>0</v>
      </c>
      <c r="F34" s="2684"/>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99</v>
      </c>
      <c r="D38" s="1576"/>
      <c r="E38" s="1107"/>
    </row>
    <row r="39" spans="1:6" ht="14.25" customHeight="1" x14ac:dyDescent="0.2">
      <c r="A39" s="306"/>
      <c r="B39" s="306" t="s">
        <v>1422</v>
      </c>
      <c r="C39" s="1113" t="s">
        <v>99</v>
      </c>
      <c r="D39" s="1576"/>
      <c r="E39" s="1107"/>
    </row>
    <row r="40" spans="1:6" ht="14.25" customHeight="1" x14ac:dyDescent="0.2">
      <c r="A40" s="306"/>
      <c r="B40" s="306" t="s">
        <v>1423</v>
      </c>
      <c r="C40" s="1113" t="s">
        <v>99</v>
      </c>
      <c r="D40" s="1576"/>
      <c r="E40" s="1107"/>
    </row>
    <row r="41" spans="1:6" ht="14.25" customHeight="1" x14ac:dyDescent="0.2">
      <c r="A41" s="306"/>
      <c r="B41" s="306" t="s">
        <v>1424</v>
      </c>
      <c r="C41" s="1113" t="s">
        <v>99</v>
      </c>
      <c r="D41" s="1576"/>
      <c r="E41" s="1107"/>
    </row>
    <row r="42" spans="1:6" ht="14.25" customHeight="1" x14ac:dyDescent="0.2">
      <c r="A42" s="306" t="s">
        <v>1425</v>
      </c>
      <c r="B42" s="306"/>
      <c r="C42" s="1574" t="s">
        <v>99</v>
      </c>
      <c r="D42" s="1576"/>
      <c r="E42" s="1107"/>
    </row>
    <row r="43" spans="1:6" ht="14.25" customHeight="1" x14ac:dyDescent="0.2">
      <c r="A43" s="306" t="s">
        <v>1426</v>
      </c>
      <c r="B43" s="306"/>
      <c r="C43" s="1114" t="s">
        <v>99</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85" t="s">
        <v>1576</v>
      </c>
      <c r="C49" s="2685"/>
      <c r="D49" s="2685"/>
      <c r="E49" s="1213"/>
    </row>
    <row r="50" spans="1:5" s="1121" customFormat="1" ht="3.75" customHeight="1" x14ac:dyDescent="0.2">
      <c r="A50" s="1120"/>
      <c r="B50" s="2105"/>
      <c r="C50" s="2105"/>
      <c r="D50" s="2105"/>
      <c r="E50" s="1213"/>
    </row>
    <row r="51" spans="1:5" s="1121" customFormat="1" ht="20.25" customHeight="1" x14ac:dyDescent="0.2">
      <c r="A51" s="1122">
        <v>6</v>
      </c>
      <c r="B51" s="2681" t="s">
        <v>1537</v>
      </c>
      <c r="C51" s="2681"/>
      <c r="D51" s="2681"/>
    </row>
    <row r="52" spans="1:5" ht="14.25" customHeight="1" x14ac:dyDescent="0.2">
      <c r="A52" s="1122"/>
      <c r="B52" s="2681"/>
      <c r="C52" s="2681"/>
      <c r="D52" s="2681"/>
    </row>
  </sheetData>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0.75" bottom="0.5" header="0.5" footer="0.5"/>
  <pageSetup scale="80" firstPageNumber="39" orientation="portrait"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35" sqref="G35"/>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0" t="str">
        <f>'Single Audit Cover'!A7</f>
        <v xml:space="preserve">   Region III Special Ed Co-op</v>
      </c>
      <c r="C1" s="2691"/>
      <c r="D1" s="2691"/>
      <c r="E1" s="2691"/>
      <c r="F1" s="2691"/>
      <c r="G1" s="2691"/>
      <c r="H1" s="2691"/>
      <c r="I1" s="2691"/>
      <c r="J1" s="1223"/>
    </row>
    <row r="2" spans="2:10" s="295" customFormat="1" ht="12.75" customHeight="1" x14ac:dyDescent="0.2">
      <c r="B2" s="2692">
        <f>'Single Audit Cover'!E7</f>
        <v>41057801060</v>
      </c>
      <c r="C2" s="2693"/>
      <c r="D2" s="2693"/>
      <c r="E2" s="2693"/>
      <c r="F2" s="2693"/>
      <c r="G2" s="2693"/>
      <c r="H2" s="2693"/>
      <c r="I2" s="2693"/>
      <c r="J2" s="1223"/>
    </row>
    <row r="3" spans="2:10" s="295" customFormat="1" ht="12.75" customHeight="1" x14ac:dyDescent="0.2">
      <c r="B3" s="2694" t="s">
        <v>1276</v>
      </c>
      <c r="C3" s="2695"/>
      <c r="D3" s="2695"/>
      <c r="E3" s="2695"/>
      <c r="F3" s="2695"/>
      <c r="G3" s="2695"/>
      <c r="H3" s="2695"/>
      <c r="I3" s="2695"/>
      <c r="J3" s="1224"/>
    </row>
    <row r="4" spans="2:10" s="295" customFormat="1" ht="12.75" customHeight="1" x14ac:dyDescent="0.2">
      <c r="B4" s="2694" t="str">
        <f>'Single Audit Cover'!A4</f>
        <v>Year Ending June 30, 2020</v>
      </c>
      <c r="C4" s="2695"/>
      <c r="D4" s="2695"/>
      <c r="E4" s="2695"/>
      <c r="F4" s="2695"/>
      <c r="G4" s="2695"/>
      <c r="H4" s="2695"/>
      <c r="I4" s="2695"/>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4" t="s">
        <v>1275</v>
      </c>
      <c r="C7" s="2695"/>
      <c r="D7" s="2695"/>
      <c r="E7" s="2695"/>
      <c r="F7" s="2695"/>
      <c r="G7" s="2695"/>
      <c r="H7" s="2695"/>
      <c r="I7" s="2695"/>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6" t="s">
        <v>1156</v>
      </c>
      <c r="D11" s="2696"/>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2018</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2018</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2018</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2018</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2018</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7" t="s">
        <v>2112</v>
      </c>
      <c r="E29" s="2697"/>
      <c r="F29" s="2697"/>
      <c r="G29" s="2697"/>
      <c r="H29" s="2697"/>
      <c r="I29" s="2697"/>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2018</v>
      </c>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698" t="s">
        <v>1728</v>
      </c>
      <c r="D37" s="2699"/>
      <c r="E37" s="2699"/>
      <c r="F37" s="2700"/>
      <c r="G37" s="2698" t="s">
        <v>1578</v>
      </c>
      <c r="H37" s="2699"/>
      <c r="I37" s="2700"/>
    </row>
    <row r="38" spans="2:9" ht="16.5" customHeight="1" x14ac:dyDescent="0.2">
      <c r="B38" s="1245" t="s">
        <v>2081</v>
      </c>
      <c r="C38" s="2686" t="s">
        <v>2095</v>
      </c>
      <c r="D38" s="2687"/>
      <c r="E38" s="2687"/>
      <c r="F38" s="2688"/>
      <c r="G38" s="2701">
        <f>+' SEFA'!I15+' SEFA'!I16</f>
        <v>2311961</v>
      </c>
      <c r="H38" s="2702"/>
      <c r="I38" s="2703"/>
    </row>
    <row r="39" spans="2:9" ht="16.5" customHeight="1" x14ac:dyDescent="0.2">
      <c r="B39" s="1245" t="s">
        <v>2078</v>
      </c>
      <c r="C39" s="2686" t="s">
        <v>2096</v>
      </c>
      <c r="D39" s="2687"/>
      <c r="E39" s="2687"/>
      <c r="F39" s="2688"/>
      <c r="G39" s="2689">
        <f>+' SEFA'!I13+' SEFA'!I14</f>
        <v>132821</v>
      </c>
      <c r="H39" s="2689"/>
      <c r="I39" s="2689"/>
    </row>
    <row r="40" spans="2:9" ht="16.5" customHeight="1" x14ac:dyDescent="0.2">
      <c r="B40" s="1245"/>
      <c r="C40" s="2686"/>
      <c r="D40" s="2687"/>
      <c r="E40" s="2687"/>
      <c r="F40" s="2688"/>
      <c r="G40" s="2689"/>
      <c r="H40" s="2689"/>
      <c r="I40" s="2689"/>
    </row>
    <row r="41" spans="2:9" ht="16.5" customHeight="1" x14ac:dyDescent="0.2">
      <c r="B41" s="1245"/>
      <c r="C41" s="2686"/>
      <c r="D41" s="2687"/>
      <c r="E41" s="2687"/>
      <c r="F41" s="2688"/>
      <c r="G41" s="2689"/>
      <c r="H41" s="2689"/>
      <c r="I41" s="2689"/>
    </row>
    <row r="42" spans="2:9" ht="16.5" customHeight="1" x14ac:dyDescent="0.2">
      <c r="B42" s="1245"/>
      <c r="C42" s="2686"/>
      <c r="D42" s="2687"/>
      <c r="E42" s="2687"/>
      <c r="F42" s="2688"/>
      <c r="G42" s="2689"/>
      <c r="H42" s="2689"/>
      <c r="I42" s="2689"/>
    </row>
    <row r="43" spans="2:9" ht="16.5" customHeight="1" x14ac:dyDescent="0.2">
      <c r="B43" s="1245"/>
      <c r="C43" s="2704" t="s">
        <v>1579</v>
      </c>
      <c r="D43" s="2705"/>
      <c r="E43" s="2705"/>
      <c r="F43" s="2706"/>
      <c r="G43" s="2707">
        <f>SUM(G38:I42)</f>
        <v>2444782</v>
      </c>
      <c r="H43" s="2707"/>
      <c r="I43" s="2707"/>
    </row>
    <row r="44" spans="2:9" ht="12.75" customHeight="1" x14ac:dyDescent="0.2"/>
    <row r="45" spans="2:9" ht="12.75" customHeight="1" x14ac:dyDescent="0.2">
      <c r="B45" s="1986" t="str">
        <f>"Total Federal Expenditures for 7/1/"&amp;MID('AFR20'!E2,3,2)-1&amp;"-6/30/"&amp;MID('AFR20'!E2,3,2)</f>
        <v>Total Federal Expenditures for 7/1/19-6/30/20</v>
      </c>
      <c r="C45" s="1987"/>
      <c r="D45" s="2708">
        <f>+' SEFA'!I27</f>
        <v>2481701</v>
      </c>
      <c r="E45" s="2709"/>
    </row>
    <row r="46" spans="2:9" ht="5.25" customHeight="1" x14ac:dyDescent="0.2">
      <c r="B46" s="1246"/>
      <c r="D46" s="1247"/>
      <c r="E46" s="1248"/>
    </row>
    <row r="47" spans="2:9" ht="12.75" customHeight="1" x14ac:dyDescent="0.2">
      <c r="B47" s="1121" t="s">
        <v>1580</v>
      </c>
      <c r="C47" s="1121"/>
      <c r="D47" s="1249">
        <f>+G43/D45</f>
        <v>0.98512351004411891</v>
      </c>
      <c r="E47" s="1250"/>
      <c r="F47" s="1251"/>
      <c r="I47" s="1252"/>
    </row>
    <row r="48" spans="2:9" ht="9.9499999999999993" customHeight="1" x14ac:dyDescent="0.2"/>
    <row r="49" spans="1:9" x14ac:dyDescent="0.2">
      <c r="B49" s="1183" t="s">
        <v>1264</v>
      </c>
      <c r="C49" s="1103"/>
      <c r="D49" s="1103"/>
      <c r="E49" s="2710">
        <v>750000</v>
      </c>
      <c r="F49" s="2710"/>
      <c r="G49" s="2710"/>
      <c r="H49" s="300"/>
    </row>
    <row r="51" spans="1:9" ht="13.5" customHeight="1" x14ac:dyDescent="0.2">
      <c r="B51" s="1183" t="s">
        <v>1263</v>
      </c>
      <c r="C51" s="1103"/>
      <c r="E51" s="1239"/>
      <c r="F51" s="1121" t="s">
        <v>879</v>
      </c>
      <c r="G51" s="1239" t="s">
        <v>2018</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75" customHeight="1" x14ac:dyDescent="0.2">
      <c r="A62" s="1259"/>
      <c r="B62" s="1264" t="s">
        <v>1732</v>
      </c>
      <c r="C62" s="1265"/>
      <c r="D62" s="1265"/>
    </row>
    <row r="63" spans="1:9" s="1262" customFormat="1" ht="13.5" customHeight="1" x14ac:dyDescent="0.2">
      <c r="A63" s="1259"/>
      <c r="B63" s="1263" t="s">
        <v>1583</v>
      </c>
      <c r="C63" s="1259"/>
      <c r="D63" s="1259"/>
    </row>
  </sheetData>
  <sheetProtection sheet="1" objects="1" scenarios="1"/>
  <customSheetViews>
    <customSheetView guid="{27400517-D544-41E2-9D13-0D8FC40AA704}" scale="110" showGridLines="0">
      <selection activeCell="K13" sqref="K13"/>
      <pageMargins left="0.75" right="0.75" top="0.75" bottom="0.5" header="0.5" footer="0.5"/>
      <printOptions horizontalCentered="1"/>
      <pageSetup scale="88" firstPageNumber="40" orientation="portrait" r:id="rId1"/>
      <headerFooter>
        <oddFooter>&amp;C&amp;"Times New Roman,Regular"See Independent Auditor’s Reports
&amp;P</oddFooter>
      </headerFooter>
    </customSheetView>
    <customSheetView guid="{00BB9B19-FC1B-492E-A95E-CC052A0B5070}" scale="110" showGridLines="0">
      <selection activeCell="K13" sqref="K13"/>
      <pageMargins left="0.75" right="0.75" top="0.75" bottom="0.5" header="0.5" footer="0.5"/>
      <printOptions horizontalCentered="1"/>
      <pageSetup scale="88" firstPageNumber="40" orientation="portrait" r:id="rId2"/>
      <headerFooter>
        <oddFooter>&amp;C&amp;"Times New Roman,Regular"See Independent Auditor’s Reports
&amp;P</oddFooter>
      </headerFooter>
    </customSheetView>
    <customSheetView guid="{DCE9EA22-7307-4505-BC41-9954A9C79245}" scale="110" showGridLines="0">
      <selection activeCell="K13" sqref="K13"/>
      <pageMargins left="0.75" right="0.75" top="0.75" bottom="0.5" header="0.5" footer="0.5"/>
      <printOptions horizontalCentered="1"/>
      <pageSetup scale="88" firstPageNumber="40" orientation="portrait" r:id="rId3"/>
      <headerFooter>
        <oddFooter>&amp;C&amp;"Times New Roman,Regular"See Independent Auditor’s Reports
&amp;P</oddFoot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75" right="0.75" top="0.75" bottom="0.5" header="0.5" footer="0.5"/>
  <pageSetup scale="88" firstPageNumber="43" orientation="portrait" r:id="rId4"/>
  <headerFooter>
    <oddFooter>&amp;C&amp;"Times New Roman,Regular"See Independent Auditor’s Reports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0" t="str">
        <f>'Single Audit Cover'!A7</f>
        <v xml:space="preserve">   Region III Special Ed Co-op</v>
      </c>
      <c r="C1" s="2690"/>
      <c r="D1" s="2690"/>
      <c r="E1" s="2690"/>
      <c r="F1" s="2690"/>
      <c r="G1" s="2690"/>
      <c r="H1" s="2690"/>
      <c r="I1" s="2690"/>
      <c r="J1" s="2690"/>
      <c r="K1" s="2690"/>
      <c r="L1" s="1189"/>
      <c r="M1" s="1189"/>
    </row>
    <row r="2" spans="1:13" ht="12" customHeight="1" x14ac:dyDescent="0.2">
      <c r="B2" s="2692">
        <f>'Single Audit Cover'!E7</f>
        <v>41057801060</v>
      </c>
      <c r="C2" s="2692"/>
      <c r="D2" s="2692"/>
      <c r="E2" s="2692"/>
      <c r="F2" s="2692"/>
      <c r="G2" s="2692"/>
      <c r="H2" s="2692"/>
      <c r="I2" s="2692"/>
      <c r="J2" s="2692"/>
      <c r="K2" s="2692"/>
      <c r="L2" s="1190"/>
      <c r="M2" s="1191"/>
    </row>
    <row r="3" spans="1:13" ht="10.35" customHeight="1" x14ac:dyDescent="0.2">
      <c r="B3" s="2713" t="s">
        <v>1276</v>
      </c>
      <c r="C3" s="2713"/>
      <c r="D3" s="2713"/>
      <c r="E3" s="2713"/>
      <c r="F3" s="2713"/>
      <c r="G3" s="2713"/>
      <c r="H3" s="2713"/>
      <c r="I3" s="2713"/>
      <c r="J3" s="2713"/>
      <c r="K3" s="2713"/>
      <c r="L3" s="1192"/>
      <c r="M3" s="1192"/>
    </row>
    <row r="4" spans="1:13" ht="14.25" customHeight="1" x14ac:dyDescent="0.2">
      <c r="B4" s="2714" t="str">
        <f>'Single Audit Cover'!A4</f>
        <v>Year Ending June 30, 2020</v>
      </c>
      <c r="C4" s="2714"/>
      <c r="D4" s="2714"/>
      <c r="E4" s="2714"/>
      <c r="F4" s="2714"/>
      <c r="G4" s="2714"/>
      <c r="H4" s="2714"/>
      <c r="I4" s="2714"/>
      <c r="J4" s="2714"/>
      <c r="K4" s="2714"/>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4" t="s">
        <v>1287</v>
      </c>
      <c r="C7" s="2714"/>
      <c r="D7" s="2715"/>
      <c r="E7" s="2715"/>
      <c r="F7" s="2715"/>
      <c r="G7" s="2715"/>
      <c r="H7" s="2715"/>
      <c r="I7" s="2715"/>
      <c r="J7" s="2715"/>
      <c r="K7" s="2715"/>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8"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12" t="s">
        <v>2110</v>
      </c>
      <c r="C14" s="2712"/>
      <c r="D14" s="2712"/>
      <c r="E14" s="2712"/>
      <c r="F14" s="2712"/>
      <c r="G14" s="2712"/>
      <c r="H14" s="2712"/>
      <c r="I14" s="2712"/>
      <c r="J14" s="2712"/>
      <c r="K14" s="2712"/>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12"/>
      <c r="C17" s="2712"/>
      <c r="D17" s="2712"/>
      <c r="E17" s="2712"/>
      <c r="F17" s="2712"/>
      <c r="G17" s="2712"/>
      <c r="H17" s="2712"/>
      <c r="I17" s="2712"/>
      <c r="J17" s="2712"/>
      <c r="K17" s="2712"/>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716"/>
      <c r="C20" s="2716"/>
      <c r="D20" s="2712"/>
      <c r="E20" s="2712"/>
      <c r="F20" s="2712"/>
      <c r="G20" s="2712"/>
      <c r="H20" s="2712"/>
      <c r="I20" s="2712"/>
      <c r="J20" s="2712"/>
      <c r="K20" s="2712"/>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12"/>
      <c r="C23" s="2712"/>
      <c r="D23" s="2712"/>
      <c r="E23" s="2712"/>
      <c r="F23" s="2712"/>
      <c r="G23" s="2712"/>
      <c r="H23" s="2712"/>
      <c r="I23" s="2712"/>
      <c r="J23" s="2712"/>
      <c r="K23" s="2712"/>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12"/>
      <c r="C26" s="2712"/>
      <c r="D26" s="2712"/>
      <c r="E26" s="2712"/>
      <c r="F26" s="2712"/>
      <c r="G26" s="2712"/>
      <c r="H26" s="2712"/>
      <c r="I26" s="2712"/>
      <c r="J26" s="2712"/>
      <c r="K26" s="2712"/>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11"/>
      <c r="C29" s="2711"/>
      <c r="D29" s="2712"/>
      <c r="E29" s="2712"/>
      <c r="F29" s="2712"/>
      <c r="G29" s="2712"/>
      <c r="H29" s="2712"/>
      <c r="I29" s="2712"/>
      <c r="J29" s="2712"/>
      <c r="K29" s="2712"/>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711"/>
      <c r="C32" s="2711"/>
      <c r="D32" s="2712"/>
      <c r="E32" s="2712"/>
      <c r="F32" s="2712"/>
      <c r="G32" s="2712"/>
      <c r="H32" s="2712"/>
      <c r="I32" s="2712"/>
      <c r="J32" s="2712"/>
      <c r="K32" s="2712"/>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sheetProtection sheet="1" objects="1" scenarios="1"/>
  <customSheetViews>
    <customSheetView guid="{27400517-D544-41E2-9D13-0D8FC40AA704}" scale="110" showGridLines="0">
      <selection activeCell="P38" sqref="P38"/>
      <pageMargins left="0.75" right="0.75" top="0.75" bottom="0.5" header="0.5" footer="0.5"/>
      <printOptions horizontalCentered="1"/>
      <pageSetup scale="89" firstPageNumber="41" orientation="portrait" r:id="rId1"/>
      <headerFooter>
        <oddFooter>&amp;C&amp;"Times New Roman,Regular"See Independent Auditor’s Reports
&amp;P</oddFooter>
      </headerFooter>
    </customSheetView>
    <customSheetView guid="{00BB9B19-FC1B-492E-A95E-CC052A0B5070}" scale="110" showGridLines="0">
      <selection activeCell="P38" sqref="P38"/>
      <pageMargins left="0.75" right="0.75" top="0.75" bottom="0.5" header="0.5" footer="0.5"/>
      <printOptions horizontalCentered="1"/>
      <pageSetup scale="89" firstPageNumber="41" orientation="portrait" r:id="rId2"/>
      <headerFooter>
        <oddFooter>&amp;C&amp;"Times New Roman,Regular"See Independent Auditor’s Reports
&amp;P</oddFooter>
      </headerFooter>
    </customSheetView>
    <customSheetView guid="{DCE9EA22-7307-4505-BC41-9954A9C79245}" scale="110" showGridLines="0">
      <selection activeCell="P38" sqref="P38"/>
      <pageMargins left="0.75" right="0.75" top="0.75" bottom="0.5" header="0.5" footer="0.5"/>
      <printOptions horizontalCentered="1"/>
      <pageSetup scale="89" firstPageNumber="41" orientation="portrait" r:id="rId3"/>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0.75" bottom="0.5" header="0.5" footer="0.5"/>
  <pageSetup scale="89" firstPageNumber="44" orientation="portrait" r:id="rId4"/>
  <headerFooter>
    <oddFooter>&amp;C&amp;"Times New Roman,Regular"See Independent Auditor’s Reports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7" t="str">
        <f>'Single Audit Cover'!A7</f>
        <v xml:space="preserve">   Region III Special Ed Co-op</v>
      </c>
      <c r="C1" s="2717"/>
      <c r="D1" s="2717"/>
      <c r="E1" s="2717"/>
      <c r="F1" s="2717"/>
      <c r="G1" s="2717"/>
      <c r="H1" s="2717"/>
      <c r="I1" s="2717"/>
      <c r="J1" s="2717"/>
      <c r="K1" s="2717"/>
      <c r="L1" s="1266"/>
    </row>
    <row r="2" spans="1:12" ht="12.75" customHeight="1" x14ac:dyDescent="0.2">
      <c r="B2" s="2718">
        <f>'Single Audit Cover'!E7</f>
        <v>41057801060</v>
      </c>
      <c r="C2" s="2718"/>
      <c r="D2" s="2718"/>
      <c r="E2" s="2718"/>
      <c r="F2" s="2718"/>
      <c r="G2" s="2718"/>
      <c r="H2" s="2718"/>
      <c r="I2" s="2718"/>
      <c r="J2" s="2718"/>
      <c r="K2" s="2718"/>
      <c r="L2" s="1267"/>
    </row>
    <row r="3" spans="1:12" ht="12.75" customHeight="1" x14ac:dyDescent="0.2">
      <c r="B3" s="2713" t="s">
        <v>1276</v>
      </c>
      <c r="C3" s="2713"/>
      <c r="D3" s="2713"/>
      <c r="E3" s="2713"/>
      <c r="F3" s="2713"/>
      <c r="G3" s="2713"/>
      <c r="H3" s="2713"/>
      <c r="I3" s="2713"/>
      <c r="J3" s="2713"/>
      <c r="K3" s="2713"/>
      <c r="L3" s="1192"/>
    </row>
    <row r="4" spans="1:12" ht="12.75" customHeight="1" x14ac:dyDescent="0.2">
      <c r="B4" s="2713" t="str">
        <f>'Single Audit Cover'!A4</f>
        <v>Year Ending June 30, 2020</v>
      </c>
      <c r="C4" s="2713"/>
      <c r="D4" s="2713"/>
      <c r="E4" s="2713"/>
      <c r="F4" s="2713"/>
      <c r="G4" s="2713"/>
      <c r="H4" s="2713"/>
      <c r="I4" s="2713"/>
      <c r="J4" s="2713"/>
      <c r="K4" s="2713"/>
      <c r="L4" s="1192"/>
    </row>
    <row r="5" spans="1:12" ht="5.25" customHeight="1" x14ac:dyDescent="0.2">
      <c r="B5" s="1081" t="s">
        <v>1161</v>
      </c>
      <c r="C5" s="1081"/>
      <c r="L5" s="300"/>
    </row>
    <row r="6" spans="1:12" ht="30.75" customHeight="1" x14ac:dyDescent="0.2">
      <c r="A6" s="300"/>
      <c r="B6" s="2719" t="s">
        <v>1299</v>
      </c>
      <c r="C6" s="2719"/>
      <c r="D6" s="2719"/>
      <c r="E6" s="2719"/>
      <c r="F6" s="2719"/>
      <c r="G6" s="2719"/>
      <c r="H6" s="2719"/>
      <c r="I6" s="2719"/>
      <c r="J6" s="2719"/>
      <c r="K6" s="2719"/>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8"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7"/>
      <c r="G12" s="2697"/>
      <c r="H12" s="2697"/>
      <c r="I12" s="2697"/>
      <c r="J12" s="2697"/>
      <c r="K12" s="2697"/>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20"/>
      <c r="E14" s="2720"/>
      <c r="F14" s="2720"/>
      <c r="H14" s="1275" t="s">
        <v>1294</v>
      </c>
      <c r="I14" s="2721"/>
      <c r="J14" s="2721"/>
      <c r="K14" s="2721"/>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21"/>
      <c r="E16" s="2721"/>
      <c r="F16" s="2721"/>
      <c r="G16" s="2721"/>
      <c r="H16" s="2721"/>
      <c r="I16" s="2721"/>
      <c r="J16" s="2721"/>
      <c r="K16" s="2721"/>
      <c r="L16" s="300"/>
    </row>
    <row r="17" spans="2:12" ht="13.5" customHeight="1" x14ac:dyDescent="0.2">
      <c r="B17" s="1201" t="s">
        <v>1292</v>
      </c>
      <c r="C17" s="1201"/>
      <c r="D17" s="2722"/>
      <c r="E17" s="2722"/>
      <c r="F17" s="2722"/>
      <c r="G17" s="2722"/>
      <c r="H17" s="2722"/>
      <c r="I17" s="2722"/>
      <c r="J17" s="2722"/>
      <c r="K17" s="2722"/>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12" t="s">
        <v>2110</v>
      </c>
      <c r="C20" s="2712"/>
      <c r="D20" s="2712"/>
      <c r="E20" s="2712"/>
      <c r="F20" s="2712"/>
      <c r="G20" s="2712"/>
      <c r="H20" s="2712"/>
      <c r="I20" s="2712"/>
      <c r="J20" s="2712"/>
      <c r="K20" s="2712"/>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712"/>
      <c r="C23" s="2712"/>
      <c r="D23" s="2712"/>
      <c r="E23" s="2712"/>
      <c r="F23" s="2712"/>
      <c r="G23" s="2712"/>
      <c r="H23" s="2712"/>
      <c r="I23" s="2712"/>
      <c r="J23" s="2712"/>
      <c r="K23" s="2712"/>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712"/>
      <c r="C26" s="2712"/>
      <c r="D26" s="2712"/>
      <c r="E26" s="2712"/>
      <c r="F26" s="2712"/>
      <c r="G26" s="2712"/>
      <c r="H26" s="2712"/>
      <c r="I26" s="2712"/>
      <c r="J26" s="2712"/>
      <c r="K26" s="2712"/>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712"/>
      <c r="C29" s="2712"/>
      <c r="D29" s="2712"/>
      <c r="E29" s="2712"/>
      <c r="F29" s="2712"/>
      <c r="G29" s="2712"/>
      <c r="H29" s="2712"/>
      <c r="I29" s="2712"/>
      <c r="J29" s="2712"/>
      <c r="K29" s="2712"/>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12"/>
      <c r="C32" s="2712"/>
      <c r="D32" s="2712"/>
      <c r="E32" s="2712"/>
      <c r="F32" s="2712"/>
      <c r="G32" s="2712"/>
      <c r="H32" s="2712"/>
      <c r="I32" s="2712"/>
      <c r="J32" s="2712"/>
      <c r="K32" s="2712"/>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12"/>
      <c r="C35" s="2712"/>
      <c r="D35" s="2712"/>
      <c r="E35" s="2712"/>
      <c r="F35" s="2712"/>
      <c r="G35" s="2712"/>
      <c r="H35" s="2712"/>
      <c r="I35" s="2712"/>
      <c r="J35" s="2712"/>
      <c r="K35" s="2712"/>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12"/>
      <c r="C38" s="2712"/>
      <c r="D38" s="2712"/>
      <c r="E38" s="2712"/>
      <c r="F38" s="2712"/>
      <c r="G38" s="2712"/>
      <c r="H38" s="2712"/>
      <c r="I38" s="2712"/>
      <c r="J38" s="2712"/>
      <c r="K38" s="2712"/>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712"/>
      <c r="C41" s="2712"/>
      <c r="D41" s="2712"/>
      <c r="E41" s="2712"/>
      <c r="F41" s="2712"/>
      <c r="G41" s="2712"/>
      <c r="H41" s="2712"/>
      <c r="I41" s="2712"/>
      <c r="J41" s="2712"/>
      <c r="K41" s="2712"/>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sheetProtection sheet="1" objects="1" scenarios="1"/>
  <customSheetViews>
    <customSheetView guid="{27400517-D544-41E2-9D13-0D8FC40AA704}" scale="110" showGridLines="0">
      <selection activeCell="P38" sqref="P38"/>
      <pageMargins left="0.75" right="0.75" top="0.75" bottom="0.5" header="0.5" footer="0.5"/>
      <printOptions horizontalCentered="1"/>
      <pageSetup scale="91" firstPageNumber="42" orientation="portrait" r:id="rId1"/>
      <headerFooter>
        <oddFooter>&amp;C&amp;"Times New Roman,Regular"See Independent Auditor’s Reports
&amp;P</oddFooter>
      </headerFooter>
    </customSheetView>
    <customSheetView guid="{00BB9B19-FC1B-492E-A95E-CC052A0B5070}" scale="110" showGridLines="0">
      <selection activeCell="P38" sqref="P38"/>
      <pageMargins left="0.75" right="0.75" top="0.75" bottom="0.5" header="0.5" footer="0.5"/>
      <printOptions horizontalCentered="1"/>
      <pageSetup scale="91" firstPageNumber="42" orientation="portrait" r:id="rId2"/>
      <headerFooter>
        <oddFooter>&amp;C&amp;"Times New Roman,Regular"See Independent Auditor’s Reports
&amp;P</oddFooter>
      </headerFooter>
    </customSheetView>
    <customSheetView guid="{DCE9EA22-7307-4505-BC41-9954A9C79245}" scale="110" showGridLines="0">
      <selection activeCell="P38" sqref="P38"/>
      <pageMargins left="0.75" right="0.75" top="0.75" bottom="0.5" header="0.5" footer="0.5"/>
      <printOptions horizontalCentered="1"/>
      <pageSetup scale="91" firstPageNumber="42" orientation="portrait" r:id="rId3"/>
      <headerFooter>
        <oddFooter>&amp;C&amp;"Times New Roman,Regular"See Independent Auditor’s Reports
&amp;P</oddFoot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5" right="0.75" top="0.75" bottom="0.5" header="0.5" footer="0.5"/>
  <pageSetup scale="91" firstPageNumber="42" orientation="portrait" r:id="rId4"/>
  <headerFooter>
    <oddFooter>&amp;C&amp;"Times New Roman,Regular"See Independent Auditor’s Reports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4" zoomScale="110" zoomScaleNormal="110" workbookViewId="0">
      <selection activeCell="I15" sqref="I15"/>
    </sheetView>
  </sheetViews>
  <sheetFormatPr defaultColWidth="9.140625" defaultRowHeight="12.75" x14ac:dyDescent="0.2"/>
  <cols>
    <col min="1" max="1" width="1.5703125" style="295" customWidth="1"/>
    <col min="2" max="2" width="14.7109375" style="295" customWidth="1"/>
    <col min="3" max="3" width="40.7109375" style="2112"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0" t="str">
        <f>'Single Audit Cover'!A7</f>
        <v xml:space="preserve">   Region III Special Ed Co-op</v>
      </c>
      <c r="C1" s="2690"/>
      <c r="D1" s="2690"/>
      <c r="E1" s="1285"/>
    </row>
    <row r="2" spans="2:5" s="1103" customFormat="1" ht="12.75" customHeight="1" x14ac:dyDescent="0.2">
      <c r="B2" s="2692">
        <f>'Single Audit Cover'!E7</f>
        <v>41057801060</v>
      </c>
      <c r="C2" s="2692"/>
      <c r="D2" s="2692"/>
      <c r="E2" s="1286"/>
    </row>
    <row r="3" spans="2:5" ht="12.75" customHeight="1" x14ac:dyDescent="0.2">
      <c r="B3" s="2713" t="s">
        <v>1743</v>
      </c>
      <c r="C3" s="2713"/>
      <c r="D3" s="2713"/>
      <c r="E3" s="1095"/>
    </row>
    <row r="4" spans="2:5" s="1103" customFormat="1" ht="12.75" customHeight="1" x14ac:dyDescent="0.2">
      <c r="B4" s="2723" t="str">
        <f>'Single Audit Cover'!A4</f>
        <v>Year Ending June 30, 2020</v>
      </c>
      <c r="C4" s="2723"/>
      <c r="D4" s="2723"/>
      <c r="E4" s="1287"/>
    </row>
    <row r="5" spans="2:5" s="1103" customFormat="1" ht="40.15" customHeight="1" x14ac:dyDescent="0.2">
      <c r="B5" s="1288" t="s">
        <v>1744</v>
      </c>
      <c r="C5" s="2106"/>
      <c r="D5" s="306"/>
      <c r="E5" s="306"/>
    </row>
    <row r="6" spans="2:5" s="1103" customFormat="1" ht="13.5" customHeight="1" x14ac:dyDescent="0.2">
      <c r="B6" s="1289" t="s">
        <v>1306</v>
      </c>
      <c r="C6" s="2107" t="s">
        <v>1305</v>
      </c>
      <c r="D6" s="1289" t="s">
        <v>1745</v>
      </c>
    </row>
    <row r="7" spans="2:5" ht="13.5" customHeight="1" x14ac:dyDescent="0.2">
      <c r="B7" s="1290"/>
      <c r="C7" s="2108"/>
      <c r="D7" s="302"/>
      <c r="E7" s="302"/>
    </row>
    <row r="8" spans="2:5" ht="46.5" customHeight="1" x14ac:dyDescent="0.2">
      <c r="B8" s="1290" t="s">
        <v>2097</v>
      </c>
      <c r="C8" s="2108" t="s">
        <v>2098</v>
      </c>
      <c r="D8" s="302" t="s">
        <v>2113</v>
      </c>
      <c r="E8" s="302"/>
    </row>
    <row r="9" spans="2:5" ht="13.5" customHeight="1" x14ac:dyDescent="0.2">
      <c r="B9" s="1291"/>
      <c r="C9" s="2109"/>
      <c r="D9" s="301"/>
      <c r="E9" s="301"/>
    </row>
    <row r="10" spans="2:5" ht="35.25" customHeight="1" x14ac:dyDescent="0.2">
      <c r="B10" s="1290" t="s">
        <v>2099</v>
      </c>
      <c r="C10" s="2108" t="s">
        <v>2098</v>
      </c>
      <c r="D10" s="302" t="s">
        <v>2113</v>
      </c>
      <c r="E10" s="301"/>
    </row>
    <row r="11" spans="2:5" ht="13.5" customHeight="1" x14ac:dyDescent="0.2">
      <c r="B11" s="1290"/>
      <c r="C11" s="2109"/>
      <c r="D11" s="301"/>
      <c r="E11" s="301"/>
    </row>
    <row r="12" spans="2:5" ht="13.5" customHeight="1" x14ac:dyDescent="0.2">
      <c r="B12" s="1290"/>
      <c r="C12" s="2109"/>
      <c r="D12" s="301"/>
      <c r="E12" s="301"/>
    </row>
    <row r="13" spans="2:5" ht="13.5" customHeight="1" x14ac:dyDescent="0.2">
      <c r="B13" s="1290"/>
      <c r="C13" s="2109"/>
      <c r="D13" s="301"/>
      <c r="E13" s="301"/>
    </row>
    <row r="14" spans="2:5" ht="13.5" customHeight="1" x14ac:dyDescent="0.2">
      <c r="B14" s="1290"/>
      <c r="C14" s="2109"/>
      <c r="D14" s="301"/>
      <c r="E14" s="301"/>
    </row>
    <row r="15" spans="2:5" ht="13.5" customHeight="1" x14ac:dyDescent="0.2">
      <c r="B15" s="1290"/>
      <c r="C15" s="2109"/>
      <c r="D15" s="301"/>
      <c r="E15" s="301"/>
    </row>
    <row r="16" spans="2:5" ht="13.5" customHeight="1" x14ac:dyDescent="0.2">
      <c r="B16" s="1290"/>
      <c r="C16" s="2109"/>
      <c r="D16" s="301"/>
      <c r="E16" s="301"/>
    </row>
    <row r="17" spans="2:5" ht="13.5" customHeight="1" x14ac:dyDescent="0.2">
      <c r="B17" s="1290"/>
      <c r="C17" s="2109"/>
      <c r="D17" s="301"/>
      <c r="E17" s="301"/>
    </row>
    <row r="18" spans="2:5" ht="13.5" customHeight="1" x14ac:dyDescent="0.2">
      <c r="B18" s="1290"/>
      <c r="C18" s="2109"/>
      <c r="D18" s="301"/>
      <c r="E18" s="301"/>
    </row>
    <row r="19" spans="2:5" ht="13.5" customHeight="1" x14ac:dyDescent="0.2">
      <c r="B19" s="1290"/>
      <c r="C19" s="2109"/>
      <c r="D19" s="301"/>
      <c r="E19" s="301"/>
    </row>
    <row r="20" spans="2:5" ht="13.5" customHeight="1" x14ac:dyDescent="0.2">
      <c r="B20" s="1290"/>
      <c r="C20" s="2109"/>
      <c r="D20" s="301"/>
      <c r="E20" s="301"/>
    </row>
    <row r="21" spans="2:5" ht="13.5" customHeight="1" x14ac:dyDescent="0.2">
      <c r="B21" s="1290"/>
      <c r="C21" s="2109"/>
      <c r="D21" s="301"/>
      <c r="E21" s="301"/>
    </row>
    <row r="22" spans="2:5" ht="13.5" customHeight="1" x14ac:dyDescent="0.2">
      <c r="B22" s="1290"/>
      <c r="C22" s="2109"/>
      <c r="D22" s="301"/>
      <c r="E22" s="301"/>
    </row>
    <row r="23" spans="2:5" ht="13.5" customHeight="1" x14ac:dyDescent="0.2">
      <c r="B23" s="1290"/>
      <c r="C23" s="2109"/>
      <c r="D23" s="301"/>
      <c r="E23" s="301"/>
    </row>
    <row r="24" spans="2:5" ht="13.5" customHeight="1" x14ac:dyDescent="0.2">
      <c r="B24" s="1290"/>
      <c r="C24" s="2109"/>
      <c r="D24" s="301"/>
      <c r="E24" s="301"/>
    </row>
    <row r="25" spans="2:5" ht="13.5" customHeight="1" x14ac:dyDescent="0.2">
      <c r="B25" s="1290"/>
      <c r="C25" s="2109"/>
      <c r="D25" s="301"/>
      <c r="E25" s="301"/>
    </row>
    <row r="26" spans="2:5" ht="13.5" customHeight="1" x14ac:dyDescent="0.2">
      <c r="B26" s="1290"/>
      <c r="C26" s="2109"/>
      <c r="D26" s="301"/>
      <c r="E26" s="301"/>
    </row>
    <row r="27" spans="2:5" ht="13.5" customHeight="1" x14ac:dyDescent="0.2">
      <c r="B27" s="1290"/>
      <c r="C27" s="2109"/>
      <c r="D27" s="301"/>
      <c r="E27" s="301"/>
    </row>
    <row r="28" spans="2:5" ht="13.5" customHeight="1" x14ac:dyDescent="0.2">
      <c r="B28" s="1290"/>
      <c r="C28" s="2109"/>
      <c r="D28" s="301"/>
      <c r="E28" s="301"/>
    </row>
    <row r="29" spans="2:5" ht="13.5" customHeight="1" x14ac:dyDescent="0.2">
      <c r="B29" s="1290"/>
      <c r="C29" s="2109"/>
      <c r="D29" s="301"/>
      <c r="E29" s="301"/>
    </row>
    <row r="30" spans="2:5" ht="13.5" customHeight="1" x14ac:dyDescent="0.2">
      <c r="B30" s="1290"/>
      <c r="C30" s="2109"/>
      <c r="D30" s="301"/>
      <c r="E30" s="301"/>
    </row>
    <row r="31" spans="2:5" ht="13.5" customHeight="1" x14ac:dyDescent="0.2">
      <c r="B31" s="1290"/>
      <c r="C31" s="2109"/>
      <c r="D31" s="301"/>
      <c r="E31" s="301"/>
    </row>
    <row r="32" spans="2:5" ht="13.5" customHeight="1" x14ac:dyDescent="0.2">
      <c r="B32" s="1292"/>
      <c r="C32" s="2109"/>
      <c r="D32" s="301"/>
      <c r="E32" s="301"/>
    </row>
    <row r="33" spans="2:5" ht="13.5" customHeight="1" x14ac:dyDescent="0.2">
      <c r="B33" s="1293"/>
      <c r="C33" s="2109"/>
      <c r="D33" s="301"/>
      <c r="E33" s="301"/>
    </row>
    <row r="34" spans="2:5" ht="13.5" customHeight="1" x14ac:dyDescent="0.2">
      <c r="B34" s="1294"/>
      <c r="C34" s="2109"/>
      <c r="D34" s="301"/>
      <c r="E34" s="301"/>
    </row>
    <row r="35" spans="2:5" ht="13.5" customHeight="1" x14ac:dyDescent="0.2">
      <c r="B35" s="1293"/>
      <c r="C35" s="2109"/>
      <c r="D35" s="301"/>
      <c r="E35" s="301"/>
    </row>
    <row r="36" spans="2:5" ht="13.5" customHeight="1" x14ac:dyDescent="0.2">
      <c r="B36" s="1294"/>
      <c r="C36" s="2109"/>
      <c r="D36" s="301"/>
      <c r="E36" s="301"/>
    </row>
    <row r="37" spans="2:5" ht="13.5" customHeight="1" x14ac:dyDescent="0.2">
      <c r="B37" s="1294"/>
      <c r="C37" s="2109"/>
      <c r="D37" s="301"/>
      <c r="E37" s="301"/>
    </row>
    <row r="38" spans="2:5" ht="13.5" customHeight="1" x14ac:dyDescent="0.2">
      <c r="B38" s="1293"/>
      <c r="C38" s="2109"/>
      <c r="D38" s="301"/>
      <c r="E38" s="301"/>
    </row>
    <row r="39" spans="2:5" ht="13.5" customHeight="1" x14ac:dyDescent="0.2">
      <c r="B39" s="1294"/>
      <c r="C39" s="2109"/>
      <c r="D39" s="301"/>
      <c r="E39" s="301"/>
    </row>
    <row r="40" spans="2:5" ht="13.5" customHeight="1" x14ac:dyDescent="0.2">
      <c r="B40" s="1293"/>
      <c r="C40" s="2109"/>
      <c r="D40" s="301"/>
      <c r="E40" s="301"/>
    </row>
    <row r="41" spans="2:5" ht="13.5" customHeight="1" x14ac:dyDescent="0.2">
      <c r="B41" s="1295"/>
      <c r="C41" s="2109"/>
      <c r="D41" s="301"/>
      <c r="E41" s="301"/>
    </row>
    <row r="42" spans="2:5" ht="13.5" customHeight="1" x14ac:dyDescent="0.2">
      <c r="B42" s="1296"/>
      <c r="C42" s="2109"/>
      <c r="D42" s="301"/>
      <c r="E42" s="301"/>
    </row>
    <row r="43" spans="2:5" ht="12.75" customHeight="1" x14ac:dyDescent="0.2">
      <c r="B43" s="1297"/>
      <c r="C43" s="2110"/>
      <c r="D43" s="1298"/>
      <c r="E43" s="301"/>
    </row>
    <row r="44" spans="2:5" ht="12.2" customHeight="1" x14ac:dyDescent="0.2">
      <c r="B44" s="1078" t="s">
        <v>1304</v>
      </c>
      <c r="C44" s="2111"/>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2111"/>
      <c r="D56" s="300"/>
      <c r="E56" s="300"/>
    </row>
    <row r="57" spans="2:5" ht="12.75" customHeight="1" x14ac:dyDescent="0.2">
      <c r="B57" s="300"/>
      <c r="C57" s="2111"/>
      <c r="D57" s="300"/>
      <c r="E57" s="300"/>
    </row>
    <row r="58" spans="2:5" ht="12.75" customHeight="1" x14ac:dyDescent="0.2">
      <c r="B58" s="300"/>
      <c r="C58" s="2111"/>
      <c r="D58" s="300"/>
      <c r="E58" s="300"/>
    </row>
    <row r="59" spans="2:5" ht="12.75" customHeight="1" x14ac:dyDescent="0.2">
      <c r="B59" s="300"/>
      <c r="C59" s="2111"/>
      <c r="D59" s="300"/>
      <c r="E59" s="300"/>
    </row>
    <row r="60" spans="2:5" ht="12.75" customHeight="1" x14ac:dyDescent="0.2">
      <c r="B60" s="300"/>
      <c r="C60" s="2111"/>
      <c r="D60" s="300"/>
      <c r="E60" s="300"/>
    </row>
    <row r="61" spans="2:5" ht="12.75" customHeight="1" x14ac:dyDescent="0.2">
      <c r="B61" s="300"/>
      <c r="C61" s="2111"/>
      <c r="D61" s="300"/>
      <c r="E61" s="300"/>
    </row>
    <row r="62" spans="2:5" ht="12.75" customHeight="1" x14ac:dyDescent="0.2">
      <c r="B62" s="300"/>
      <c r="C62" s="2111"/>
      <c r="D62" s="300"/>
      <c r="E62" s="300"/>
    </row>
    <row r="63" spans="2:5" ht="12.75" customHeight="1" x14ac:dyDescent="0.2">
      <c r="B63" s="300"/>
      <c r="C63" s="2111"/>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customSheetViews>
    <customSheetView guid="{27400517-D544-41E2-9D13-0D8FC40AA704}" scale="60" showPageBreaks="1" showGridLines="0" view="pageBreakPreview" topLeftCell="A4">
      <selection activeCell="B8" sqref="B8"/>
      <pageMargins left="0.75" right="0.75" top="0.75" bottom="0.5" header="0.5" footer="0.5"/>
      <printOptions horizontalCentered="1"/>
      <pageSetup scale="91" firstPageNumber="43" orientation="portrait" r:id="rId1"/>
      <headerFooter>
        <oddFooter>&amp;C&amp;"Times New Roman,Regular"See Independent Auditor’s Reports
&amp;P</oddFooter>
      </headerFooter>
    </customSheetView>
    <customSheetView guid="{00BB9B19-FC1B-492E-A95E-CC052A0B5070}" scale="60" showPageBreaks="1" showGridLines="0" view="pageBreakPreview" topLeftCell="A4">
      <selection activeCell="B8" sqref="B8"/>
      <pageMargins left="0.75" right="0.75" top="0.75" bottom="0.5" header="0.5" footer="0.5"/>
      <printOptions horizontalCentered="1"/>
      <pageSetup scale="91" firstPageNumber="43" orientation="portrait" r:id="rId2"/>
      <headerFooter>
        <oddFooter>&amp;C&amp;"Times New Roman,Regular"See Independent Auditor’s Reports
&amp;P</oddFooter>
      </headerFooter>
    </customSheetView>
    <customSheetView guid="{DCE9EA22-7307-4505-BC41-9954A9C79245}" scale="60" showPageBreaks="1" showGridLines="0" view="pageBreakPreview" topLeftCell="A4">
      <selection activeCell="B8" sqref="B8"/>
      <pageMargins left="0.75" right="0.75" top="0.75" bottom="0.5" header="0.5" footer="0.5"/>
      <printOptions horizontalCentered="1"/>
      <pageSetup scale="91" firstPageNumber="43" orientation="portrait" r:id="rId3"/>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0.75" bottom="0.5" header="0.5" footer="0.5"/>
  <pageSetup scale="91" firstPageNumber="43" orientation="portrait" r:id="rId4"/>
  <headerFooter>
    <oddFooter>&amp;C&amp;"Times New Roman,Regular"See Independent Auditor’s Reports
&amp;P</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SEFA NOTES</vt:lpstr>
      <vt:lpstr>SEFA NOTES (2)</vt:lpstr>
      <vt:lpstr>SF&amp;QC Sec-1</vt:lpstr>
      <vt:lpstr>SF&amp;QC Sec-2</vt:lpstr>
      <vt:lpstr>SF&amp;QC Sec-3</vt:lpstr>
      <vt:lpstr>SSPAF</vt:lpstr>
      <vt:lpstr>' SEFA'!Print_Area</vt:lpstr>
      <vt:lpstr>' SEFA (2)'!Print_Area</vt:lpstr>
      <vt:lpstr>'AC Tort (v1) 32-33'!Print_Area</vt:lpstr>
      <vt:lpstr>'Acct Summary 7-8'!Print_Area</vt:lpstr>
      <vt:lpstr>'Aud Quest 2'!Print_Area</vt:lpstr>
      <vt:lpstr>'Fin Profile 4'!Print_Area</vt:lpstr>
      <vt:lpstr>'Itemization 33'!Print_Area</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2020-11-12T20:50:46Z</cp:lastPrinted>
  <dcterms:created xsi:type="dcterms:W3CDTF">2003-10-29T19:06:34Z</dcterms:created>
  <dcterms:modified xsi:type="dcterms:W3CDTF">2021-01-08T19:01:46Z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