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65A5889B-D501-46BA-A526-704212332B8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65" i="5" l="1"/>
  <c r="F8" i="29"/>
  <c r="C33" i="5"/>
  <c r="H78" i="29"/>
  <c r="E51" i="29"/>
  <c r="D51" i="29"/>
  <c r="E8" i="29"/>
  <c r="D8" i="29"/>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D24" i="37"/>
  <c r="B4270" i="106" s="1"/>
  <c r="D4270" i="106" s="1"/>
  <c r="B5752" i="106"/>
  <c r="D5752" i="106" s="1"/>
  <c r="B7705" i="106" l="1"/>
  <c r="D7705" i="106" s="1"/>
  <c r="E67" i="184"/>
  <c r="N67" i="184"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C352" i="29"/>
  <c r="H76" i="4"/>
  <c r="B3298" i="106" s="1"/>
  <c r="D3298" i="106" s="1"/>
  <c r="B1274" i="106"/>
  <c r="D1274" i="106" s="1"/>
  <c r="L22" i="37"/>
  <c r="H12" i="184"/>
  <c r="H19" i="184" s="1"/>
  <c r="L20" i="184" s="1"/>
  <c r="J129" i="29"/>
  <c r="B7038" i="106" s="1"/>
  <c r="D7038" i="106" s="1"/>
  <c r="H365" i="29"/>
  <c r="B7242" i="106" s="1"/>
  <c r="D7242" i="106" s="1"/>
  <c r="H15" i="184"/>
  <c r="B2724" i="106"/>
  <c r="D2724" i="106" s="1"/>
  <c r="C129" i="29"/>
  <c r="D31" i="108"/>
  <c r="E16" i="184"/>
  <c r="H16" i="184" s="1"/>
  <c r="B7198" i="106"/>
  <c r="D7198" i="106" s="1"/>
  <c r="E65" i="184"/>
  <c r="N65" i="184" s="1"/>
  <c r="B7180" i="106"/>
  <c r="D7180" i="106" s="1"/>
  <c r="E63" i="184"/>
  <c r="N63" i="184" s="1"/>
  <c r="B7162" i="106"/>
  <c r="D7162" i="106" s="1"/>
  <c r="E61" i="184"/>
  <c r="N61" i="184" s="1"/>
  <c r="B7126" i="106"/>
  <c r="D7126" i="106" s="1"/>
  <c r="E57"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F41" i="108" l="1"/>
  <c r="G43" i="108" s="1"/>
  <c r="L16" i="11"/>
  <c r="B2061" i="106" s="1"/>
  <c r="D2061" i="106" s="1"/>
  <c r="B7220" i="106"/>
  <c r="D7220" i="106" s="1"/>
  <c r="F75" i="34"/>
  <c r="B7886" i="106" s="1"/>
  <c r="D7886" i="106" s="1"/>
  <c r="B7222" i="106"/>
  <c r="D7222" i="106" s="1"/>
  <c r="F76" i="34"/>
  <c r="B7887" i="106" s="1"/>
  <c r="D7887" i="106" s="1"/>
  <c r="E19" i="184"/>
  <c r="N57" i="184"/>
  <c r="N68" i="184" s="1"/>
  <c r="E68" i="184"/>
  <c r="E367" i="29"/>
  <c r="B3635" i="106"/>
  <c r="B7235" i="106"/>
  <c r="D72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J20" i="4"/>
  <c r="B5508" i="106"/>
  <c r="D5508" i="106" s="1"/>
  <c r="B2567" i="106"/>
  <c r="D2567" i="106" s="1"/>
  <c r="B6223" i="106" l="1"/>
  <c r="D6223"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<sst xmlns="http://schemas.openxmlformats.org/spreadsheetml/2006/main" count="5138" uniqueCount="2078">
  <si>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</si>
  <si>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</si>
  <si>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</si>
  <si>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</si>
  <si>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</si>
  <si>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</si>
  <si>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</si>
  <si>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</si>
  <si>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</si>
  <si>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</si>
  <si>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</si>
  <si>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</si>
  <si>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</si>
  <si>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</si>
  <si>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</si>
  <si>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</si>
  <si>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</si>
  <si>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</si>
  <si>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</si>
  <si>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</si>
  <si>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</si>
  <si>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</si>
  <si>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</si>
  <si>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</si>
  <si>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</si>
  <si>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</si>
  <si>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</si>
  <si>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</si>
  <si>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</si>
  <si>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</si>
  <si>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</si>
  <si>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</si>
  <si>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</si>
  <si>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</si>
  <si>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</si>
  <si>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</si>
  <si>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</si>
  <si>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</si>
  <si>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</si>
  <si>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</si>
  <si>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</si>
  <si>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</si>
  <si>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</si>
  <si>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</si>
  <si>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</si>
  <si>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</si>
  <si>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</si>
  <si>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</si>
  <si>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</si>
  <si>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</si>
  <si>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</si>
  <si>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</si>
  <si>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</si>
  <si>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</si>
  <si>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</si>
  <si>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</si>
  <si>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</si>
  <si>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</si>
  <si>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</si>
  <si>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</si>
  <si>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</si>
  <si>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</si>
  <si>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</si>
  <si>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</si>
  <si>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</si>
  <si>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</si>
  <si>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</si>
  <si>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</si>
  <si>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</si>
  <si>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</si>
  <si>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</si>
  <si>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</si>
  <si>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</si>
  <si>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</si>
  <si>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</si>
  <si>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</si>
  <si>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</si>
  <si>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</si>
  <si>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</si>
  <si>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</si>
  <si>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</si>
  <si>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</si>
  <si>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</si>
  <si>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</si>
  <si>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</si>
  <si>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</si>
  <si>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</si>
  <si>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</si>
  <si>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</si>
  <si>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</si>
  <si>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</si>
  <si>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</si>
  <si>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</si>
  <si>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</si>
  <si>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</si>
  <si>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</si>
  <si>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</si>
  <si>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</si>
  <si>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</si>
  <si>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</si>
  <si>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</si>
  <si>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</si>
  <si>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</si>
  <si>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</si>
  <si>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</si>
  <si>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</si>
  <si>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</si>
  <si>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</si>
  <si>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</si>
  <si>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</si>
  <si>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</si>
  <si>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</si>
  <si>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</si>
  <si>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</si>
  <si>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</si>
  <si>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</si>
  <si>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</si>
  <si>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</si>
  <si>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</si>
  <si>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</si>
  <si>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</si>
  <si>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</si>
  <si>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</si>
  <si>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</si>
  <si>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</si>
  <si>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</si>
  <si>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</si>
  <si>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</si>
  <si>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</si>
  <si>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</si>
  <si>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</si>
  <si>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</si>
  <si>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</si>
  <si>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</si>
  <si>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</si>
  <si>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</si>
  <si>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</si>
  <si>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</si>
  <si>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</si>
  <si>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</si>
  <si>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</si>
  <si>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</si>
  <si>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</si>
  <si>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</si>
  <si>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</si>
  <si>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</si>
  <si>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</si>
  <si>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</si>
  <si>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</si>
  <si>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</si>
  <si>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</si>
  <si>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</si>
  <si>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</si>
  <si>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</si>
  <si>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</si>
  <si>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</si>
  <si>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</si>
  <si>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</si>
  <si>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</si>
  <si>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</si>
  <si>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</si>
  <si>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</si>
  <si>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</si>
  <si>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</si>
  <si>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</si>
  <si>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</si>
  <si>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</si>
  <si>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</si>
  <si>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</si>
  <si>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</si>
  <si>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</si>
  <si>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</si>
  <si>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</si>
  <si>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</si>
  <si>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</si>
  <si>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</si>
  <si>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</si>
  <si>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</si>
  <si>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</si>
  <si>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</si>
  <si>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</si>
  <si>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</si>
  <si>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</si>
  <si>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</si>
  <si>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</si>
  <si>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</si>
  <si>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</si>
  <si>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</si>
  <si>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</si>
  <si>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</si>
  <si>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</si>
  <si>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</si>
  <si>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</si>
  <si>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</si>
  <si>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</si>
  <si>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</si>
  <si>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</si>
  <si>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</si>
  <si>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</si>
  <si>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</si>
  <si>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</si>
  <si>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</si>
  <si>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</si>
  <si>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</si>
  <si>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</si>
  <si>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</si>
  <si>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</si>
  <si>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</si>
  <si>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</si>
  <si>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</si>
  <si>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</si>
  <si>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</si>
  <si>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</si>
  <si>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</si>
  <si>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</si>
  <si>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</si>
  <si>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</si>
  <si>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</si>
  <si>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</si>
  <si>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</si>
  <si>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</si>
  <si>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</si>
  <si>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</si>
  <si>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</si>
  <si>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</si>
  <si>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</si>
  <si>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</si>
  <si>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</si>
  <si>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</si>
  <si>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</si>
  <si>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</si>
  <si>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</si>
  <si>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</si>
  <si>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</si>
  <si>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</si>
  <si>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</si>
  <si>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</si>
  <si>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</si>
  <si>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</si>
  <si>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</si>
  <si>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</si>
  <si>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</si>
  <si>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</si>
  <si>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</si>
  <si>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</si>
  <si>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</si>
  <si>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</si>
  <si>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</si>
  <si>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</si>
  <si>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</si>
  <si>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</si>
  <si>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</si>
  <si>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</si>
  <si>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</si>
  <si>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</si>
  <si>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</si>
  <si>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</si>
  <si>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</si>
  <si>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</si>
  <si>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</si>
  <si>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</si>
  <si>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</si>
  <si>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</si>
  <si>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</si>
  <si>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</si>
  <si>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</si>
  <si>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</si>
  <si>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</si>
  <si>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</si>
  <si>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</si>
  <si>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</si>
  <si>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</si>
  <si>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</si>
  <si>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</si>
  <si>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</si>
  <si>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</si>
  <si>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</si>
  <si>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</si>
  <si>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</si>
  <si>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</si>
  <si>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</si>
  <si>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</si>
  <si>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</si>
  <si>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</si>
  <si>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</si>
  <si>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</si>
  <si>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</si>
  <si>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</si>
  <si>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</si>
  <si>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</si>
  <si>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</si>
  <si>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</si>
  <si>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</si>
  <si>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</si>
  <si>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</si>
  <si>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</si>
  <si>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</si>
  <si>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</si>
  <si>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</si>
  <si>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</si>
  <si>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</si>
  <si>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</si>
  <si>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</si>
  <si>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</si>
  <si>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</si>
  <si>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</si>
  <si>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</si>
  <si>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</si>
  <si>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</si>
  <si>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</si>
  <si>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</si>
  <si>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</si>
  <si>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</si>
  <si>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</si>
  <si>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</si>
  <si>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</si>
  <si>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</si>
  <si>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</si>
  <si>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</si>
  <si>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</si>
  <si>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</si>
  <si>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</si>
  <si>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</si>
  <si>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</si>
  <si>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</si>
  <si>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</si>
  <si>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</si>
  <si>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</si>
  <si>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</si>
  <si>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</si>
  <si>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</si>
  <si>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</si>
  <si>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</si>
  <si>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</si>
  <si>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</si>
  <si>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</si>
  <si>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</si>
  <si>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</si>
  <si>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</si>
  <si>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</si>
  <si>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</si>
  <si>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</si>
  <si>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</si>
  <si>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</si>
  <si>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</si>
  <si>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</si>
  <si>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</si>
  <si>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</si>
  <si>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</si>
  <si>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</si>
  <si>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</si>
  <si>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</si>
  <si>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</si>
  <si>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</si>
  <si>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</si>
  <si>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</si>
  <si>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</si>
  <si>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</si>
  <si>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</si>
  <si>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</si>
  <si>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</si>
  <si>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</si>
  <si>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</si>
  <si>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</si>
  <si>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</si>
  <si>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</si>
  <si>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</si>
  <si>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</si>
  <si>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</si>
  <si>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</si>
  <si>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</si>
  <si>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</si>
  <si>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</si>
  <si>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</si>
  <si>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</si>
  <si>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</si>
  <si>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</si>
  <si>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</si>
  <si>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</si>
  <si>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</si>
  <si>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</si>
  <si>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</si>
  <si>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</si>
  <si>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</si>
  <si>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</si>
  <si>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</si>
  <si>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</si>
  <si>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</si>
  <si>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</si>
  <si>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</si>
  <si>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</si>
  <si>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</si>
  <si>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</si>
  <si>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</si>
  <si>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</si>
  <si>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</si>
  <si>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</si>
  <si>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</si>
  <si>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</si>
  <si>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</si>
  <si>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</si>
  <si>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</si>
  <si>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</si>
  <si>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</si>
  <si>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</si>
  <si>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</si>
  <si>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</si>
  <si>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</si>
  <si>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</si>
  <si>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</si>
  <si>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</si>
  <si>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</si>
  <si>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</si>
  <si>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</si>
  <si>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</si>
  <si>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</si>
  <si>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</si>
  <si>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</si>
  <si>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</si>
  <si>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</si>
  <si>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</si>
  <si>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</si>
  <si>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</si>
  <si>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</si>
  <si>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</si>
  <si>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</si>
  <si>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</si>
  <si>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</si>
  <si>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</si>
  <si>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</si>
  <si>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</si>
  <si>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</si>
  <si>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</si>
  <si>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</si>
  <si>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</si>
  <si>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</si>
  <si>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</si>
  <si>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</si>
  <si>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</si>
  <si>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</si>
  <si>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</si>
  <si>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</si>
  <si>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</si>
  <si>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</si>
  <si>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</si>
  <si>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</si>
  <si>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</si>
  <si>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</si>
  <si>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</si>
  <si>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</si>
  <si>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</si>
  <si>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</si>
  <si>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</si>
  <si>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</si>
  <si>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</si>
  <si>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</si>
  <si>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</si>
  <si>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</si>
  <si>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</si>
  <si>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</si>
  <si>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</si>
  <si>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</si>
  <si>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</si>
  <si>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</si>
  <si>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</si>
  <si>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</si>
  <si>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</si>
  <si>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</si>
  <si>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</si>
  <si>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</si>
  <si>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</si>
  <si>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</si>
  <si>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</si>
  <si>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</si>
  <si>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</si>
  <si>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</si>
  <si>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</si>
  <si>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</si>
  <si>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</si>
  <si>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</si>
  <si>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</si>
  <si>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</si>
  <si>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</si>
  <si>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</si>
  <si>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</si>
  <si>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</si>
  <si>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</si>
  <si>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</si>
  <si>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</si>
  <si>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</si>
  <si>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</si>
  <si>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</si>
  <si>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</si>
  <si>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</si>
  <si>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</si>
  <si>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</si>
  <si>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</si>
  <si>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</si>
  <si>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</si>
  <si>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</si>
  <si>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</si>
  <si>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</si>
  <si>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</si>
  <si>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</si>
  <si>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</si>
  <si>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</si>
  <si>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</si>
  <si>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</si>
  <si>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</si>
  <si>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</si>
  <si>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</si>
  <si>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</si>
  <si>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</si>
  <si>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</si>
  <si>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</si>
  <si>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</si>
  <si>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</si>
  <si>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</si>
  <si>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</si>
  <si>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</si>
  <si>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</si>
  <si>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</si>
  <si>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</si>
  <si>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</si>
  <si>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</si>
  <si>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</si>
  <si>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</si>
  <si>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</si>
  <si>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</si>
  <si>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</si>
  <si>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</si>
  <si>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</si>
  <si>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</si>
  <si>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</si>
  <si>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</si>
  <si>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</si>
  <si>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</si>
  <si>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</si>
  <si>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</si>
  <si>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</si>
  <si>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</si>
  <si>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</si>
  <si>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</si>
  <si>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</si>
  <si>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</si>
  <si>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</si>
  <si>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</si>
  <si>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</si>
  <si>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</si>
  <si>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</si>
  <si>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</si>
  <si>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</si>
  <si>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</si>
  <si>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</si>
  <si>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</si>
  <si>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</si>
  <si>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</si>
  <si>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</si>
  <si>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</si>
  <si>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</si>
  <si>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</si>
  <si>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</si>
  <si>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</si>
  <si>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</si>
  <si>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</si>
  <si>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</si>
  <si>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</si>
  <si>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</si>
  <si>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</si>
  <si>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</si>
  <si>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</si>
  <si>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</si>
  <si>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</si>
  <si>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</si>
  <si>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</si>
  <si>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</si>
  <si>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</si>
  <si>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</si>
  <si>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</si>
  <si>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</si>
  <si>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</si>
  <si>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</si>
  <si>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</si>
  <si>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</si>
  <si>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</si>
  <si>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</si>
  <si>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</si>
  <si>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</si>
  <si>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</si>
  <si>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</si>
  <si>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</si>
  <si>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</si>
  <si>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</si>
  <si>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</si>
  <si>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</si>
  <si>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</si>
  <si>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</si>
  <si>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</si>
  <si>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</si>
  <si>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</si>
  <si>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</si>
  <si>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</si>
  <si>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</si>
  <si>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</si>
  <si>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</si>
  <si>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</si>
  <si>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</si>
  <si>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</si>
  <si>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</si>
  <si>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</si>
  <si>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</si>
  <si>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</si>
  <si>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</si>
  <si>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</si>
  <si>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</si>
  <si>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</si>
  <si>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</si>
  <si>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</si>
  <si>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</si>
  <si>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</si>
  <si>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</si>
  <si>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</si>
  <si>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</si>
  <si>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</si>
  <si>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</si>
  <si>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</si>
  <si>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</si>
  <si>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</si>
  <si>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</si>
  <si>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</si>
  <si>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</si>
  <si>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</si>
  <si>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</si>
  <si>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</si>
  <si>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</si>
  <si>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</si>
  <si>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</si>
  <si>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</si>
  <si>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</si>
  <si>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</si>
  <si>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</si>
  <si>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</si>
  <si>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</si>
  <si>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</si>
  <si>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</si>
  <si>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</si>
  <si>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</si>
  <si>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</si>
  <si>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</si>
  <si>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</si>
  <si>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</si>
  <si>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</si>
  <si>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</si>
  <si>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</si>
  <si>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</si>
  <si>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</si>
  <si>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</si>
  <si>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</si>
  <si>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</si>
  <si>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</si>
  <si>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</si>
  <si>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</si>
  <si>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</si>
  <si>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</si>
  <si>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</si>
  <si>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</si>
  <si>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</si>
  <si>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</si>
  <si>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</si>
  <si>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</si>
  <si>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</si>
  <si>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</si>
  <si>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</si>
  <si>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</si>
  <si>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</si>
  <si>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</si>
  <si>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</si>
  <si>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</si>
  <si>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</si>
  <si>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</si>
  <si>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</si>
  <si>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</si>
  <si>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</si>
  <si>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</si>
  <si>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</si>
  <si>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</si>
  <si>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</si>
  <si>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</si>
  <si>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</si>
  <si>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</si>
  <si>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</si>
  <si>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</si>
  <si>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</si>
  <si>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</si>
  <si>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</si>
  <si>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</si>
  <si>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</si>
  <si>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</si>
  <si>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</si>
  <si>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</si>
  <si>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</si>
  <si>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</si>
  <si>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</si>
  <si>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</si>
  <si>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</si>
  <si>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</si>
  <si>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</si>
  <si>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</si>
  <si>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</si>
  <si>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</si>
  <si>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</si>
  <si>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</si>
  <si>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</si>
  <si>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</si>
  <si>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</si>
  <si>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</si>
  <si>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</si>
  <si>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</si>
  <si>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</si>
  <si>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</si>
  <si>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</si>
  <si>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</si>
  <si>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</si>
  <si>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</si>
  <si>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</si>
  <si>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</si>
  <si>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</si>
  <si>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</si>
  <si>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</si>
  <si>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</si>
  <si>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</si>
  <si>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</si>
  <si>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</si>
  <si>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</si>
  <si>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</si>
  <si>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</si>
  <si>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</si>
  <si>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</si>
  <si>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</si>
  <si>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</si>
  <si>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</si>
  <si>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</si>
  <si>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</si>
  <si>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</si>
  <si>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</si>
  <si>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</si>
  <si>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</si>
  <si>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</si>
  <si>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</si>
  <si>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</si>
  <si>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</si>
  <si>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</si>
  <si>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</si>
  <si>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</si>
  <si>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</si>
  <si>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</si>
  <si>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</si>
  <si>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</si>
  <si>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</si>
  <si>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</si>
  <si>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</si>
  <si>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</si>
  <si>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</si>
  <si>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</si>
  <si>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</si>
  <si>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</si>
  <si>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</si>
  <si>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</si>
  <si>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</si>
  <si>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</si>
  <si>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</si>
  <si>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</si>
  <si>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</si>
  <si>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</si>
  <si>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</si>
  <si>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</si>
  <si>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</si>
  <si>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</si>
  <si>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</si>
  <si>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</si>
  <si>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</si>
  <si>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</si>
  <si>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</si>
  <si>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</si>
  <si>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</si>
  <si>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</si>
  <si>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</si>
  <si>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</si>
  <si>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</si>
  <si>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</si>
  <si>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</si>
  <si>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</si>
  <si>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</si>
  <si>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</si>
  <si>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</si>
  <si>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</si>
  <si>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</si>
  <si>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</si>
  <si>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</si>
  <si>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</si>
  <si>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</si>
  <si>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</si>
  <si>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</si>
  <si>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</si>
  <si>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</si>
  <si>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</si>
  <si>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</si>
  <si>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</si>
  <si>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</si>
  <si>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</si>
  <si>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</si>
  <si>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</si>
  <si>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</si>
  <si>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</si>
  <si>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</si>
  <si>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</si>
  <si>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</si>
  <si>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</si>
  <si>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</si>
  <si>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</si>
  <si>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</si>
  <si>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</si>
  <si>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</si>
  <si>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</si>
  <si>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</si>
  <si>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</si>
  <si>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</si>
  <si>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</si>
  <si>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</si>
  <si>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</si>
  <si>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</si>
  <si>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</si>
  <si>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</si>
  <si>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</si>
  <si>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</si>
  <si>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</si>
  <si>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</si>
  <si>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</si>
  <si>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</si>
  <si>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</si>
  <si>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</si>
  <si>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</si>
  <si>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</si>
  <si>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</si>
  <si>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</si>
  <si>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</si>
  <si>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</si>
  <si>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</si>
  <si>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</si>
  <si>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</si>
  <si>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</si>
  <si>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</si>
  <si>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</si>
  <si>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</si>
  <si>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</si>
  <si>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</si>
  <si>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</si>
  <si>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</si>
  <si>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</si>
  <si>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</si>
  <si>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</si>
  <si>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</si>
  <si>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</si>
  <si>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</si>
  <si>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</si>
  <si>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</si>
  <si>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</si>
  <si>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</si>
  <si>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</si>
  <si>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</si>
  <si>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</si>
  <si>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</si>
  <si>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</si>
  <si>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</si>
  <si>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</si>
  <si>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</si>
  <si>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</si>
  <si>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</si>
  <si>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</si>
  <si>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</si>
  <si>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</si>
  <si>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</si>
  <si>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</si>
  <si>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</si>
  <si>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</si>
  <si>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</si>
  <si>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</si>
  <si>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</si>
  <si>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</si>
  <si>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</si>
  <si>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</si>
  <si>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</si>
  <si>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</si>
  <si>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</si>
  <si>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</si>
  <si>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</si>
  <si>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</si>
  <si>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</si>
  <si>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</si>
  <si>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</si>
  <si>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</si>
  <si>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</si>
  <si>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</si>
  <si>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</si>
  <si>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</si>
  <si>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</si>
  <si>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</si>
  <si>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</si>
  <si>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</si>
  <si>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</si>
  <si>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</si>
  <si>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</si>
  <si>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</si>
  <si>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</si>
  <si>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</si>
  <si>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</si>
  <si>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</si>
  <si>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</si>
  <si>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</si>
  <si>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</si>
  <si>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</si>
  <si>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</si>
  <si>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</si>
  <si>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</si>
  <si>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</si>
  <si>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</si>
  <si>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</si>
  <si>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</si>
  <si>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</si>
  <si>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</si>
  <si>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</si>
  <si>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</si>
  <si>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</si>
  <si>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</si>
  <si>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</si>
  <si>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</si>
  <si>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</si>
  <si>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</si>
  <si>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</si>
  <si>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</si>
  <si>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</si>
  <si>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</si>
  <si>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</si>
  <si>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</si>
  <si>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</si>
  <si>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</si>
  <si>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</si>
  <si>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</si>
  <si>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</si>
  <si>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</si>
  <si>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</si>
  <si>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</si>
  <si>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</si>
  <si>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</si>
  <si>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</si>
  <si>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</si>
  <si>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</si>
  <si>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</si>
  <si>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</si>
  <si>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</si>
  <si>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</si>
  <si>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</si>
  <si>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</si>
  <si>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</si>
  <si>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</si>
  <si>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</si>
  <si>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</si>
  <si>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</si>
  <si>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</si>
  <si>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</si>
  <si>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</si>
  <si>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</si>
  <si>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</si>
  <si>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</si>
  <si>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</si>
  <si>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</si>
  <si>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</si>
  <si>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</si>
  <si>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</si>
  <si>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</si>
  <si>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</si>
  <si>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</si>
  <si>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</si>
  <si>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</si>
  <si>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</si>
  <si>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</si>
  <si>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</si>
  <si>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</si>
  <si>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</si>
  <si>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</si>
  <si>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</si>
  <si>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</si>
  <si>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</si>
  <si>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</si>
  <si>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</si>
  <si>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</si>
  <si>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</si>
  <si>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</si>
  <si>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</si>
  <si>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</si>
  <si>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</si>
  <si>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</si>
  <si>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</si>
  <si>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</si>
  <si>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</si>
  <si>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</si>
  <si>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</si>
  <si>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</si>
  <si>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</si>
  <si>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</si>
  <si>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</si>
  <si>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</si>
  <si>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</si>
  <si>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</si>
  <si>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</si>
  <si>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</si>
  <si>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</si>
  <si>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</si>
  <si>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</si>
  <si>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</si>
  <si>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</si>
  <si>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</si>
  <si>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</si>
  <si>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</si>
  <si>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</si>
  <si>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</si>
  <si>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</si>
  <si>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</si>
  <si>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</si>
  <si>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</si>
  <si>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</si>
  <si>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</si>
  <si>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</si>
  <si>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</si>
  <si>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</si>
  <si>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</si>
  <si>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</si>
  <si>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</si>
  <si>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</si>
  <si>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</si>
  <si>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</si>
  <si>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</si>
  <si>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</si>
  <si>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</si>
  <si>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</si>
  <si>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</si>
  <si>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</si>
  <si>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</si>
  <si>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</si>
  <si>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</si>
  <si>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</si>
  <si>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</si>
  <si>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</si>
  <si>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</si>
  <si>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</si>
  <si>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</si>
  <si>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</si>
  <si>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</si>
  <si>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</si>
  <si>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</si>
  <si>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</si>
  <si>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</si>
  <si>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</si>
  <si>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</si>
  <si>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</si>
  <si>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</si>
  <si>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</si>
  <si>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</si>
  <si>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</si>
  <si>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</si>
  <si>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</si>
  <si>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</si>
  <si>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</si>
  <si>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</si>
  <si>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</si>
  <si>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</si>
  <si>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</si>
  <si>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</si>
  <si>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</si>
  <si>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</si>
  <si>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</si>
  <si>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</si>
  <si>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</si>
  <si>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</si>
  <si>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</si>
  <si>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</si>
  <si>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</si>
  <si>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</si>
  <si>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</si>
  <si>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</si>
  <si>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</si>
  <si>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</si>
  <si>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</si>
  <si>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</si>
  <si>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</si>
  <si>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</si>
  <si>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</si>
  <si>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</si>
  <si>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</si>
  <si>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</si>
  <si>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</si>
  <si>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</si>
  <si>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</si>
  <si>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</si>
  <si>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</si>
  <si>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</si>
  <si>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</si>
  <si>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</si>
  <si>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</si>
  <si>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</si>
  <si>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</si>
  <si>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</si>
  <si>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</si>
  <si>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</si>
  <si>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</si>
  <si>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</si>
  <si>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</si>
  <si>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</si>
  <si>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</si>
  <si>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</si>
  <si>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</si>
  <si>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</si>
  <si>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</si>
  <si>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</si>
  <si>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</si>
  <si>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</si>
  <si>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</si>
  <si>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</si>
  <si>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</si>
  <si>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</si>
  <si>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</si>
  <si>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</si>
  <si>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</si>
  <si>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</si>
  <si>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</si>
  <si>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</si>
  <si>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</si>
  <si>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</si>
  <si>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</si>
  <si>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</si>
  <si>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</si>
  <si>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</si>
  <si>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</si>
  <si>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</si>
  <si>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</si>
  <si>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</si>
  <si>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</si>
  <si>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</si>
  <si>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</si>
  <si>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</si>
  <si>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</si>
  <si>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</si>
  <si>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</si>
  <si>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</si>
  <si>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</si>
  <si>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</si>
  <si>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</si>
  <si>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</si>
  <si>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</si>
  <si>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</si>
  <si>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</si>
  <si>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</si>
  <si>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</si>
  <si>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</si>
  <si>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</si>
  <si>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</si>
  <si>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</si>
  <si>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</si>
  <si>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</si>
  <si>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</si>
  <si>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</si>
  <si>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</si>
  <si>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</si>
  <si>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</si>
  <si>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</si>
  <si>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</si>
  <si>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</si>
  <si>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</si>
  <si>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</si>
  <si>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</si>
  <si>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</si>
  <si>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</si>
  <si>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</si>
  <si>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</si>
  <si>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</si>
  <si>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</si>
  <si>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</si>
  <si>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</si>
  <si>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</si>
  <si>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</si>
  <si>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</si>
  <si>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</si>
  <si>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</si>
  <si>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</si>
  <si>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</si>
  <si>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</si>
  <si>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</si>
  <si>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</si>
  <si>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</si>
  <si>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</si>
  <si>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</si>
  <si>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</si>
  <si>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</si>
  <si>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</si>
  <si>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</si>
  <si>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</si>
  <si>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</si>
  <si>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</si>
  <si>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</si>
  <si>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</si>
  <si>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</si>
  <si>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</si>
  <si>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</si>
  <si>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</si>
  <si>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</si>
  <si>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</si>
  <si>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</si>
  <si>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</si>
  <si>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</si>
  <si>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</si>
  <si>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</si>
  <si>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</si>
  <si>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</si>
  <si>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</si>
  <si>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</si>
  <si>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</si>
  <si>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</si>
  <si>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</si>
  <si>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</si>
  <si>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</si>
  <si>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</si>
  <si>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</si>
  <si>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</si>
  <si>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</si>
  <si>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</si>
  <si>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</si>
  <si>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</si>
  <si>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</si>
  <si>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</si>
  <si>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</si>
  <si>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</si>
  <si>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</si>
  <si>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</si>
  <si>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</si>
  <si>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</si>
  <si>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</si>
  <si>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</si>
  <si>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</si>
  <si>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</si>
  <si>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</si>
  <si>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</si>
  <si>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</si>
  <si>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</si>
  <si>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</si>
  <si>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</si>
  <si>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</si>
  <si>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</si>
  <si>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</si>
  <si>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</si>
  <si>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</si>
  <si>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</si>
  <si>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</si>
  <si>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</si>
  <si>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</si>
  <si>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</si>
  <si>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</si>
  <si>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</si>
  <si>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</si>
  <si>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</si>
  <si>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</si>
  <si>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</si>
  <si>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</si>
  <si>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</si>
  <si>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</si>
  <si>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</si>
  <si>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</si>
  <si>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</si>
  <si>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</si>
  <si>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</si>
  <si>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</si>
  <si>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</si>
  <si>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</si>
  <si>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</si>
  <si>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</si>
  <si>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</si>
  <si>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</si>
  <si>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</si>
  <si>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</si>
  <si>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</si>
  <si>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</si>
  <si>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</si>
  <si>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</si>
  <si>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</si>
  <si>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</si>
  <si>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</si>
  <si>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</si>
  <si>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</si>
  <si>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</si>
  <si>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</si>
  <si>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</si>
  <si>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</si>
  <si>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</si>
  <si>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</si>
  <si>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</si>
  <si>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</si>
  <si>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</si>
  <si>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</si>
  <si>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</si>
  <si>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</si>
  <si>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</si>
  <si>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</si>
  <si>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</si>
  <si>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</si>
  <si>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</si>
  <si>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</si>
  <si>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</si>
  <si>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</si>
  <si>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</si>
  <si>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</si>
  <si>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</si>
  <si>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</si>
  <si>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</si>
  <si>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</si>
  <si>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</si>
  <si>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</si>
  <si>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</si>
  <si>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</si>
  <si>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</si>
  <si>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</si>
  <si>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</si>
  <si>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</si>
  <si>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</si>
  <si>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</si>
  <si>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</si>
  <si>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</si>
  <si>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</si>
  <si>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</si>
  <si>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</si>
  <si>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</si>
  <si>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</si>
  <si>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</si>
  <si>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</si>
  <si>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</si>
  <si>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</si>
  <si>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</si>
  <si>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</si>
  <si>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</si>
  <si>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</si>
  <si>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</si>
  <si>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</si>
  <si>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</si>
  <si>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</si>
  <si>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</si>
  <si>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</si>
  <si>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</si>
  <si>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</si>
  <si>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</si>
  <si>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</si>
  <si>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</si>
  <si>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</si>
  <si>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</si>
  <si>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</si>
  <si>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</si>
  <si>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</si>
  <si>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</si>
  <si>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</si>
  <si>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</si>
  <si>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</si>
  <si>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</si>
  <si>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</si>
  <si>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</si>
  <si>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</si>
  <si>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</si>
  <si>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</si>
  <si>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</si>
  <si>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</si>
  <si>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</si>
  <si>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</si>
  <si>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</si>
  <si>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</si>
  <si>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</si>
  <si>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</si>
  <si>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</si>
  <si>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</si>
  <si>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</si>
  <si>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</si>
  <si>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</si>
  <si>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</si>
  <si>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</si>
  <si>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</si>
  <si>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</si>
  <si>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</si>
  <si>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</si>
  <si>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</si>
  <si>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</si>
  <si>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</si>
  <si>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</si>
  <si>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</si>
  <si>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</si>
  <si>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</si>
  <si>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</si>
  <si>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</si>
  <si>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</si>
  <si>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</si>
  <si>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</si>
  <si>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</si>
  <si>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</si>
  <si>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</si>
  <si>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</si>
  <si>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</si>
  <si>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</si>
  <si>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</si>
  <si>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</si>
  <si>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</si>
  <si>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</si>
  <si>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</si>
  <si>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</si>
  <si>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</si>
  <si>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</si>
  <si>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</si>
  <si>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</si>
  <si>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</si>
  <si>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</si>
  <si>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</si>
  <si>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</si>
  <si>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</si>
  <si>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</si>
  <si>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</si>
  <si>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</si>
  <si>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</si>
  <si>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</si>
  <si>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</si>
  <si>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</si>
  <si>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</si>
  <si>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</si>
  <si>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</si>
  <si>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</si>
  <si>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</si>
  <si>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</si>
  <si>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</si>
  <si>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</si>
  <si>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</si>
  <si>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</si>
  <si>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</si>
  <si>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</si>
  <si>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</si>
  <si>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</si>
  <si>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</si>
  <si>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</si>
  <si>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</si>
  <si>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</si>
  <si>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</si>
  <si>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</si>
  <si>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</si>
  <si>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</si>
  <si>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</si>
  <si>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</si>
  <si>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</si>
  <si>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</si>
  <si>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</si>
  <si>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</si>
  <si>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</si>
  <si>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</si>
  <si>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</si>
  <si>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</si>
  <si>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</si>
  <si>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</si>
  <si>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</si>
  <si>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</si>
  <si>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</si>
  <si>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</si>
  <si>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</si>
  <si>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</si>
  <si>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</si>
  <si>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</si>
  <si>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</si>
  <si>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</si>
  <si>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</si>
  <si>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</si>
  <si>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</si>
  <si>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</si>
  <si>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</si>
  <si>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</si>
  <si>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</si>
  <si>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</si>
  <si>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</si>
  <si>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</si>
  <si>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</si>
  <si>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</si>
  <si>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</si>
  <si>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</si>
  <si>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</si>
  <si>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</si>
  <si>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</si>
  <si>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</si>
  <si>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</si>
  <si>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</si>
  <si>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</si>
  <si>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</si>
  <si>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</si>
  <si>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</si>
  <si>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</si>
  <si>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</si>
  <si>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</si>
  <si>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</si>
  <si>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</si>
  <si>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</si>
  <si>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</si>
  <si>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</si>
  <si>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</si>
  <si>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</si>
  <si>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</si>
  <si>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</si>
  <si>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</si>
  <si>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</si>
  <si>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</si>
  <si>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</si>
  <si>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</si>
  <si>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</si>
  <si>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</si>
  <si>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</si>
  <si>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</si>
  <si>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</si>
  <si>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</si>
  <si>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</si>
  <si>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</si>
  <si>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</si>
  <si>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</si>
  <si>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</si>
  <si>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</si>
  <si>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</si>
  <si>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</si>
  <si>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</si>
  <si>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</si>
  <si>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</si>
  <si>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</si>
  <si>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</si>
  <si>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</si>
  <si>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</si>
  <si>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</si>
  <si>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</si>
  <si>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</si>
  <si>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</si>
  <si>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</si>
  <si>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</si>
  <si>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</si>
  <si>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</si>
  <si>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</si>
  <si>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</si>
  <si>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</si>
  <si>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</si>
  <si>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</si>
  <si>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</si>
  <si>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</si>
  <si>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</si>
  <si>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</si>
  <si>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</si>
  <si>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</si>
  <si>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</si>
  <si>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</si>
  <si>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</si>
  <si>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</si>
  <si>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</si>
  <si>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</si>
  <si>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</si>
  <si>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</si>
  <si>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</si>
  <si>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</si>
  <si>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</si>
  <si>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</si>
  <si>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</si>
  <si>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</si>
  <si>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</si>
  <si>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</si>
  <si>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</si>
  <si>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</si>
  <si>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</si>
  <si>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</si>
  <si>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</si>
  <si>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</si>
  <si>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</si>
  <si>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</si>
  <si>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</si>
  <si>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</si>
  <si>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</si>
  <si>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</si>
  <si>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</si>
  <si>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</si>
  <si>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</si>
  <si>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</si>
  <si>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</si>
  <si>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</si>
  <si>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</si>
  <si>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</si>
  <si>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</si>
  <si>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</si>
  <si>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</si>
  <si>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</si>
  <si>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</si>
  <si>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</si>
  <si>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</si>
  <si>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</si>
  <si>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</si>
  <si>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</si>
  <si>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</si>
  <si>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</si>
  <si>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</si>
  <si>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</si>
  <si>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</si>
  <si>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</si>
  <si>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</si>
  <si>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</si>
  <si>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</si>
  <si>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</si>
  <si>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</si>
  <si>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</si>
  <si>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</si>
  <si>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</si>
  <si>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</si>
  <si>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</si>
  <si>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</si>
  <si>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</si>
  <si>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</si>
  <si>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</si>
  <si>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</si>
  <si>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</si>
  <si>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</si>
  <si>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</si>
  <si>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</si>
  <si>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</si>
  <si>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</si>
  <si>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</si>
  <si>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</si>
  <si>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</si>
  <si>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</si>
  <si>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</si>
  <si>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</si>
  <si>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</si>
  <si>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</si>
  <si>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</si>
  <si>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</si>
  <si>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</si>
  <si>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</si>
  <si>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</si>
  <si>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</si>
  <si>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</si>
  <si>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</si>
  <si>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</si>
  <si>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</si>
  <si>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</si>
  <si>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</si>
  <si>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</si>
  <si>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</si>
  <si>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</si>
  <si>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</si>
  <si>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</si>
  <si>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</si>
  <si>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</si>
  <si>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</si>
  <si>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</si>
  <si>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</si>
  <si>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</si>
  <si>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</si>
  <si>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</si>
  <si>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</si>
  <si>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</si>
  <si>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</si>
  <si>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</si>
  <si>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</si>
  <si>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</si>
  <si>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</si>
  <si>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</si>
  <si>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</si>
  <si>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</si>
  <si>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</si>
  <si>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</si>
  <si>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</si>
  <si>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</si>
  <si>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</si>
  <si>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</si>
  <si>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</si>
  <si>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</si>
  <si>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</si>
  <si>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</si>
  <si>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</si>
  <si>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</si>
  <si>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</si>
  <si>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</si>
  <si>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</si>
  <si>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</si>
  <si>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</si>
  <si>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</si>
  <si>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</si>
  <si>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</si>
  <si>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</si>
  <si>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</si>
  <si>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</si>
  <si>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</si>
  <si>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</si>
  <si>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</si>
  <si>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</si>
  <si>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</si>
  <si>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</si>
  <si>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</si>
  <si>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</si>
  <si>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</si>
  <si>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</si>
  <si>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</si>
  <si>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</si>
  <si>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</si>
  <si>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</si>
  <si>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</si>
  <si>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</si>
  <si>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</si>
  <si>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</si>
  <si>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</si>
  <si>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</si>
  <si>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</si>
  <si>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</si>
  <si>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</si>
  <si>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</si>
  <si>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</si>
  <si>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</si>
  <si>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</si>
  <si>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</si>
  <si>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</si>
  <si>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</si>
  <si>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</si>
  <si>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</si>
  <si>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</si>
  <si>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</si>
  <si>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</si>
  <si>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</si>
  <si>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</si>
  <si>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</si>
  <si>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</si>
  <si>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</si>
  <si>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</si>
  <si>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</si>
  <si>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</si>
  <si>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</si>
  <si>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</si>
  <si>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</si>
  <si>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</si>
  <si>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</si>
  <si>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</si>
  <si>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</si>
  <si>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</si>
  <si>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</si>
  <si>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</si>
  <si>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</si>
  <si>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</si>
  <si>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</si>
  <si>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</si>
  <si>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</si>
  <si>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</si>
  <si>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</si>
  <si>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</si>
  <si>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</si>
  <si>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</si>
  <si>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</si>
  <si>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</si>
  <si>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</si>
  <si>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</si>
  <si>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</si>
  <si>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</si>
  <si>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</si>
  <si>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</si>
  <si>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</si>
  <si>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</si>
  <si>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</si>
  <si>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</si>
  <si>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</si>
  <si>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</si>
  <si>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</si>
  <si>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</si>
  <si>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</si>
  <si>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</si>
  <si>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</si>
  <si>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</si>
  <si>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</si>
  <si>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</si>
  <si>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</si>
  <si>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</si>
  <si>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</si>
  <si>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</si>
  <si>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</si>
  <si>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</si>
  <si>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</si>
  <si>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</si>
  <si>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</si>
  <si>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</si>
  <si>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</si>
  <si>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</si>
  <si>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</si>
  <si>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</si>
  <si>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</si>
  <si>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</si>
  <si>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</si>
  <si>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</si>
  <si>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</si>
  <si>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</si>
  <si>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</si>
  <si>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</si>
  <si>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</si>
  <si>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</si>
  <si>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</si>
  <si>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</si>
  <si>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</si>
  <si>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</si>
  <si>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</si>
  <si>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</si>
  <si>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</si>
  <si>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</si>
  <si>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</si>
  <si>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</si>
  <si>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</si>
  <si>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</si>
  <si>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</si>
  <si>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</si>
  <si>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</si>
  <si>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</si>
  <si>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</si>
  <si>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</si>
  <si>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</si>
  <si>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</si>
  <si>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</si>
  <si>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</si>
  <si>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</si>
  <si>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</si>
  <si>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</si>
  <si>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</si>
  <si>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</si>
  <si>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</si>
  <si>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</si>
  <si>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</si>
  <si>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</si>
  <si>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</si>
  <si>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</si>
  <si>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</si>
  <si>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</si>
  <si>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</si>
  <si>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</si>
  <si>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</si>
  <si>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</si>
  <si>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</si>
  <si>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</si>
  <si>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</si>
  <si>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</si>
  <si>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</si>
  <si>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</si>
  <si>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</si>
  <si>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</si>
  <si>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</si>
  <si>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</si>
  <si>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</si>
  <si>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</si>
  <si>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</si>
  <si>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</si>
  <si>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</si>
  <si>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</si>
  <si>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</si>
  <si>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</si>
  <si>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</si>
  <si>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</si>
  <si>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</si>
  <si>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</si>
  <si>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</si>
  <si>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</si>
  <si>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</si>
  <si>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</si>
  <si>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</si>
  <si>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</si>
  <si>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</si>
  <si>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</si>
  <si>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</si>
  <si>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</si>
  <si>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</si>
  <si>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</si>
  <si>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</si>
  <si>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</si>
  <si>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</si>
  <si>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</si>
  <si>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</si>
  <si>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</si>
  <si>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</si>
  <si>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</si>
  <si>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</si>
  <si>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</si>
  <si>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</si>
  <si>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</si>
  <si>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</si>
  <si>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</si>
  <si>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</si>
  <si>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</si>
  <si>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</si>
  <si>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</si>
  <si>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</si>
  <si>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</si>
  <si>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</si>
  <si>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</si>
  <si>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</si>
  <si>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</si>
  <si>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</si>
  <si>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</si>
  <si>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</si>
  <si>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</si>
  <si>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</si>
  <si>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</si>
  <si>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</si>
  <si>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</si>
  <si>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</si>
  <si>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</si>
  <si>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</si>
  <si>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</si>
  <si>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</si>
  <si>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</si>
  <si>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</si>
  <si>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</si>
  <si>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</si>
  <si>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</si>
  <si>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</si>
  <si>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</si>
  <si>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</si>
  <si>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</si>
  <si>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</si>
  <si>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</si>
  <si>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</si>
  <si>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</si>
  <si>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</si>
  <si>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</si>
  <si>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</si>
  <si>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</si>
  <si>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</si>
  <si>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</si>
  <si>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</si>
  <si>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</si>
  <si>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</si>
  <si>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</si>
  <si>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</si>
  <si>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</si>
  <si>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</si>
  <si>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</si>
  <si>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</si>
  <si>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</si>
  <si>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</si>
  <si>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</si>
  <si>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</si>
  <si>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</si>
  <si>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</si>
  <si>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</si>
  <si>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</si>
  <si>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</si>
  <si>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</si>
  <si>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</si>
  <si>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</si>
  <si>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</si>
  <si>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</si>
  <si>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</si>
  <si>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</si>
  <si>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</si>
  <si>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</si>
  <si>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</si>
  <si>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</si>
  <si>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</si>
  <si>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</si>
  <si>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</si>
  <si>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</si>
  <si>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</si>
  <si>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</si>
  <si>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</si>
  <si>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</si>
  <si>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</si>
  <si>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</si>
  <si>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</si>
  <si>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</si>
  <si>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</si>
  <si>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</si>
  <si>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</si>
  <si>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</si>
  <si>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</si>
  <si>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</si>
  <si>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</si>
  <si>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</si>
  <si>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</si>
  <si>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</si>
  <si>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</si>
  <si>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</si>
  <si>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</si>
  <si>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</si>
  <si>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</si>
  <si>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</si>
  <si>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</si>
  <si>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</si>
  <si>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</si>
  <si>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</si>
  <si>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</si>
  <si>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</si>
  <si>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</si>
  <si>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</si>
  <si>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</si>
  <si>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</si>
  <si>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</si>
  <si>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</si>
  <si>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</si>
  <si>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</si>
  <si>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</si>
  <si>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</si>
  <si>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</si>
  <si>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</si>
  <si>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</si>
  <si>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</si>
  <si>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</si>
  <si>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</si>
  <si>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</si>
  <si>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</si>
  <si>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</si>
  <si>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</si>
  <si>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</si>
  <si>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</si>
  <si>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</si>
  <si>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</si>
  <si>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</si>
  <si>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</si>
  <si>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</si>
  <si>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</si>
  <si>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</si>
  <si>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</si>
  <si>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</si>
  <si>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</si>
  <si>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</si>
  <si>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</si>
  <si>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</si>
  <si>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</si>
  <si>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</si>
  <si>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</si>
  <si>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</si>
  <si>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</si>
  <si>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</si>
  <si>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</si>
  <si>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</si>
  <si>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</si>
  <si>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</si>
  <si>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</si>
  <si>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</si>
  <si>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</si>
  <si>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</si>
  <si>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</si>
  <si>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</si>
  <si>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</si>
  <si>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</si>
  <si>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</si>
  <si>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MACOUPIN</t>
  </si>
  <si>
    <t>70 N. DENEEN ST.</t>
  </si>
  <si>
    <t>STAUNTON</t>
  </si>
  <si>
    <t>ASTORM@SMASESCHOOLS.ORG</t>
  </si>
  <si>
    <t>ALISON STORM</t>
  </si>
  <si>
    <t>ASTORM@STAUNTONSCHOOLS.ORG</t>
  </si>
  <si>
    <t>618-635-8230</t>
  </si>
  <si>
    <t>618-635-4637</t>
  </si>
  <si>
    <t>LOY MILLER TALLEY, PC</t>
  </si>
  <si>
    <t>KENNETH E. LOY, CPA</t>
  </si>
  <si>
    <t>#2 CROSSROADS CT</t>
  </si>
  <si>
    <t>ALTON</t>
  </si>
  <si>
    <t>IL</t>
  </si>
  <si>
    <t>618-465-1196</t>
  </si>
  <si>
    <t>618-465-2900</t>
  </si>
  <si>
    <t>066-004886</t>
  </si>
  <si>
    <t>KEN@LMTCPAS.COM</t>
  </si>
  <si>
    <t>MICHELLE MUELLER</t>
  </si>
  <si>
    <t>MMUELLER@ROE40.COM</t>
  </si>
  <si>
    <t>217-854-4016</t>
  </si>
  <si>
    <t>217-854-2032</t>
  </si>
  <si>
    <t>10-1819 $8279 MISC TUITION REFUNDED</t>
  </si>
  <si>
    <t>10-3199 DHS REVENUE $30050</t>
  </si>
  <si>
    <t>NO CONTRACTS</t>
  </si>
  <si>
    <t>Audit Check #15 - no contracts</t>
  </si>
  <si>
    <t xml:space="preserve">   South Macoupin SASE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</si>
</sst>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C0000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c r="C5" s="26" t="s">
        <v>904</v>
      </c>
      <c r="D5" s="81"/>
      <c r="E5" s="81"/>
      <c r="H5" s="38"/>
      <c r="I5" s="2089" t="s">
        <v>675</v>
      </c>
      <c r="J5" s="2088"/>
      <c r="K5" s="2088"/>
      <c r="L5" s="2088"/>
      <c r="M5" s="2088"/>
      <c r="N5" s="2088"/>
      <c r="O5" s="2088"/>
      <c r="P5" s="2088"/>
      <c r="Q5" s="2088"/>
      <c r="R5" s="2088"/>
      <c r="S5" s="2088"/>
      <c r="AF5" s="1827"/>
    </row>
    <row r="6" spans="1:32" ht="14.1" customHeight="1" x14ac:dyDescent="0.2">
      <c r="B6" s="101" t="s">
        <v>2051</v>
      </c>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2051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40056801060</v>
      </c>
      <c r="B13" s="2101"/>
      <c r="C13" s="2101"/>
      <c r="D13" s="2101"/>
      <c r="E13" s="2101"/>
      <c r="F13" s="2101"/>
      <c r="G13" s="2101"/>
      <c r="H13" s="2102"/>
      <c r="I13" s="31"/>
      <c r="J13" s="30"/>
      <c r="K13" s="28"/>
      <c r="L13" s="30"/>
      <c r="M13" s="30"/>
      <c r="N13" s="30"/>
      <c r="O13" s="30"/>
      <c r="P13" s="30"/>
      <c r="Q13" s="30"/>
      <c r="R13" s="30"/>
      <c r="S13" s="30"/>
      <c r="T13" s="2106" t="s">
        <v>2060</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2052</v>
      </c>
      <c r="B15" s="2104"/>
      <c r="C15" s="2104"/>
      <c r="D15" s="2104"/>
      <c r="E15" s="2104"/>
      <c r="F15" s="2104"/>
      <c r="G15" s="2104"/>
      <c r="H15" s="2105"/>
      <c r="T15" s="2110" t="s">
        <v>2061</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2077</v>
      </c>
      <c r="B17" s="2074"/>
      <c r="C17" s="2074"/>
      <c r="D17" s="2074"/>
      <c r="E17" s="2074"/>
      <c r="F17" s="2074"/>
      <c r="G17" s="2074"/>
      <c r="H17" s="2099"/>
      <c r="T17" s="2117" t="s">
        <v>2062</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2053</v>
      </c>
      <c r="B19" s="2059"/>
      <c r="C19" s="2059"/>
      <c r="D19" s="2059"/>
      <c r="E19" s="2059"/>
      <c r="F19" s="2059"/>
      <c r="G19" s="2059"/>
      <c r="H19" s="2039"/>
      <c r="I19" s="30"/>
      <c r="J19" s="96"/>
      <c r="K19" s="40"/>
      <c r="L19" s="38"/>
      <c r="M19" s="109" t="s">
        <v>312</v>
      </c>
      <c r="P19" s="27"/>
      <c r="Q19" s="27"/>
      <c r="R19" s="27"/>
      <c r="S19" s="31"/>
      <c r="T19" s="2103" t="s">
        <v>2063</v>
      </c>
      <c r="U19" s="2038"/>
      <c r="V19" s="2038"/>
      <c r="W19" s="2039"/>
      <c r="X19" s="2115" t="s">
        <v>2064</v>
      </c>
      <c r="Y19" s="2116"/>
      <c r="Z19" s="2113">
        <v>62002</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2054</v>
      </c>
      <c r="B21" s="2038"/>
      <c r="C21" s="2038"/>
      <c r="D21" s="2038"/>
      <c r="E21" s="2038"/>
      <c r="F21" s="2038"/>
      <c r="G21" s="2038"/>
      <c r="H21" s="2039"/>
      <c r="I21" s="2093" t="s">
        <v>673</v>
      </c>
      <c r="J21" s="2088"/>
      <c r="K21" s="2088"/>
      <c r="L21" s="2088"/>
      <c r="M21" s="2088"/>
      <c r="N21" s="2088"/>
      <c r="O21" s="2088"/>
      <c r="P21" s="2088"/>
      <c r="Q21" s="2088"/>
      <c r="R21" s="2088"/>
      <c r="S21" s="2094"/>
      <c r="T21" s="2128" t="s">
        <v>2065</v>
      </c>
      <c r="U21" s="2129"/>
      <c r="V21" s="2129"/>
      <c r="W21" s="2129"/>
      <c r="X21" s="2134" t="s">
        <v>2066</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2055</v>
      </c>
      <c r="B23" s="2091"/>
      <c r="C23" s="2091"/>
      <c r="D23" s="2091"/>
      <c r="E23" s="2091"/>
      <c r="F23" s="2091"/>
      <c r="G23" s="2091"/>
      <c r="H23" s="2092"/>
      <c r="T23" s="2073" t="s">
        <v>2067</v>
      </c>
      <c r="U23" s="2127"/>
      <c r="V23" s="2127"/>
      <c r="W23" s="2127"/>
      <c r="X23" s="2131">
        <v>44197</v>
      </c>
      <c r="Y23" s="2132"/>
      <c r="Z23" s="2132"/>
      <c r="AA23" s="2133"/>
    </row>
    <row r="24" spans="1:27" ht="14.1" customHeight="1" x14ac:dyDescent="0.2">
      <c r="A24" s="85" t="s">
        <v>672</v>
      </c>
      <c r="B24" s="46"/>
      <c r="C24" s="46"/>
      <c r="D24" s="46"/>
      <c r="E24" s="46"/>
      <c r="F24" s="46"/>
      <c r="G24" s="46"/>
      <c r="H24" s="58"/>
      <c r="J24" s="2060" t="str">
        <f>IF(B5="x",IF(AUDITCHECK!D29="AFR form Incomplete.","",IF(AUDITCHECK!D29="Deficit reduction plan is required.","School District must complete a deficit reduction plan in the 2020-2021 Budget",)),"")</f>
        <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62088</v>
      </c>
      <c r="B25" s="2038"/>
      <c r="C25" s="2038"/>
      <c r="D25" s="2038"/>
      <c r="E25" s="2038"/>
      <c r="F25" s="2038"/>
      <c r="G25" s="2038"/>
      <c r="H25" s="2039"/>
      <c r="I25" s="110"/>
      <c r="J25" s="2062"/>
      <c r="K25" s="2062"/>
      <c r="L25" s="2062"/>
      <c r="M25" s="2062"/>
      <c r="N25" s="2062"/>
      <c r="O25" s="2062"/>
      <c r="P25" s="2062"/>
      <c r="Q25" s="2062"/>
      <c r="R25" s="2062"/>
      <c r="S25" s="2063"/>
      <c r="T25" s="2124" t="s">
        <v>2068</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144" t="s">
        <v>2051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2056</v>
      </c>
      <c r="B38" s="2074"/>
      <c r="C38" s="2074"/>
      <c r="D38" s="2074"/>
      <c r="E38" s="2074"/>
      <c r="F38" s="2038"/>
      <c r="G38" s="2038"/>
      <c r="H38" s="2039"/>
      <c r="I38" s="2066"/>
      <c r="J38" s="2067"/>
      <c r="K38" s="2067"/>
      <c r="L38" s="2067"/>
      <c r="M38" s="2067"/>
      <c r="N38" s="2067"/>
      <c r="O38" s="2067"/>
      <c r="P38" s="2068"/>
      <c r="Q38" s="2068"/>
      <c r="R38" s="2068"/>
      <c r="S38" s="2069"/>
      <c r="T38" s="2110" t="s">
        <v>2069</v>
      </c>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2057</v>
      </c>
      <c r="B40" s="2052"/>
      <c r="C40" s="2053"/>
      <c r="D40" s="2053"/>
      <c r="E40" s="2053"/>
      <c r="F40" s="2054"/>
      <c r="G40" s="2054"/>
      <c r="H40" s="2055"/>
      <c r="I40" s="2076"/>
      <c r="J40" s="2077"/>
      <c r="K40" s="2077"/>
      <c r="L40" s="2077"/>
      <c r="M40" s="2077"/>
      <c r="N40" s="2077"/>
      <c r="O40" s="2077"/>
      <c r="P40" s="2077"/>
      <c r="Q40" s="2077"/>
      <c r="R40" s="2077"/>
      <c r="S40" s="2078"/>
      <c r="T40" s="2076" t="s">
        <v>2070</v>
      </c>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2058</v>
      </c>
      <c r="B42" s="2057"/>
      <c r="C42" s="2058"/>
      <c r="D42" s="2056" t="s">
        <v>2059</v>
      </c>
      <c r="E42" s="2057"/>
      <c r="F42" s="2057"/>
      <c r="G42" s="2057"/>
      <c r="H42" s="2058"/>
      <c r="I42" s="2040"/>
      <c r="J42" s="2041"/>
      <c r="K42" s="2041"/>
      <c r="L42" s="2041"/>
      <c r="M42" s="2041"/>
      <c r="N42" s="2041"/>
      <c r="O42" s="2042"/>
      <c r="P42" s="2075"/>
      <c r="Q42" s="2041"/>
      <c r="R42" s="2041"/>
      <c r="S42" s="2042"/>
      <c r="T42" s="2040" t="s">
        <v>2071</v>
      </c>
      <c r="U42" s="2041"/>
      <c r="V42" s="2041"/>
      <c r="W42" s="2042"/>
      <c r="X42" s="2075" t="s">
        <v>2072</v>
      </c>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sheetPr>
  <dimension ref="A1:H36"/>
  <sheetViews>
    <sheetView showGridLines="0" defaultGridColor="0" colorId="8" zoomScale="110" zoomScaleNormal="110" workbookViewId="0">
      <selection activeCell="B26" sqref="B2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1779</v>
      </c>
      <c r="B2" s="231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56"/>
      <c r="D4" s="1656"/>
      <c r="E4" s="1656"/>
      <c r="F4" s="1732">
        <f>SUM(C4+D4)-E4</f>
        <v>0</v>
      </c>
    </row>
    <row r="5" spans="1:7" ht="15.75" customHeight="1" thickTop="1" x14ac:dyDescent="0.2">
      <c r="A5" s="2309" t="s">
        <v>1101</v>
      </c>
      <c r="B5" s="2304"/>
      <c r="C5" s="2298"/>
      <c r="D5" s="2299"/>
      <c r="E5" s="2299"/>
      <c r="F5" s="230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1" t="s">
        <v>627</v>
      </c>
      <c r="B15" s="2302"/>
      <c r="C15" s="1732">
        <f>SUM(C6:C14)</f>
        <v>0</v>
      </c>
      <c r="D15" s="1732">
        <f>SUM(D6:D14)</f>
        <v>0</v>
      </c>
      <c r="E15" s="1732">
        <f>SUM(E6:E14)</f>
        <v>0</v>
      </c>
      <c r="F15" s="173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733"/>
      <c r="D17" s="1664"/>
      <c r="E17" s="1733"/>
      <c r="F17" s="1732">
        <f>SUM(C17+D17)-E17</f>
        <v>0</v>
      </c>
    </row>
    <row r="18" spans="1:11" ht="12.75" customHeight="1" thickTop="1" thickBot="1" x14ac:dyDescent="0.25">
      <c r="A18" s="2296" t="s">
        <v>6</v>
      </c>
      <c r="B18" s="2297"/>
      <c r="C18" s="1733"/>
      <c r="D18" s="1664"/>
      <c r="E18" s="1733"/>
      <c r="F18" s="1732">
        <f>SUM(C18+D18)-E18</f>
        <v>0</v>
      </c>
    </row>
    <row r="19" spans="1:11" ht="12.75" customHeight="1" thickTop="1" thickBot="1" x14ac:dyDescent="0.25">
      <c r="A19" s="2296" t="s">
        <v>385</v>
      </c>
      <c r="B19" s="2297"/>
      <c r="C19" s="1733"/>
      <c r="D19" s="1664"/>
      <c r="E19" s="1733"/>
      <c r="F19" s="1732">
        <f>SUM(C19+D19)-E19</f>
        <v>0</v>
      </c>
    </row>
    <row r="20" spans="1:11" ht="12.75" customHeight="1" thickTop="1" thickBot="1" x14ac:dyDescent="0.25">
      <c r="A20" s="2296" t="s">
        <v>445</v>
      </c>
      <c r="B20" s="2297"/>
      <c r="C20" s="1733"/>
      <c r="D20" s="1664"/>
      <c r="E20" s="1733"/>
      <c r="F20" s="1732">
        <f>SUM(C20+D20)-E20</f>
        <v>0</v>
      </c>
    </row>
    <row r="21" spans="1:11" ht="14.25" thickTop="1" thickBot="1" x14ac:dyDescent="0.25">
      <c r="A21" s="2301" t="s">
        <v>628</v>
      </c>
      <c r="B21" s="2302"/>
      <c r="C21" s="1732">
        <f>SUM(C17:C20)</f>
        <v>0</v>
      </c>
      <c r="D21" s="1732">
        <f>SUM(D17:D20)</f>
        <v>0</v>
      </c>
      <c r="E21" s="1732">
        <f>SUM(E17:E20)</f>
        <v>0</v>
      </c>
      <c r="F21" s="173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56"/>
      <c r="D23" s="1656"/>
      <c r="E23" s="1656"/>
      <c r="F23" s="1732">
        <f>SUM(C23+D23)-E23</f>
        <v>0</v>
      </c>
      <c r="G23" s="473"/>
    </row>
    <row r="24" spans="1:11" ht="15.75" customHeight="1" thickTop="1" x14ac:dyDescent="0.2">
      <c r="A24" s="2303" t="s">
        <v>2006</v>
      </c>
      <c r="B24" s="2304"/>
      <c r="C24" s="2298"/>
      <c r="D24" s="2299"/>
      <c r="E24" s="2299"/>
      <c r="F24" s="2300"/>
    </row>
    <row r="25" spans="1:11" ht="13.5" thickBot="1" x14ac:dyDescent="0.25">
      <c r="A25" s="2305" t="s">
        <v>2007</v>
      </c>
      <c r="B25" s="2306"/>
      <c r="C25" s="1656"/>
      <c r="D25" s="1656"/>
      <c r="E25" s="1656"/>
      <c r="F25" s="173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64"/>
      <c r="D27" s="1664"/>
      <c r="E27" s="1664"/>
      <c r="F27" s="173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C00000"/>
  </sheetPr>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8"/>
      <c r="I1" s="614"/>
      <c r="J1" s="400"/>
    </row>
    <row r="2" spans="1:11" ht="26.25" x14ac:dyDescent="0.2">
      <c r="A2" s="2338" t="s">
        <v>1658</v>
      </c>
      <c r="B2" s="2339"/>
      <c r="C2" s="2339"/>
      <c r="D2" s="2339"/>
      <c r="E2" s="2340"/>
      <c r="F2" s="615" t="s">
        <v>898</v>
      </c>
      <c r="G2" s="616" t="s">
        <v>1655</v>
      </c>
      <c r="H2" s="616" t="s">
        <v>407</v>
      </c>
      <c r="I2" s="616" t="s">
        <v>1148</v>
      </c>
      <c r="J2" s="616" t="s">
        <v>1789</v>
      </c>
      <c r="K2" s="616" t="s">
        <v>137</v>
      </c>
    </row>
    <row r="3" spans="1:11" x14ac:dyDescent="0.2">
      <c r="A3" s="2341" t="str">
        <f>"Cash Basis Fund Balance as of July 1, "&amp;'AFR20'!E2-1</f>
        <v>Cash Basis Fund Balance as of July 1, 2019</v>
      </c>
      <c r="B3" s="2342"/>
      <c r="C3" s="2342"/>
      <c r="D3" s="2342"/>
      <c r="E3" s="2343"/>
      <c r="F3" s="617"/>
      <c r="G3" s="1744"/>
      <c r="H3" s="1744"/>
      <c r="I3" s="1744"/>
      <c r="J3" s="1745"/>
      <c r="K3" s="1745"/>
    </row>
    <row r="4" spans="1:11" x14ac:dyDescent="0.2">
      <c r="A4" s="2344" t="s">
        <v>366</v>
      </c>
      <c r="B4" s="2345"/>
      <c r="C4" s="2345"/>
      <c r="D4" s="2345"/>
      <c r="E4" s="2291"/>
      <c r="F4" s="620"/>
      <c r="G4" s="1746"/>
      <c r="H4" s="1747"/>
      <c r="I4" s="1746"/>
      <c r="J4" s="1748"/>
      <c r="K4" s="1748"/>
    </row>
    <row r="5" spans="1:11" x14ac:dyDescent="0.2">
      <c r="A5" s="2322" t="s">
        <v>1060</v>
      </c>
      <c r="B5" s="2323"/>
      <c r="C5" s="2323"/>
      <c r="D5" s="2323"/>
      <c r="E5" s="2324"/>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2" t="s">
        <v>1790</v>
      </c>
      <c r="B10" s="2323"/>
      <c r="C10" s="2323"/>
      <c r="D10" s="2323"/>
      <c r="E10" s="2325"/>
      <c r="F10" s="633" t="s">
        <v>857</v>
      </c>
      <c r="G10" s="1753"/>
      <c r="H10" s="1754"/>
      <c r="I10" s="1744"/>
      <c r="J10" s="1745"/>
      <c r="K10" s="1745"/>
    </row>
    <row r="11" spans="1:11" x14ac:dyDescent="0.2">
      <c r="A11" s="2322" t="s">
        <v>159</v>
      </c>
      <c r="B11" s="2323"/>
      <c r="C11" s="2323"/>
      <c r="D11" s="2323"/>
      <c r="E11" s="2324"/>
      <c r="F11" s="622" t="s">
        <v>847</v>
      </c>
      <c r="G11" s="1749"/>
      <c r="H11" s="1744"/>
      <c r="I11" s="1744"/>
      <c r="J11" s="1745"/>
      <c r="K11" s="1751"/>
    </row>
    <row r="12" spans="1:11" ht="13.5" thickBot="1" x14ac:dyDescent="0.25">
      <c r="A12" s="2349" t="s">
        <v>899</v>
      </c>
      <c r="B12" s="2350"/>
      <c r="C12" s="2350"/>
      <c r="D12" s="2350"/>
      <c r="E12" s="2351"/>
      <c r="F12" s="1433"/>
      <c r="G12" s="1755">
        <f>SUM(G5:G11)</f>
        <v>0</v>
      </c>
      <c r="H12" s="1755">
        <f>SUM(H5:H11)</f>
        <v>0</v>
      </c>
      <c r="I12" s="1755">
        <f>SUM(I5:I11)</f>
        <v>0</v>
      </c>
      <c r="J12" s="1755">
        <f>SUM(J5:J11)</f>
        <v>0</v>
      </c>
      <c r="K12" s="1755">
        <f>SUM(K5:K11)</f>
        <v>0</v>
      </c>
    </row>
    <row r="13" spans="1:11" ht="13.5" thickTop="1" x14ac:dyDescent="0.2">
      <c r="A13" s="2346" t="s">
        <v>367</v>
      </c>
      <c r="B13" s="2347"/>
      <c r="C13" s="2347"/>
      <c r="D13" s="2347"/>
      <c r="E13" s="2348"/>
      <c r="F13" s="634"/>
      <c r="G13" s="1756"/>
      <c r="H13" s="1757"/>
      <c r="I13" s="1758"/>
      <c r="J13" s="1758"/>
      <c r="K13" s="1758"/>
    </row>
    <row r="14" spans="1:11" x14ac:dyDescent="0.2">
      <c r="A14" s="2329" t="s">
        <v>453</v>
      </c>
      <c r="B14" s="2329"/>
      <c r="C14" s="2329"/>
      <c r="D14" s="2329"/>
      <c r="E14" s="2330"/>
      <c r="F14" s="635" t="s">
        <v>849</v>
      </c>
      <c r="G14" s="1753"/>
      <c r="H14" s="1744"/>
      <c r="I14" s="1749"/>
      <c r="J14" s="1751"/>
      <c r="K14" s="1745"/>
    </row>
    <row r="15" spans="1:11" x14ac:dyDescent="0.2">
      <c r="A15" s="2323" t="s">
        <v>4</v>
      </c>
      <c r="B15" s="2323"/>
      <c r="C15" s="2323"/>
      <c r="D15" s="2323"/>
      <c r="E15" s="2324"/>
      <c r="F15" s="635" t="s">
        <v>850</v>
      </c>
      <c r="G15" s="1749"/>
      <c r="H15" s="1744"/>
      <c r="I15" s="1744"/>
      <c r="J15" s="1745"/>
      <c r="K15" s="1745"/>
    </row>
    <row r="16" spans="1:11" x14ac:dyDescent="0.2">
      <c r="A16" s="2323" t="s">
        <v>295</v>
      </c>
      <c r="B16" s="2323"/>
      <c r="C16" s="2323"/>
      <c r="D16" s="2323"/>
      <c r="E16" s="2324"/>
      <c r="F16" s="635" t="s">
        <v>917</v>
      </c>
      <c r="G16" s="1750"/>
      <c r="H16" s="1746"/>
      <c r="I16" s="1746"/>
      <c r="J16" s="1748"/>
      <c r="K16" s="1748"/>
    </row>
    <row r="17" spans="1:15" x14ac:dyDescent="0.2">
      <c r="A17" s="2356" t="s">
        <v>929</v>
      </c>
      <c r="B17" s="2356"/>
      <c r="C17" s="2356"/>
      <c r="D17" s="2356"/>
      <c r="E17" s="2357"/>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31" t="s">
        <v>1786</v>
      </c>
      <c r="B19" s="2331"/>
      <c r="C19" s="2331"/>
      <c r="D19" s="2331"/>
      <c r="E19" s="2332"/>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52" t="s">
        <v>633</v>
      </c>
      <c r="B21" s="2352"/>
      <c r="C21" s="2352"/>
      <c r="D21" s="2352"/>
      <c r="E21" s="2352"/>
      <c r="F21" s="1434"/>
      <c r="G21" s="1760"/>
      <c r="H21" s="1764"/>
      <c r="I21" s="1764"/>
      <c r="J21" s="1765">
        <f>SUM(J18:J20)</f>
        <v>0</v>
      </c>
      <c r="K21" s="1761"/>
    </row>
    <row r="22" spans="1:15" ht="13.5" thickTop="1" x14ac:dyDescent="0.2">
      <c r="A22" s="2323" t="s">
        <v>1792</v>
      </c>
      <c r="B22" s="2323"/>
      <c r="C22" s="2323"/>
      <c r="D22" s="2323"/>
      <c r="E22" s="2324"/>
      <c r="F22" s="635" t="s">
        <v>857</v>
      </c>
      <c r="G22" s="1753"/>
      <c r="H22" s="1744"/>
      <c r="I22" s="1744"/>
      <c r="J22" s="1766"/>
      <c r="K22" s="1745"/>
    </row>
    <row r="23" spans="1:15" ht="13.5" thickBot="1" x14ac:dyDescent="0.25">
      <c r="A23" s="2353" t="s">
        <v>900</v>
      </c>
      <c r="B23" s="2352"/>
      <c r="C23" s="2352"/>
      <c r="D23" s="2352"/>
      <c r="E23" s="2352"/>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4" t="str">
        <f>"Ending Cash Basis Fund Balance as of June 30, "&amp;'AFR20'!E2</f>
        <v>Ending Cash Basis Fund Balance as of June 30, 2020</v>
      </c>
      <c r="B24" s="2355"/>
      <c r="C24" s="2355"/>
      <c r="D24" s="2355"/>
      <c r="E24" s="2355"/>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C00000"/>
  </sheetPr>
  <dimension ref="A1:N27"/>
  <sheetViews>
    <sheetView showGridLines="0" defaultGridColor="0" colorId="8" zoomScale="110" zoomScaleNormal="110" workbookViewId="0">
      <selection activeCell="E30" sqref="E3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170900</v>
      </c>
      <c r="D12" s="1771">
        <v>49790</v>
      </c>
      <c r="E12" s="1771"/>
      <c r="F12" s="1765">
        <f>(C12+D12)-E12</f>
        <v>220690</v>
      </c>
      <c r="G12" s="681">
        <v>10</v>
      </c>
      <c r="H12" s="619">
        <v>91127</v>
      </c>
      <c r="I12" s="619">
        <v>10467</v>
      </c>
      <c r="J12" s="619"/>
      <c r="K12" s="1442">
        <f>(H12+I12)-J12</f>
        <v>101594</v>
      </c>
      <c r="L12" s="1442">
        <f>F12-K12</f>
        <v>119096</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170900</v>
      </c>
      <c r="D16" s="1765">
        <f>SUM(D3,D5:D6,D8:D10,D12:D15)</f>
        <v>49790</v>
      </c>
      <c r="E16" s="1765">
        <f>SUM(E3,E5:E6,E8:E10,E12:E15)</f>
        <v>0</v>
      </c>
      <c r="F16" s="1765">
        <f>SUM(F3,F5:F6,F8:F10,F12:F15)</f>
        <v>220690</v>
      </c>
      <c r="G16" s="681"/>
      <c r="H16" s="1435">
        <f>SUM(H3,H6,H8:H10,H12:H14,)</f>
        <v>91127</v>
      </c>
      <c r="I16" s="1435">
        <f>SUM(I3,I6,I8:I10,I12:I14,)</f>
        <v>10467</v>
      </c>
      <c r="J16" s="1435">
        <f>SUM(J3,J6,J8:J10,J12:J14,)</f>
        <v>0</v>
      </c>
      <c r="K16" s="1435">
        <f>(H16+I16)-J16</f>
        <v>101594</v>
      </c>
      <c r="L16" s="1435">
        <f>F16-K16</f>
        <v>119096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10467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C00000"/>
  </sheetPr>
  <dimension ref="A1:I203"/>
  <sheetViews>
    <sheetView showGridLines="0" defaultGridColor="0" topLeftCell="A158" colorId="8" zoomScale="110" zoomScaleNormal="110" workbookViewId="0">
      <selection activeCell="B186" sqref="B18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2757551</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2757551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259781</v>
      </c>
      <c r="G53" s="701"/>
    </row>
    <row r="54" spans="1:7" x14ac:dyDescent="0.2">
      <c r="A54" s="705" t="s">
        <v>456</v>
      </c>
      <c r="B54" s="705" t="s">
        <v>1459</v>
      </c>
      <c r="C54" s="724" t="s">
        <v>975</v>
      </c>
      <c r="D54" s="720" t="s">
        <v>1086</v>
      </c>
      <c r="E54" s="704"/>
      <c r="F54" s="1782">
        <f>'Expenditures 15-22'!G114</f>
        <v>49790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309571</v>
      </c>
      <c r="G77" s="701"/>
    </row>
    <row r="78" spans="1:9" s="728" customFormat="1" ht="12" customHeight="1" thickTop="1" thickBot="1" x14ac:dyDescent="0.25">
      <c r="A78" s="1450"/>
      <c r="B78" s="1448"/>
      <c r="C78" s="1445"/>
      <c r="D78" s="1449" t="s">
        <v>2012</v>
      </c>
      <c r="E78" s="1447"/>
      <c r="F78" s="1788">
        <f>(F14-F77)</f>
        <v>2447980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8279</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30050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246598</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19961</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24757</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329645</v>
      </c>
    </row>
    <row r="176" spans="1:7" ht="12" customHeight="1" x14ac:dyDescent="0.2">
      <c r="A176" s="1443"/>
      <c r="B176" s="1453"/>
      <c r="C176" s="1454"/>
      <c r="D176" s="1455" t="s">
        <v>2014</v>
      </c>
      <c r="E176" s="1456"/>
      <c r="F176" s="1793">
        <f>'PCTC-OEPP 27-28'!F78-F175</f>
        <v>2118335</v>
      </c>
    </row>
    <row r="177" spans="1:9" ht="12" customHeight="1" x14ac:dyDescent="0.2">
      <c r="A177" s="1443"/>
      <c r="B177" s="1453"/>
      <c r="C177" s="1454"/>
      <c r="D177" s="1455" t="s">
        <v>1794</v>
      </c>
      <c r="E177" s="1456"/>
      <c r="F177" s="1793">
        <f>'Cap Outlay Deprec 26'!I18</f>
        <v>10467</v>
      </c>
    </row>
    <row r="178" spans="1:9" ht="12" customHeight="1" x14ac:dyDescent="0.2">
      <c r="A178" s="1443"/>
      <c r="B178" s="1453"/>
      <c r="C178" s="1454"/>
      <c r="D178" s="1455" t="s">
        <v>2015</v>
      </c>
      <c r="E178" s="1456"/>
      <c r="F178" s="1793">
        <f>F176+F177</f>
        <v>2128802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pageSetUpPr fitToPage="1"/>
  </sheetPr>
  <dimension ref="A1:G142"/>
  <sheetViews>
    <sheetView showGridLines="0" zoomScaleNormal="100" workbookViewId="0">
      <selection activeCell="A19" sqref="A19"/>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2075</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C00000"/>
  </sheetPr>
  <dimension ref="A1:M46"/>
  <sheetViews>
    <sheetView showGridLines="0" defaultGridColor="0" topLeftCell="A10" colorId="8" zoomScale="110" zoomScaleNormal="110" workbookViewId="0">
      <selection activeCell="A5" sqref="A1:G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1994908</v>
      </c>
      <c r="F19" s="1802"/>
      <c r="G19" s="1804">
        <f>'Expenditures 15-22'!K33-SUM('Expenditures 15-22'!G33,'Expenditures 15-22'!I33)+'Expenditures 15-22'!D229</f>
        <v>1994908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3775</v>
      </c>
      <c r="F21" s="1805"/>
      <c r="G21" s="1808">
        <f>'Expenditures 15-22'!K42-SUM('Expenditures 15-22'!G42,'Expenditures 15-22'!I42)+'Expenditures 15-22'!K120-SUM('Expenditures 15-22'!G120,'Expenditures 15-22'!I120)+'Expenditures 15-22'!K180-SUM('Expenditures 15-22'!G180,'Expenditures 15-22'!I180)+'Expenditures 15-22'!D238</f>
        <v>3775</v>
      </c>
      <c r="H21" s="817"/>
      <c r="I21" s="157"/>
    </row>
    <row r="22" spans="1:9" s="542" customFormat="1" ht="12" customHeight="1" x14ac:dyDescent="0.2">
      <c r="A22" s="824" t="s">
        <v>560</v>
      </c>
      <c r="B22" s="825"/>
      <c r="C22" s="823">
        <v>2200</v>
      </c>
      <c r="D22" s="1805"/>
      <c r="E22" s="1807">
        <f>'Expenditures 15-22'!K47-SUM('Expenditures 15-22'!G47,'Expenditures 15-22'!I47)+'Expenditures 15-22'!D243</f>
        <v>15301</v>
      </c>
      <c r="F22" s="1805"/>
      <c r="G22" s="1808">
        <f>'Expenditures 15-22'!K47-SUM('Expenditures 15-22'!G47,'Expenditures 15-22'!I47)+'Expenditures 15-22'!D243</f>
        <v>15301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413430</v>
      </c>
      <c r="F23" s="1805"/>
      <c r="G23" s="1807">
        <f>'Expenditures 15-22'!K53-SUM('Expenditures 15-22'!G53,'Expenditures 15-22'!I53)+'Expenditures 15-22'!D257+'Expenditures 15-22'!K330-SUM('Expenditures 15-22'!G330,'Expenditures 15-22'!I330)</f>
        <v>413430</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3000</v>
      </c>
      <c r="F28" s="1809">
        <f>'Expenditures 15-22'!K61-SUM('Expenditures 15-22'!G61,'Expenditures 15-22'!I61)+'Expenditures 15-22'!K124-SUM('Expenditures 15-22'!G124,'Expenditures 15-22'!I124)+'Expenditures 15-22'!D266-E9</f>
        <v>3000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69</v>
      </c>
      <c r="F29" s="1805"/>
      <c r="G29" s="1808">
        <f>'Expenditures 15-22'!K62-SUM('Expenditures 15-22'!G62,'Expenditures 15-22'!I62)+'Expenditures 15-22'!K125-SUM('Expenditures 15-22'!G125,'Expenditures 15-22'!I125)+'Expenditures 15-22'!K182-SUM('Expenditures 15-22'!G182,'Expenditures 15-22'!I182)+'Expenditures 15-22'!D267</f>
        <v>69</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17497</v>
      </c>
      <c r="E37" s="1807">
        <f>E14</f>
        <v>0</v>
      </c>
      <c r="F37" s="1807">
        <f>'Expenditures 15-22'!K71-SUM('Expenditures 15-22'!G71,'Expenditures 15-22'!I71)+'Expenditures 15-22'!D276-E14</f>
        <v>17497</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17497</v>
      </c>
      <c r="E41" s="1809">
        <f>SUM(E19:E40)</f>
        <v>2430483</v>
      </c>
      <c r="F41" s="1809">
        <f>SUM(F19:F39)</f>
        <v>20497</v>
      </c>
      <c r="G41" s="1809">
        <f>SUM(G19:G40)</f>
        <v>2427483</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17497</v>
      </c>
      <c r="F43" s="1458" t="s">
        <v>470</v>
      </c>
      <c r="G43" s="1810">
        <f>F41</f>
        <v>20497</v>
      </c>
    </row>
    <row r="44" spans="1:7" ht="12" customHeight="1" x14ac:dyDescent="0.2">
      <c r="A44" s="817"/>
      <c r="B44" s="157"/>
      <c r="C44" s="831"/>
      <c r="D44" s="1458" t="s">
        <v>471</v>
      </c>
      <c r="E44" s="1810">
        <f>E41</f>
        <v>2430483</v>
      </c>
      <c r="F44" s="1458" t="s">
        <v>471</v>
      </c>
      <c r="G44" s="1810">
        <f>G41</f>
        <v>2427483</v>
      </c>
    </row>
    <row r="45" spans="1:7" ht="12" customHeight="1" x14ac:dyDescent="0.2">
      <c r="A45" s="817"/>
      <c r="B45" s="157"/>
      <c r="C45" s="157"/>
      <c r="D45" s="1459" t="s">
        <v>999</v>
      </c>
      <c r="E45" s="1811">
        <f>(E43/E44)</f>
        <v>7.1989806141413044E-3</v>
      </c>
      <c r="F45" s="1459" t="s">
        <v>999</v>
      </c>
      <c r="G45" s="1811">
        <f>(G43/G44)</f>
        <v>8.4437254555438691E-3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00000"/>
  </sheetPr>
  <dimension ref="A1:O97"/>
  <sheetViews>
    <sheetView showGridLines="0" zoomScale="110" zoomScaleNormal="110" workbookViewId="0">
      <selection activeCell="B9" sqref="B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1" t="s">
        <v>1363</v>
      </c>
      <c r="B1" s="2411"/>
      <c r="C1" s="2411"/>
      <c r="D1" s="2411"/>
      <c r="E1" s="2411"/>
      <c r="F1" s="241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2" t="s">
        <v>1529</v>
      </c>
      <c r="B5" s="2413"/>
      <c r="C5" s="2414"/>
      <c r="D5" s="2414"/>
      <c r="E5" s="2414"/>
      <c r="F5" s="2414"/>
      <c r="G5" s="1507"/>
      <c r="L5" s="1507"/>
      <c r="M5" s="1855"/>
      <c r="N5" s="1855"/>
      <c r="O5" s="1855"/>
    </row>
    <row r="6" spans="1:15" ht="12" customHeight="1" x14ac:dyDescent="0.25">
      <c r="A6" s="1480"/>
      <c r="B6" s="1481"/>
      <c r="C6" s="2415" t="str">
        <f>COVER!A17</f>
        <v xml:space="preserve">   South Macoupin SASE </v>
      </c>
      <c r="D6" s="2415"/>
      <c r="E6" s="2415"/>
      <c r="F6" s="1482"/>
      <c r="G6" s="1507"/>
      <c r="L6" s="1507"/>
      <c r="M6" s="1855"/>
      <c r="N6" s="1855"/>
      <c r="O6" s="1855"/>
    </row>
    <row r="7" spans="1:15" ht="11.25" customHeight="1" thickBot="1" x14ac:dyDescent="0.3">
      <c r="A7" s="1480"/>
      <c r="B7" s="1481"/>
      <c r="C7" s="2416">
        <f>COVER!A13</f>
        <v>40056801060</v>
      </c>
      <c r="D7" s="2416"/>
      <c r="E7" s="2416"/>
      <c r="F7" s="1482"/>
      <c r="G7" s="1507"/>
      <c r="L7" s="1507"/>
      <c r="M7" s="1855"/>
      <c r="N7" s="1855"/>
      <c r="O7" s="1855"/>
    </row>
    <row r="8" spans="1:15" ht="25.5" customHeight="1" thickBot="1" x14ac:dyDescent="0.25">
      <c r="A8" s="1519" t="s">
        <v>1874</v>
      </c>
      <c r="B8" s="1483" t="s">
        <v>2051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502"/>
      <c r="B39" s="1502"/>
      <c r="C39" s="1502"/>
      <c r="D39" s="1502"/>
      <c r="E39" s="1502"/>
      <c r="F39" s="1502"/>
    </row>
    <row r="40" spans="1:15" s="1499" customFormat="1" ht="12" customHeight="1" x14ac:dyDescent="0.25">
      <c r="A40" s="1503" t="s">
        <v>1375</v>
      </c>
      <c r="B40" s="1504"/>
      <c r="C40" s="2406"/>
      <c r="D40" s="2406"/>
      <c r="E40" s="2406"/>
      <c r="F40" s="2407"/>
      <c r="H40" s="1508"/>
      <c r="I40" s="1508"/>
      <c r="J40" s="1508"/>
      <c r="K40" s="1508"/>
    </row>
    <row r="41" spans="1:15" s="1499" customFormat="1" ht="12" customHeight="1" x14ac:dyDescent="0.25">
      <c r="A41" s="2408"/>
      <c r="B41" s="2409"/>
      <c r="C41" s="2409"/>
      <c r="D41" s="2409"/>
      <c r="E41" s="2409"/>
      <c r="F41" s="2410"/>
      <c r="H41" s="1508"/>
      <c r="I41" s="1508"/>
      <c r="J41" s="1508"/>
      <c r="K41" s="1508"/>
    </row>
    <row r="42" spans="1:15" s="1499" customFormat="1" ht="12" customHeight="1" x14ac:dyDescent="0.25">
      <c r="A42" s="2408"/>
      <c r="B42" s="2409"/>
      <c r="C42" s="2409"/>
      <c r="D42" s="2409"/>
      <c r="E42" s="2409"/>
      <c r="F42" s="2410"/>
      <c r="H42" s="1508"/>
      <c r="I42" s="1508"/>
      <c r="J42" s="1508"/>
      <c r="K42" s="1508"/>
    </row>
    <row r="43" spans="1:15" s="1499" customFormat="1" ht="15" x14ac:dyDescent="0.25">
      <c r="A43" s="2397"/>
      <c r="B43" s="2398"/>
      <c r="C43" s="2398"/>
      <c r="D43" s="2398"/>
      <c r="E43" s="2398"/>
      <c r="F43" s="2399"/>
      <c r="H43" s="1508"/>
      <c r="I43" s="1508"/>
      <c r="J43" s="1508"/>
      <c r="K43" s="1508"/>
    </row>
    <row r="44" spans="1:15" s="1499" customFormat="1" ht="12" hidden="1" customHeight="1" x14ac:dyDescent="0.25">
      <c r="A44" s="2397"/>
      <c r="B44" s="2398"/>
      <c r="C44" s="2398"/>
      <c r="D44" s="2398"/>
      <c r="E44" s="2398"/>
      <c r="F44" s="239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B37" sqref="B37"/>
    </sheetView>
  </sheetViews>
  <sheetFormatPr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7" t="str">
        <f>COVER!A17</f>
        <v xml:space="preserve">   South Macoupin SASE </v>
      </c>
      <c r="K6" s="2437"/>
      <c r="L6" s="2451"/>
      <c r="M6" s="838"/>
      <c r="N6" s="1999"/>
    </row>
    <row r="7" spans="1:14" x14ac:dyDescent="0.2">
      <c r="A7" s="2452" t="s">
        <v>864</v>
      </c>
      <c r="B7" s="2453"/>
      <c r="C7" s="2453"/>
      <c r="D7" s="2453"/>
      <c r="E7" s="2454"/>
      <c r="F7" s="839"/>
      <c r="G7" s="838"/>
      <c r="H7" s="838"/>
      <c r="I7" s="1925" t="s">
        <v>369</v>
      </c>
      <c r="J7" s="2439">
        <f>COVER!A13</f>
        <v>40056801060</v>
      </c>
      <c r="K7" s="2439"/>
      <c r="L7" s="2439"/>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5" t="s">
        <v>478</v>
      </c>
      <c r="B11" s="2456"/>
      <c r="C11" s="2457"/>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0</v>
      </c>
      <c r="F12" s="1943"/>
      <c r="G12" s="1969">
        <f>G68</f>
        <v>0</v>
      </c>
      <c r="H12" s="1945">
        <f t="shared" ref="H12:H18" si="0">SUM(E12:G12)</f>
        <v>0</v>
      </c>
      <c r="I12" s="1944"/>
      <c r="J12" s="1943"/>
      <c r="K12" s="1944"/>
      <c r="L12" s="1945">
        <f t="shared" ref="L12:L18" si="1">SUM(I12:K12)</f>
        <v>0</v>
      </c>
      <c r="M12" s="838"/>
      <c r="N12" s="1999"/>
    </row>
    <row r="13" spans="1:14" x14ac:dyDescent="0.2">
      <c r="A13" s="2004">
        <v>2</v>
      </c>
      <c r="B13" s="1941" t="s">
        <v>42</v>
      </c>
      <c r="C13" s="842"/>
      <c r="D13" s="1942">
        <v>2330</v>
      </c>
      <c r="E13" s="1945">
        <f>'Expenditures 15-22'!K51</f>
        <v>354511</v>
      </c>
      <c r="F13" s="1943"/>
      <c r="G13" s="1969">
        <f>H68</f>
        <v>0</v>
      </c>
      <c r="H13" s="1945">
        <f t="shared" si="0"/>
        <v>354511</v>
      </c>
      <c r="I13" s="1944">
        <v>399707</v>
      </c>
      <c r="J13" s="1943"/>
      <c r="K13" s="1944"/>
      <c r="L13" s="1945">
        <f t="shared" si="1"/>
        <v>399707</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8" t="s">
        <v>7</v>
      </c>
      <c r="C18" s="2459"/>
      <c r="D18" s="2460"/>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354511</v>
      </c>
      <c r="F19" s="1951">
        <f t="shared" si="2"/>
        <v>0</v>
      </c>
      <c r="G19" s="1951">
        <f t="shared" ref="G19" si="3">SUM(G12:G17)-G18</f>
        <v>0</v>
      </c>
      <c r="H19" s="1951">
        <f t="shared" si="2"/>
        <v>354511</v>
      </c>
      <c r="I19" s="1951">
        <f t="shared" si="2"/>
        <v>399707</v>
      </c>
      <c r="J19" s="1951">
        <f t="shared" si="2"/>
        <v>0</v>
      </c>
      <c r="K19" s="1951">
        <f t="shared" si="2"/>
        <v>0</v>
      </c>
      <c r="L19" s="1951">
        <f t="shared" si="2"/>
        <v>399707</v>
      </c>
      <c r="M19" s="838"/>
      <c r="N19" s="1999"/>
    </row>
    <row r="20" spans="1:14" ht="13.5" thickTop="1" x14ac:dyDescent="0.2">
      <c r="A20" s="2004">
        <v>9</v>
      </c>
      <c r="B20" s="2461" t="s">
        <v>2021</v>
      </c>
      <c r="C20" s="2461"/>
      <c r="D20" s="2462"/>
      <c r="E20" s="1952"/>
      <c r="F20" s="1952"/>
      <c r="G20" s="1952"/>
      <c r="H20" s="1952"/>
      <c r="I20" s="1952"/>
      <c r="J20" s="1952"/>
      <c r="K20" s="1952"/>
      <c r="L20" s="1953">
        <f>IF(AND(H19&gt;0,L19&gt;0),(((L19-H19)/H19)),"Enter Budget Data")</f>
        <v>0.12748828668221859</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3"/>
      <c r="D27" s="2463"/>
      <c r="E27" s="843"/>
      <c r="F27" s="2464"/>
      <c r="G27" s="2464"/>
      <c r="H27" s="2464"/>
      <c r="I27" s="838"/>
      <c r="J27" s="838"/>
      <c r="K27" s="838"/>
      <c r="L27" s="838"/>
      <c r="M27" s="838"/>
      <c r="N27" s="1999"/>
    </row>
    <row r="28" spans="1:14" x14ac:dyDescent="0.2">
      <c r="A28" s="1998"/>
      <c r="B28" s="2008"/>
      <c r="C28" s="1958" t="s">
        <v>1026</v>
      </c>
      <c r="D28" s="844"/>
      <c r="E28" s="1959"/>
      <c r="F28" s="2465" t="s">
        <v>1492</v>
      </c>
      <c r="G28" s="2465"/>
      <c r="H28" s="2465"/>
      <c r="I28" s="838"/>
      <c r="J28" s="838"/>
      <c r="K28" s="838"/>
      <c r="L28" s="838"/>
      <c r="M28" s="838"/>
      <c r="N28" s="1999"/>
    </row>
    <row r="29" spans="1:14" x14ac:dyDescent="0.2">
      <c r="A29" s="1998"/>
      <c r="B29" s="2008"/>
      <c r="C29" s="2466"/>
      <c r="D29" s="2466"/>
      <c r="E29" s="845"/>
      <c r="F29" s="2466"/>
      <c r="G29" s="2466"/>
      <c r="H29" s="2466"/>
      <c r="I29" s="838"/>
      <c r="J29" s="838"/>
      <c r="K29" s="838"/>
      <c r="L29" s="838"/>
      <c r="M29" s="838"/>
      <c r="N29" s="1999"/>
    </row>
    <row r="30" spans="1:14" x14ac:dyDescent="0.2">
      <c r="A30" s="1998"/>
      <c r="B30" s="2008"/>
      <c r="C30" s="1961" t="s">
        <v>1544</v>
      </c>
      <c r="D30" s="838"/>
      <c r="E30" s="1960"/>
      <c r="F30" s="2450" t="s">
        <v>1493</v>
      </c>
      <c r="G30" s="2450"/>
      <c r="H30" s="2450"/>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7" t="s">
        <v>2024</v>
      </c>
      <c r="D34" s="2428"/>
      <c r="E34" s="2428"/>
      <c r="F34" s="2428"/>
      <c r="G34" s="2428"/>
      <c r="H34" s="2428"/>
      <c r="I34" s="2428"/>
      <c r="J34" s="2428"/>
      <c r="K34" s="2017"/>
      <c r="L34" s="838"/>
      <c r="M34" s="838"/>
      <c r="N34" s="1999"/>
    </row>
    <row r="35" spans="1:14" x14ac:dyDescent="0.2">
      <c r="A35" s="1998"/>
      <c r="B35" s="838"/>
      <c r="C35" s="2428"/>
      <c r="D35" s="2428"/>
      <c r="E35" s="2428"/>
      <c r="F35" s="2428"/>
      <c r="G35" s="2428"/>
      <c r="H35" s="2428"/>
      <c r="I35" s="2428"/>
      <c r="J35" s="2428"/>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7" t="s">
        <v>2025</v>
      </c>
      <c r="D37" s="2428"/>
      <c r="E37" s="2428"/>
      <c r="F37" s="2428"/>
      <c r="G37" s="2428"/>
      <c r="H37" s="2428"/>
      <c r="I37" s="2428"/>
      <c r="J37" s="2428"/>
      <c r="K37" s="2017"/>
      <c r="L37" s="2019"/>
      <c r="M37" s="838"/>
      <c r="N37" s="1999"/>
    </row>
    <row r="38" spans="1:14" x14ac:dyDescent="0.2">
      <c r="A38" s="1998"/>
      <c r="B38" s="838"/>
      <c r="C38" s="2428"/>
      <c r="D38" s="2428"/>
      <c r="E38" s="2428"/>
      <c r="F38" s="2428"/>
      <c r="G38" s="2428"/>
      <c r="H38" s="2428"/>
      <c r="I38" s="2428"/>
      <c r="J38" s="2428"/>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29" t="s">
        <v>2026</v>
      </c>
      <c r="D40" s="2430"/>
      <c r="E40" s="2430"/>
      <c r="F40" s="2430"/>
      <c r="G40" s="2430"/>
      <c r="H40" s="2430"/>
      <c r="I40" s="2430"/>
      <c r="J40" s="2430"/>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1" t="s">
        <v>2027</v>
      </c>
      <c r="B43" s="2432"/>
      <c r="C43" s="2432"/>
      <c r="D43" s="2432"/>
      <c r="E43" s="2432"/>
      <c r="F43" s="2432"/>
      <c r="G43" s="2432"/>
      <c r="H43" s="2432"/>
      <c r="I43" s="2432"/>
      <c r="J43" s="2432"/>
      <c r="K43" s="2432"/>
      <c r="L43" s="2432"/>
      <c r="M43" s="2432"/>
      <c r="N43" s="2433"/>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4" t="s">
        <v>2029</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7" t="str">
        <f>J6</f>
        <v xml:space="preserve">   South Macoupin SASE </v>
      </c>
      <c r="M52" s="2437"/>
      <c r="N52" s="2438"/>
    </row>
    <row r="53" spans="1:14" x14ac:dyDescent="0.2">
      <c r="A53" s="1983"/>
      <c r="B53" s="1984"/>
      <c r="C53" s="1984"/>
      <c r="D53" s="1984"/>
      <c r="E53" s="1984"/>
      <c r="F53" s="1984"/>
      <c r="G53" s="1984"/>
      <c r="H53" s="1984"/>
      <c r="I53" s="1984"/>
      <c r="J53" s="1984"/>
      <c r="K53" s="1925" t="s">
        <v>369</v>
      </c>
      <c r="L53" s="2439">
        <f>J7</f>
        <v>40056801060</v>
      </c>
      <c r="M53" s="2439"/>
      <c r="N53" s="2440"/>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1"/>
      <c r="B55" s="2442"/>
      <c r="C55" s="2442"/>
      <c r="D55" s="1971"/>
      <c r="E55" s="1971"/>
      <c r="F55" s="1971"/>
      <c r="G55" s="2443" t="s">
        <v>2030</v>
      </c>
      <c r="H55" s="2443"/>
      <c r="I55" s="2443"/>
      <c r="J55" s="2443"/>
      <c r="K55" s="2443"/>
      <c r="L55" s="2443"/>
      <c r="M55" s="2443"/>
      <c r="N55" s="2444"/>
    </row>
    <row r="56" spans="1:14" ht="63.75" x14ac:dyDescent="0.2">
      <c r="A56" s="2445" t="s">
        <v>2031</v>
      </c>
      <c r="B56" s="2446"/>
      <c r="C56" s="2447"/>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48" t="s">
        <v>296</v>
      </c>
      <c r="B57" s="2449"/>
      <c r="C57" s="2449"/>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5" t="s">
        <v>2041</v>
      </c>
      <c r="B58" s="2426"/>
      <c r="C58" s="2426"/>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19" t="s">
        <v>297</v>
      </c>
      <c r="B59" s="2420"/>
      <c r="C59" s="2420"/>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19" t="s">
        <v>236</v>
      </c>
      <c r="B60" s="2420"/>
      <c r="C60" s="2420"/>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19" t="s">
        <v>697</v>
      </c>
      <c r="B61" s="2420"/>
      <c r="C61" s="2420"/>
      <c r="D61" s="1968">
        <v>2365</v>
      </c>
      <c r="E61" s="1978">
        <f>'Expenditures 15-22'!K323</f>
        <v>0</v>
      </c>
      <c r="F61" s="1973"/>
      <c r="G61" s="2032"/>
      <c r="H61" s="2033"/>
      <c r="I61" s="2033"/>
      <c r="J61" s="2033"/>
      <c r="K61" s="2033"/>
      <c r="L61" s="2033"/>
      <c r="M61" s="2033"/>
      <c r="N61" s="1976">
        <f t="shared" si="4"/>
        <v>0</v>
      </c>
    </row>
    <row r="62" spans="1:14" ht="24" customHeight="1" x14ac:dyDescent="0.2">
      <c r="A62" s="2419" t="s">
        <v>237</v>
      </c>
      <c r="B62" s="2420"/>
      <c r="C62" s="2420"/>
      <c r="D62" s="1968">
        <v>2366</v>
      </c>
      <c r="E62" s="1978">
        <f>'Expenditures 15-22'!K324</f>
        <v>0</v>
      </c>
      <c r="F62" s="1973"/>
      <c r="G62" s="2032"/>
      <c r="H62" s="2033"/>
      <c r="I62" s="2033"/>
      <c r="J62" s="2033"/>
      <c r="K62" s="2033"/>
      <c r="L62" s="2033"/>
      <c r="M62" s="2033"/>
      <c r="N62" s="1976">
        <f t="shared" si="4"/>
        <v>0</v>
      </c>
    </row>
    <row r="63" spans="1:14" ht="24" customHeight="1" x14ac:dyDescent="0.2">
      <c r="A63" s="2425" t="s">
        <v>1022</v>
      </c>
      <c r="B63" s="2426"/>
      <c r="C63" s="2426"/>
      <c r="D63" s="1968">
        <v>2367</v>
      </c>
      <c r="E63" s="1978">
        <f>'Expenditures 15-22'!K325</f>
        <v>0</v>
      </c>
      <c r="F63" s="1973"/>
      <c r="G63" s="2032"/>
      <c r="H63" s="2033"/>
      <c r="I63" s="2033"/>
      <c r="J63" s="2033"/>
      <c r="K63" s="2033"/>
      <c r="L63" s="2033"/>
      <c r="M63" s="2033"/>
      <c r="N63" s="1976">
        <f t="shared" si="4"/>
        <v>0</v>
      </c>
    </row>
    <row r="64" spans="1:14" ht="24" customHeight="1" x14ac:dyDescent="0.2">
      <c r="A64" s="2419" t="s">
        <v>1023</v>
      </c>
      <c r="B64" s="2420"/>
      <c r="C64" s="2420"/>
      <c r="D64" s="1968">
        <v>2368</v>
      </c>
      <c r="E64" s="1978">
        <f>'Expenditures 15-22'!K326</f>
        <v>0</v>
      </c>
      <c r="F64" s="1973"/>
      <c r="G64" s="2032"/>
      <c r="H64" s="2033"/>
      <c r="I64" s="2033"/>
      <c r="J64" s="2033"/>
      <c r="K64" s="2033"/>
      <c r="L64" s="2033"/>
      <c r="M64" s="2033"/>
      <c r="N64" s="1976">
        <f t="shared" si="4"/>
        <v>0</v>
      </c>
    </row>
    <row r="65" spans="1:14" ht="24" customHeight="1" x14ac:dyDescent="0.2">
      <c r="A65" s="2419" t="s">
        <v>965</v>
      </c>
      <c r="B65" s="2420"/>
      <c r="C65" s="2420"/>
      <c r="D65" s="1968">
        <v>2369</v>
      </c>
      <c r="E65" s="1978">
        <f>'Expenditures 15-22'!K327</f>
        <v>0</v>
      </c>
      <c r="F65" s="1973"/>
      <c r="G65" s="2032"/>
      <c r="H65" s="2033"/>
      <c r="I65" s="2033"/>
      <c r="J65" s="2033"/>
      <c r="K65" s="2033"/>
      <c r="L65" s="2033"/>
      <c r="M65" s="2033"/>
      <c r="N65" s="1976">
        <f t="shared" si="4"/>
        <v>0</v>
      </c>
    </row>
    <row r="66" spans="1:14" ht="24" customHeight="1" x14ac:dyDescent="0.2">
      <c r="A66" s="2419" t="s">
        <v>469</v>
      </c>
      <c r="B66" s="2420"/>
      <c r="C66" s="2420"/>
      <c r="D66" s="1968">
        <v>2371</v>
      </c>
      <c r="E66" s="1978">
        <f>'Expenditures 15-22'!K328</f>
        <v>0</v>
      </c>
      <c r="F66" s="1973"/>
      <c r="G66" s="2032"/>
      <c r="H66" s="2033"/>
      <c r="I66" s="2033"/>
      <c r="J66" s="2033"/>
      <c r="K66" s="2033"/>
      <c r="L66" s="2033"/>
      <c r="M66" s="2033"/>
      <c r="N66" s="1976">
        <f t="shared" si="4"/>
        <v>0</v>
      </c>
    </row>
    <row r="67" spans="1:14" ht="24.75" customHeight="1" x14ac:dyDescent="0.2">
      <c r="A67" s="2421" t="s">
        <v>2042</v>
      </c>
      <c r="B67" s="2422"/>
      <c r="C67" s="2422"/>
      <c r="D67" s="1970">
        <v>2372</v>
      </c>
      <c r="E67" s="1979">
        <f>'Expenditures 15-22'!K329</f>
        <v>0</v>
      </c>
      <c r="F67" s="1973"/>
      <c r="G67" s="2034"/>
      <c r="H67" s="2035"/>
      <c r="I67" s="2035"/>
      <c r="J67" s="2035"/>
      <c r="K67" s="2035"/>
      <c r="L67" s="2035"/>
      <c r="M67" s="2035"/>
      <c r="N67" s="1976">
        <f t="shared" si="4"/>
        <v>0</v>
      </c>
    </row>
    <row r="68" spans="1:14" x14ac:dyDescent="0.2">
      <c r="A68" s="2423" t="s">
        <v>1151</v>
      </c>
      <c r="B68" s="2424"/>
      <c r="C68" s="2424"/>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C00000"/>
  </sheetPr>
  <dimension ref="A2:B65"/>
  <sheetViews>
    <sheetView showGridLines="0" zoomScale="110" zoomScaleNormal="110" workbookViewId="0">
      <selection activeCell="A8" sqref="A8"/>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2073</v>
      </c>
    </row>
    <row r="6" spans="1:2" x14ac:dyDescent="0.2">
      <c r="A6" s="847">
        <v>2</v>
      </c>
      <c r="B6" s="307" t="s">
        <v>2074</v>
      </c>
    </row>
    <row r="7" spans="1:2" x14ac:dyDescent="0.2">
      <c r="A7" s="847">
        <v>3</v>
      </c>
      <c r="B7" s="307" t="s">
        <v>2076</v>
      </c>
    </row>
    <row r="8" spans="1:2" x14ac:dyDescent="0.2">
      <c r="A8" s="847"/>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South Macoupin SASE </v>
      </c>
    </row>
    <row r="65" spans="2:2" x14ac:dyDescent="0.2">
      <c r="B65" s="849">
        <f>COVER!A13</f>
        <v>40056801060</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I84"/>
  <sheetViews>
    <sheetView showGridLines="0" topLeftCell="A73"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C0000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C00000"/>
  </sheetPr>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C0000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2761100</v>
      </c>
      <c r="C8" s="1813">
        <f>'Acct Summary 7-8'!D8</f>
        <v>0</v>
      </c>
      <c r="D8" s="1813">
        <f>'Acct Summary 7-8'!F8</f>
        <v>0</v>
      </c>
      <c r="E8" s="1813">
        <f>'Acct Summary 7-8'!I8</f>
        <v>0</v>
      </c>
      <c r="F8" s="1813">
        <f>SUM(B8:E8)</f>
        <v>2761100</v>
      </c>
    </row>
    <row r="9" spans="1:8" s="858" customFormat="1" ht="14.25" customHeight="1" thickBot="1" x14ac:dyDescent="0.25">
      <c r="A9" s="857" t="s">
        <v>1353</v>
      </c>
      <c r="B9" s="1814">
        <f>'Acct Summary 7-8'!C17</f>
        <v>2757551</v>
      </c>
      <c r="C9" s="1814">
        <f>'Acct Summary 7-8'!D17</f>
        <v>0</v>
      </c>
      <c r="D9" s="1814">
        <f>'Acct Summary 7-8'!F17</f>
        <v>0</v>
      </c>
      <c r="E9" s="1813"/>
      <c r="F9" s="1813">
        <f>SUM(B9:E9)</f>
        <v>2757551</v>
      </c>
    </row>
    <row r="10" spans="1:8" s="858" customFormat="1" ht="14.25" thickTop="1" thickBot="1" x14ac:dyDescent="0.25">
      <c r="A10" s="859" t="s">
        <v>1354</v>
      </c>
      <c r="B10" s="1815">
        <f>(B8-B9)</f>
        <v>3549</v>
      </c>
      <c r="C10" s="1815">
        <f>(C8-C9)</f>
        <v>0</v>
      </c>
      <c r="D10" s="1815">
        <f>(D8-D9)</f>
        <v>0</v>
      </c>
      <c r="E10" s="1814">
        <f>(E8-E9)</f>
        <v>0</v>
      </c>
      <c r="F10" s="1816">
        <f>SUM(F8-F9)</f>
        <v>3549</v>
      </c>
    </row>
    <row r="11" spans="1:8" s="858" customFormat="1" ht="14.25" thickTop="1" thickBot="1" x14ac:dyDescent="0.25">
      <c r="A11" s="860" t="s">
        <v>1903</v>
      </c>
      <c r="B11" s="1817">
        <f>'Acct Summary 7-8'!C81</f>
        <v>258083</v>
      </c>
      <c r="C11" s="1817">
        <f>'Acct Summary 7-8'!D81</f>
        <v>0</v>
      </c>
      <c r="D11" s="1817">
        <f>'Acct Summary 7-8'!F81</f>
        <v>0</v>
      </c>
      <c r="E11" s="1817">
        <f>'Acct Summary 7-8'!I81</f>
        <v>0</v>
      </c>
      <c r="F11" s="1818">
        <f>SUM(B11:E11)</f>
        <v>258083</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3" colorId="8" zoomScale="110" zoomScaleNormal="110" workbookViewId="0">
      <selection activeCell="D82" sqref="D8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40056801060</v>
      </c>
      <c r="E2" s="1542">
        <v>2020</v>
      </c>
      <c r="F2" s="1542">
        <v>1</v>
      </c>
      <c r="G2" s="1899">
        <v>101000300</v>
      </c>
    </row>
    <row r="3" spans="1:7" ht="15" x14ac:dyDescent="0.25">
      <c r="A3" t="s">
        <v>950</v>
      </c>
      <c r="B3" s="135" t="str">
        <f>COVER!A15</f>
        <v>MACOUPIN</v>
      </c>
      <c r="E3" s="1830" t="s">
        <v>1971</v>
      </c>
      <c r="F3" s="1830" t="s">
        <v>1970</v>
      </c>
      <c r="G3" s="1899">
        <v>101000400</v>
      </c>
    </row>
    <row r="4" spans="1:7" ht="15" x14ac:dyDescent="0.25">
      <c r="A4" t="s">
        <v>1000</v>
      </c>
      <c r="B4" s="135" t="str">
        <f>COVER!A17</f>
        <v xml:space="preserve">   South Macoupin SASE </v>
      </c>
      <c r="E4" s="1828">
        <v>44119</v>
      </c>
      <c r="F4" s="1829">
        <v>44151</v>
      </c>
      <c r="G4" s="1899">
        <v>101000600</v>
      </c>
    </row>
    <row r="5" spans="1:7" ht="15" x14ac:dyDescent="0.25">
      <c r="A5" t="s">
        <v>699</v>
      </c>
      <c r="B5" s="135" t="str">
        <f>COVER!A38</f>
        <v>ALISON STORM</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MICHELLE MUELLER</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066-004886</v>
      </c>
      <c r="G15" s="1899">
        <v>402100400</v>
      </c>
    </row>
    <row r="16" spans="1:7" ht="15" x14ac:dyDescent="0.25">
      <c r="A16" t="s">
        <v>419</v>
      </c>
      <c r="B16" s="135" t="str">
        <f>COVER!T13</f>
        <v>LOY MILLER TALLEY, PC</v>
      </c>
      <c r="G16" s="1899">
        <v>402100600</v>
      </c>
    </row>
    <row r="17" spans="1:7" ht="15" x14ac:dyDescent="0.25">
      <c r="A17" t="s">
        <v>878</v>
      </c>
      <c r="B17" s="135" t="str">
        <f>COVER!T15</f>
        <v>KENNETH E. LOY, CPA</v>
      </c>
      <c r="G17" s="1899">
        <v>402100800</v>
      </c>
    </row>
    <row r="18" spans="1:7" ht="15" x14ac:dyDescent="0.25">
      <c r="A18" t="s">
        <v>1140</v>
      </c>
      <c r="B18" s="135" t="str">
        <f>COVER!T17</f>
        <v>#2 CROSSROADS CT</v>
      </c>
      <c r="G18" s="1899">
        <v>102200300</v>
      </c>
    </row>
    <row r="19" spans="1:7" ht="15" x14ac:dyDescent="0.25">
      <c r="A19" t="s">
        <v>880</v>
      </c>
      <c r="B19" s="135" t="str">
        <f>COVER!T25</f>
        <v>KEN@LMTCPAS.COM</v>
      </c>
      <c r="G19" s="1899">
        <v>102200400</v>
      </c>
    </row>
    <row r="20" spans="1:7" ht="15" x14ac:dyDescent="0.25">
      <c r="A20" t="s">
        <v>881</v>
      </c>
      <c r="B20" s="135" t="str">
        <f>COVER!T19</f>
        <v>ALTON</v>
      </c>
      <c r="G20" s="1899">
        <v>102200600</v>
      </c>
    </row>
    <row r="21" spans="1:7" ht="15" x14ac:dyDescent="0.25">
      <c r="A21" t="s">
        <v>476</v>
      </c>
      <c r="B21" s="135" t="str">
        <f>COVER!X19</f>
        <v>IL</v>
      </c>
      <c r="G21" s="1899">
        <v>102200800</v>
      </c>
    </row>
    <row r="22" spans="1:7" ht="15" x14ac:dyDescent="0.25">
      <c r="A22" t="s">
        <v>882</v>
      </c>
      <c r="B22" s="135">
        <f>COVER!Z19</f>
        <v>62002</v>
      </c>
      <c r="G22" s="1899">
        <v>102300300</v>
      </c>
    </row>
    <row r="23" spans="1:7" ht="15" x14ac:dyDescent="0.25">
      <c r="A23" t="s">
        <v>1142</v>
      </c>
      <c r="B23" s="135" t="str">
        <f>COVER!T21</f>
        <v>618-465-1196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t="str">
        <f>COVER!U34</f>
        <v>X</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258083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258083</v>
      </c>
      <c r="D92" s="2" t="str">
        <f t="shared" si="0"/>
        <v>Error?</v>
      </c>
      <c r="G92" s="1899">
        <v>102640600</v>
      </c>
    </row>
    <row r="93" spans="1:7" ht="15" x14ac:dyDescent="0.25">
      <c r="A93" s="5">
        <v>32</v>
      </c>
      <c r="B93" s="1832">
        <f>'Assets-Liab 5-6'!C41</f>
        <v>258083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220690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220690</v>
      </c>
      <c r="C279" s="2" t="s">
        <v>569</v>
      </c>
      <c r="D279" s="2" t="str">
        <f t="shared" si="3"/>
        <v>Error?</v>
      </c>
    </row>
    <row r="280" spans="1:4" x14ac:dyDescent="0.2">
      <c r="A280" s="5">
        <v>219</v>
      </c>
      <c r="B280" s="1832">
        <f>'Assets-Liab 5-6'!M40</f>
        <v>220690</v>
      </c>
      <c r="D280" s="2" t="str">
        <f t="shared" si="3"/>
        <v>Error?</v>
      </c>
    </row>
    <row r="281" spans="1:4" x14ac:dyDescent="0.2">
      <c r="A281" s="5">
        <v>220</v>
      </c>
      <c r="B281" s="1832">
        <f>'Assets-Liab 5-6'!M41</f>
        <v>220690</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1583582</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37917</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284408</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284408</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1867990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303459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5385</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64560</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64560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368019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84685</v>
      </c>
      <c r="C836" s="2" t="s">
        <v>569</v>
      </c>
      <c r="D836" s="2" t="str">
        <f t="shared" si="12"/>
        <v>Error?</v>
      </c>
    </row>
    <row r="837" spans="1:4" x14ac:dyDescent="0.2">
      <c r="A837" s="5">
        <v>776</v>
      </c>
      <c r="B837" s="1832">
        <f>'Expenditures 15-22'!E36</f>
        <v>3775</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3775</v>
      </c>
      <c r="C843" s="2" t="s">
        <v>569</v>
      </c>
      <c r="D843" s="2" t="str">
        <f t="shared" si="12"/>
        <v>Error?</v>
      </c>
    </row>
    <row r="844" spans="1:4" x14ac:dyDescent="0.2">
      <c r="A844" s="5">
        <v>783</v>
      </c>
      <c r="B844" s="1832">
        <f>'Expenditures 15-22'!E44</f>
        <v>6256</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6256</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59983</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3000</v>
      </c>
      <c r="D856" s="2" t="str">
        <f t="shared" si="12"/>
        <v>Error?</v>
      </c>
    </row>
    <row r="857" spans="1:4" x14ac:dyDescent="0.2">
      <c r="A857" s="5">
        <v>796</v>
      </c>
      <c r="B857" s="1832">
        <f>'Expenditures 15-22'!E62</f>
        <v>69</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3069</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17497</v>
      </c>
      <c r="D867" s="2" t="str">
        <f t="shared" si="12"/>
        <v>Error?</v>
      </c>
    </row>
    <row r="868" spans="1:4" x14ac:dyDescent="0.2">
      <c r="A868" s="10">
        <v>807</v>
      </c>
      <c r="B868" s="1832"/>
      <c r="D868" s="2" t="str">
        <f t="shared" si="12"/>
        <v>OK</v>
      </c>
    </row>
    <row r="869" spans="1:4" x14ac:dyDescent="0.2">
      <c r="A869" s="5">
        <v>808</v>
      </c>
      <c r="B869" s="1832">
        <f>'Expenditures 15-22'!E72</f>
        <v>17497</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90580</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175265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23182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1430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4876</v>
      </c>
      <c r="D904" s="2" t="str">
        <f t="shared" si="13"/>
        <v>Error?</v>
      </c>
    </row>
    <row r="905" spans="1:4" x14ac:dyDescent="0.2">
      <c r="A905" s="5">
        <v>844</v>
      </c>
      <c r="B905" s="1832">
        <f>'Expenditures 15-22'!F47</f>
        <v>6306</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4479</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10785</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33967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49790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49790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2739</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2739</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2739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259781</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262520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2044698</v>
      </c>
      <c r="C1108" s="2" t="s">
        <v>569</v>
      </c>
      <c r="D1108" s="2" t="str">
        <f t="shared" si="16"/>
        <v>Error?</v>
      </c>
    </row>
    <row r="1109" spans="1:4" x14ac:dyDescent="0.2">
      <c r="A1109" s="5">
        <v>1048</v>
      </c>
      <c r="B1109" s="1832">
        <f>'Expenditures 15-22'!K36</f>
        <v>3775</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3775</v>
      </c>
      <c r="C1115" s="2" t="s">
        <v>569</v>
      </c>
      <c r="D1115" s="2" t="str">
        <f t="shared" si="16"/>
        <v>Error?</v>
      </c>
    </row>
    <row r="1116" spans="1:4" x14ac:dyDescent="0.2">
      <c r="A1116" s="5">
        <v>1055</v>
      </c>
      <c r="B1116" s="1832">
        <f>'Expenditures 15-22'!K44</f>
        <v>10425</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4876</v>
      </c>
      <c r="C1118" s="2" t="s">
        <v>569</v>
      </c>
      <c r="D1118" s="2" t="str">
        <f t="shared" si="16"/>
        <v>Error?</v>
      </c>
    </row>
    <row r="1119" spans="1:4" x14ac:dyDescent="0.2">
      <c r="A1119" s="5">
        <v>1058</v>
      </c>
      <c r="B1119" s="1832">
        <f>'Expenditures 15-22'!K47</f>
        <v>15301</v>
      </c>
      <c r="C1119" s="2" t="s">
        <v>569</v>
      </c>
      <c r="D1119" s="2" t="str">
        <f t="shared" si="16"/>
        <v>Error?</v>
      </c>
    </row>
    <row r="1120" spans="1:4" x14ac:dyDescent="0.2">
      <c r="A1120" s="5">
        <v>1059</v>
      </c>
      <c r="B1120" s="1832">
        <f>'Expenditures 15-22'!K49</f>
        <v>43302</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413430</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3000</v>
      </c>
      <c r="C1128" s="2" t="s">
        <v>569</v>
      </c>
      <c r="D1128" s="2" t="str">
        <f t="shared" si="16"/>
        <v>Error?</v>
      </c>
    </row>
    <row r="1129" spans="1:4" x14ac:dyDescent="0.2">
      <c r="A1129" s="5">
        <v>1068</v>
      </c>
      <c r="B1129" s="1832">
        <f>'Expenditures 15-22'!K62</f>
        <v>69</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3069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17497</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17497</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453072</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259781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2757551</v>
      </c>
      <c r="C1152" s="2" t="s">
        <v>569</v>
      </c>
      <c r="D1152" s="2" t="str">
        <f t="shared" si="17"/>
        <v>Error?</v>
      </c>
    </row>
    <row r="1153" spans="1:4" x14ac:dyDescent="0.2">
      <c r="A1153" s="5">
        <v>1092</v>
      </c>
      <c r="B1153" s="1832">
        <f>'Expenditures 15-22'!K115</f>
        <v>3549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254534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258083</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170900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170900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49790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49790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220690</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220690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91127</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91127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10467</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10467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101594</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101594</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119096</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119096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259781</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259781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2179892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276709</v>
      </c>
      <c r="C2553" s="2" t="s">
        <v>569</v>
      </c>
      <c r="D2553" s="2" t="str">
        <f t="shared" si="38"/>
        <v>Error?</v>
      </c>
    </row>
    <row r="2554" spans="1:4" x14ac:dyDescent="0.2">
      <c r="A2554" s="5">
        <v>2493</v>
      </c>
      <c r="B2554" s="1832">
        <f>'Acct Summary 7-8'!C7</f>
        <v>304499</v>
      </c>
      <c r="C2554" s="2" t="s">
        <v>569</v>
      </c>
      <c r="D2554" s="2" t="str">
        <f t="shared" si="38"/>
        <v>Error?</v>
      </c>
    </row>
    <row r="2555" spans="1:4" x14ac:dyDescent="0.2">
      <c r="A2555" s="5">
        <v>2494</v>
      </c>
      <c r="B2555" s="1832">
        <f>'Acct Summary 7-8'!C8</f>
        <v>2761100</v>
      </c>
      <c r="C2555" s="2" t="s">
        <v>569</v>
      </c>
      <c r="D2555" s="2" t="str">
        <f t="shared" si="38"/>
        <v>Error?</v>
      </c>
    </row>
    <row r="2556" spans="1:4" x14ac:dyDescent="0.2">
      <c r="A2556" s="5">
        <v>2495</v>
      </c>
      <c r="B2556" s="1832">
        <f>'Acct Summary 7-8'!C12</f>
        <v>2044698</v>
      </c>
      <c r="C2556" s="2" t="s">
        <v>569</v>
      </c>
      <c r="D2556" s="2" t="str">
        <f t="shared" si="38"/>
        <v>Error?</v>
      </c>
    </row>
    <row r="2557" spans="1:4" x14ac:dyDescent="0.2">
      <c r="A2557" s="5">
        <v>2496</v>
      </c>
      <c r="B2557" s="1832">
        <f>'Acct Summary 7-8'!C13</f>
        <v>453072</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259781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2757551</v>
      </c>
      <c r="C2561" s="2" t="s">
        <v>569</v>
      </c>
      <c r="D2561" s="2" t="str">
        <f t="shared" si="39"/>
        <v>Error?</v>
      </c>
    </row>
    <row r="2562" spans="1:4" x14ac:dyDescent="0.2">
      <c r="A2562" s="5">
        <v>2501</v>
      </c>
      <c r="B2562" s="1832">
        <f>'Acct Summary 7-8'!C20</f>
        <v>3549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246491</v>
      </c>
      <c r="D2718" s="2" t="str">
        <f t="shared" si="41"/>
        <v>Error?</v>
      </c>
    </row>
    <row r="2719" spans="1:4" x14ac:dyDescent="0.2">
      <c r="A2719" s="5">
        <v>2658</v>
      </c>
      <c r="B2719" s="1832">
        <f>'Expenditures 15-22'!D51</f>
        <v>59175</v>
      </c>
      <c r="D2719" s="2" t="str">
        <f t="shared" si="41"/>
        <v>Error?</v>
      </c>
    </row>
    <row r="2720" spans="1:4" x14ac:dyDescent="0.2">
      <c r="A2720" s="5">
        <v>2659</v>
      </c>
      <c r="B2720" s="1832">
        <f>'Expenditures 15-22'!E51</f>
        <v>44366</v>
      </c>
      <c r="D2720" s="2" t="str">
        <f t="shared" si="41"/>
        <v>Error?</v>
      </c>
    </row>
    <row r="2721" spans="1:4" x14ac:dyDescent="0.2">
      <c r="A2721" s="5">
        <v>2660</v>
      </c>
      <c r="B2721" s="1832">
        <f>'Expenditures 15-22'!F51</f>
        <v>4479</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354511</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259781</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259781</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3549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1583582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303459</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84685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23182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49790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2044698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258083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1226738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3987838</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1226738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3984289</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258083</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30050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19961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24757</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2167261</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2167261</v>
      </c>
      <c r="C5087" s="2" t="s">
        <v>569</v>
      </c>
      <c r="D5087" s="2" t="str">
        <f t="shared" si="78"/>
        <v>Error?</v>
      </c>
    </row>
    <row r="5088" spans="1:4" x14ac:dyDescent="0.2">
      <c r="A5088" s="5">
        <v>5027</v>
      </c>
      <c r="B5088" s="1832">
        <f>'Revenues 9-14'!C65</f>
        <v>2072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2072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8279</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8279</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2280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2280</v>
      </c>
      <c r="C5120" s="2" t="s">
        <v>569</v>
      </c>
      <c r="D5120" s="2" t="str">
        <f t="shared" si="79"/>
        <v>Error?</v>
      </c>
    </row>
    <row r="5121" spans="1:4" x14ac:dyDescent="0.2">
      <c r="A5121" s="5">
        <v>5060</v>
      </c>
      <c r="B5121" s="1832">
        <f>'Revenues 9-14'!C109</f>
        <v>2179892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246659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246659</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30050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30050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276709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13183</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246598</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259781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304499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304499</v>
      </c>
      <c r="C5326" s="2" t="s">
        <v>569</v>
      </c>
      <c r="D5326" s="2" t="str">
        <f t="shared" si="82"/>
        <v>Error?</v>
      </c>
    </row>
    <row r="5327" spans="1:5" x14ac:dyDescent="0.2">
      <c r="A5327" s="5">
        <v>5266</v>
      </c>
      <c r="B5327" s="1832">
        <f>'Revenues 9-14'!C268</f>
        <v>2761100</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3549</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1.375139005668719E-2</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15617</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15617</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10467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2757551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309571</v>
      </c>
      <c r="D7834" s="2" t="str">
        <f t="shared" si="129"/>
        <v>Error?</v>
      </c>
      <c r="E7834" s="4" t="s">
        <v>1998</v>
      </c>
    </row>
    <row r="7835" spans="1:5" x14ac:dyDescent="0.2">
      <c r="A7835">
        <v>7774</v>
      </c>
      <c r="B7835" s="1832">
        <f>'PCTC-OEPP 27-28'!F78</f>
        <v>2447980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30050</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246598</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19961</v>
      </c>
      <c r="D7874" s="2" t="str">
        <f t="shared" si="129"/>
        <v>Error?</v>
      </c>
      <c r="E7874" s="4" t="s">
        <v>1998</v>
      </c>
    </row>
    <row r="7875" spans="1:5" x14ac:dyDescent="0.2">
      <c r="A7875">
        <v>7814</v>
      </c>
      <c r="B7875" s="1832">
        <f>'PCTC-OEPP 27-28'!F170</f>
        <v>24757</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329645</v>
      </c>
      <c r="D7877" s="2" t="str">
        <f t="shared" si="129"/>
        <v>Error?</v>
      </c>
      <c r="E7877" s="4" t="s">
        <v>1998</v>
      </c>
    </row>
    <row r="7878" spans="1:5" x14ac:dyDescent="0.2">
      <c r="A7878">
        <v>7817</v>
      </c>
      <c r="B7878" s="1832">
        <f>'PCTC-OEPP 27-28'!F176</f>
        <v>2118335</v>
      </c>
      <c r="D7878" s="2" t="str">
        <f t="shared" si="129"/>
        <v>Error?</v>
      </c>
      <c r="E7878" s="4" t="s">
        <v>1998</v>
      </c>
    </row>
    <row r="7879" spans="1:5" x14ac:dyDescent="0.2">
      <c r="A7879">
        <v>7818</v>
      </c>
      <c r="B7879" s="1832">
        <f>'PCTC-OEPP 27-28'!F178</f>
        <v>2128802</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South Macoupin SASE </v>
      </c>
      <c r="B7" s="2516"/>
      <c r="C7" s="2516"/>
      <c r="D7" s="2554"/>
      <c r="E7" s="2555">
        <f>COVER!A13</f>
        <v>40056801060</v>
      </c>
      <c r="F7" s="2556"/>
      <c r="G7" s="2522" t="str">
        <f>COVER!T23</f>
        <v>066-004886</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LOY MILLER TALLEY, PC</v>
      </c>
      <c r="H9" s="2529"/>
      <c r="I9" s="2529"/>
      <c r="J9" s="2529"/>
      <c r="K9" s="2529"/>
      <c r="L9" s="2530"/>
    </row>
    <row r="10" spans="1:29" ht="13.5" customHeight="1" x14ac:dyDescent="0.2">
      <c r="A10" s="2512" t="str">
        <f>COVER!A38</f>
        <v>ALISON STORM</v>
      </c>
      <c r="B10" s="2513"/>
      <c r="C10" s="2513"/>
      <c r="D10" s="2513"/>
      <c r="E10" s="2513"/>
      <c r="F10" s="2514"/>
      <c r="G10" s="2528" t="str">
        <f>COVER!T17</f>
        <v>#2 CROSSROADS CT</v>
      </c>
      <c r="H10" s="2541"/>
      <c r="I10" s="2541"/>
      <c r="J10" s="2541"/>
      <c r="K10" s="2541"/>
      <c r="L10" s="2542"/>
    </row>
    <row r="11" spans="1:29" ht="13.5" customHeight="1" x14ac:dyDescent="0.2">
      <c r="A11" s="963" t="s">
        <v>1502</v>
      </c>
      <c r="B11" s="964"/>
      <c r="C11" s="965"/>
      <c r="D11" s="970"/>
      <c r="E11" s="965"/>
      <c r="F11" s="969"/>
      <c r="G11" s="2528" t="str">
        <f>COVER!T19</f>
        <v>ALTON</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KEN@LMTCPAS.COM</v>
      </c>
      <c r="J13" s="2550"/>
      <c r="K13" s="2550"/>
      <c r="L13" s="2551"/>
    </row>
    <row r="14" spans="1:29" ht="13.5" customHeight="1" x14ac:dyDescent="0.2">
      <c r="A14" s="2528" t="str">
        <f>COVER!A19</f>
        <v>70 N. DENEEN ST.</v>
      </c>
      <c r="B14" s="2541"/>
      <c r="C14" s="2541"/>
      <c r="D14" s="2541"/>
      <c r="E14" s="2541"/>
      <c r="F14" s="2542"/>
      <c r="G14" s="974" t="s">
        <v>1175</v>
      </c>
      <c r="H14" s="972"/>
      <c r="I14" s="972"/>
      <c r="J14" s="972"/>
      <c r="K14" s="972"/>
      <c r="L14" s="973"/>
    </row>
    <row r="15" spans="1:29" ht="13.5" customHeight="1" x14ac:dyDescent="0.2">
      <c r="A15" s="2528" t="str">
        <f>COVER!A21</f>
        <v>STAUNTON</v>
      </c>
      <c r="B15" s="2541"/>
      <c r="C15" s="2541"/>
      <c r="D15" s="2541"/>
      <c r="E15" s="2541"/>
      <c r="F15" s="2542"/>
      <c r="G15" s="2538" t="str">
        <f>COVER!T15</f>
        <v>KENNETH E. LOY, CPA</v>
      </c>
      <c r="H15" s="2539"/>
      <c r="I15" s="2539"/>
      <c r="J15" s="2539"/>
      <c r="K15" s="2539"/>
      <c r="L15" s="2540"/>
    </row>
    <row r="16" spans="1:29" ht="12.2" customHeight="1" x14ac:dyDescent="0.2">
      <c r="A16" s="2518">
        <f>COVER!A25</f>
        <v>62088</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618-465-1196</v>
      </c>
      <c r="H18" s="2516"/>
      <c r="I18" s="2516"/>
      <c r="J18" s="2516"/>
      <c r="K18" s="2515" t="str">
        <f>COVER!X21</f>
        <v>618-465-2900</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South Macoupin SASE </v>
      </c>
      <c r="B1" s="2558"/>
      <c r="C1" s="2558"/>
      <c r="D1" s="2558"/>
    </row>
    <row r="2" spans="1:11" s="991" customFormat="1" ht="12.75" x14ac:dyDescent="0.2">
      <c r="A2" s="2559">
        <f>'Single Audit Cover'!E7</f>
        <v>40056801060</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South Macoupin SASE </v>
      </c>
      <c r="B1" s="2562"/>
      <c r="C1" s="2562"/>
      <c r="D1" s="2562"/>
      <c r="E1" s="2562"/>
    </row>
    <row r="2" spans="1:5" x14ac:dyDescent="0.2">
      <c r="A2" s="2563">
        <f>'Single Audit Cover'!E7</f>
        <v>40056801060</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304499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-24757</v>
      </c>
    </row>
    <row r="19" spans="1:4" ht="13.5" thickBot="1" x14ac:dyDescent="0.25">
      <c r="A19" s="1041" t="s">
        <v>1224</v>
      </c>
      <c r="D19" s="1042">
        <f>SUM(D10:D17)</f>
        <v>279742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279742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279742</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1" t="str">
        <f>'Single Audit Cover'!A7</f>
        <v xml:space="preserve">   South Macoupin SASE </v>
      </c>
      <c r="C1" s="2566"/>
      <c r="D1" s="2566"/>
      <c r="E1" s="2566"/>
      <c r="F1" s="2566"/>
      <c r="G1" s="2566"/>
      <c r="H1" s="2566"/>
      <c r="I1" s="2566"/>
      <c r="J1" s="2566"/>
      <c r="K1" s="2566"/>
      <c r="L1" s="2566"/>
      <c r="M1" s="2566"/>
    </row>
    <row r="2" spans="2:14" ht="15" x14ac:dyDescent="0.2">
      <c r="B2" s="2567">
        <f>'Single Audit Cover'!E7</f>
        <v>40056801060</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1" t="str">
        <f>'Single Audit Cover'!A7</f>
        <v xml:space="preserve">   South Macoupin SASE </v>
      </c>
      <c r="B1" s="2571"/>
      <c r="C1" s="2571"/>
      <c r="D1" s="2571"/>
      <c r="E1" s="2571"/>
      <c r="F1" s="2571"/>
    </row>
    <row r="2" spans="1:7" ht="13.5" customHeight="1" x14ac:dyDescent="0.2">
      <c r="A2" s="2567">
        <f>'Single Audit Cover'!E7</f>
        <v>40056801060</v>
      </c>
      <c r="B2" s="2567"/>
      <c r="C2" s="2567"/>
      <c r="D2" s="2567"/>
      <c r="E2" s="2567"/>
      <c r="F2" s="2567"/>
      <c r="G2" s="1051"/>
    </row>
    <row r="3" spans="1:7" ht="15.75" customHeight="1" x14ac:dyDescent="0.2">
      <c r="A3" s="2572" t="s">
        <v>1260</v>
      </c>
      <c r="B3" s="2572"/>
      <c r="C3" s="2572"/>
      <c r="D3" s="2572"/>
      <c r="E3" s="2572"/>
      <c r="F3" s="2572"/>
    </row>
    <row r="4" spans="1:7" ht="13.5" customHeight="1" x14ac:dyDescent="0.2">
      <c r="A4" s="2573" t="str">
        <f>'Single Audit Cover'!A4</f>
        <v>Year Ending June 30, 2020</v>
      </c>
      <c r="B4" s="2573"/>
      <c r="C4" s="2573"/>
      <c r="D4" s="2573"/>
      <c r="E4" s="2573"/>
      <c r="F4" s="2573"/>
    </row>
    <row r="5" spans="1:7" ht="8.25" customHeight="1" x14ac:dyDescent="0.2">
      <c r="C5" s="295"/>
      <c r="D5" s="295"/>
    </row>
    <row r="6" spans="1:7" ht="13.5" customHeight="1" x14ac:dyDescent="0.2">
      <c r="A6" s="1052" t="s">
        <v>1705</v>
      </c>
      <c r="C6" s="295"/>
      <c r="D6" s="295"/>
    </row>
    <row r="7" spans="1:7" ht="60.95" customHeight="1" x14ac:dyDescent="0.2">
      <c r="A7" s="2570" t="s">
        <v>1706</v>
      </c>
      <c r="B7" s="2570"/>
      <c r="C7" s="2570"/>
      <c r="D7" s="2570"/>
      <c r="E7" s="2570"/>
      <c r="F7" s="257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0" t="s">
        <v>1708</v>
      </c>
      <c r="B13" s="2570"/>
      <c r="C13" s="2570"/>
      <c r="D13" s="2570"/>
      <c r="E13" s="2570"/>
      <c r="F13" s="2570"/>
    </row>
    <row r="14" spans="1:7" ht="9.75" customHeight="1" x14ac:dyDescent="0.2">
      <c r="C14" s="1036"/>
      <c r="D14" s="1036"/>
    </row>
    <row r="15" spans="1:7" ht="13.5" customHeight="1" x14ac:dyDescent="0.2">
      <c r="C15" s="1476" t="s">
        <v>1259</v>
      </c>
      <c r="D15" s="2575" t="s">
        <v>1258</v>
      </c>
      <c r="E15" s="2575"/>
      <c r="F15" s="2575"/>
    </row>
    <row r="16" spans="1:7" ht="13.5" customHeight="1" x14ac:dyDescent="0.2">
      <c r="A16" s="1058"/>
      <c r="B16" s="1052" t="s">
        <v>1257</v>
      </c>
      <c r="C16" s="1476" t="s">
        <v>1256</v>
      </c>
      <c r="D16" s="2576" t="s">
        <v>1571</v>
      </c>
      <c r="E16" s="2576"/>
      <c r="F16" s="2576"/>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C00000"/>
  </sheetPr>
  <dimension ref="A1:K143"/>
  <sheetViews>
    <sheetView showGridLines="0" defaultGridColor="0" topLeftCell="A89"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2060</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6" t="str">
        <f>'Single Audit Cover'!A7</f>
        <v xml:space="preserve">   South Macoupin SASE </v>
      </c>
      <c r="C1" s="2587"/>
      <c r="D1" s="2587"/>
      <c r="E1" s="2587"/>
      <c r="F1" s="2587"/>
      <c r="G1" s="2587"/>
      <c r="H1" s="2587"/>
      <c r="I1" s="2587"/>
      <c r="J1" s="1178"/>
    </row>
    <row r="2" spans="2:10" s="295" customFormat="1" ht="12.75" customHeight="1" x14ac:dyDescent="0.2">
      <c r="B2" s="2588">
        <f>'Single Audit Cover'!E7</f>
        <v>40056801060</v>
      </c>
      <c r="C2" s="2589"/>
      <c r="D2" s="2589"/>
      <c r="E2" s="2589"/>
      <c r="F2" s="2589"/>
      <c r="G2" s="2589"/>
      <c r="H2" s="2589"/>
      <c r="I2" s="2589"/>
      <c r="J2" s="1178"/>
    </row>
    <row r="3" spans="2:10" s="295" customFormat="1" ht="12.75" customHeight="1" x14ac:dyDescent="0.2">
      <c r="B3" s="2590" t="s">
        <v>1274</v>
      </c>
      <c r="C3" s="2591"/>
      <c r="D3" s="2591"/>
      <c r="E3" s="2591"/>
      <c r="F3" s="2591"/>
      <c r="G3" s="2591"/>
      <c r="H3" s="2591"/>
      <c r="I3" s="2591"/>
      <c r="J3" s="1179"/>
    </row>
    <row r="4" spans="2:10" s="295" customFormat="1" ht="12.75" customHeight="1" x14ac:dyDescent="0.2">
      <c r="B4" s="2590" t="str">
        <f>'Single Audit Cover'!A4</f>
        <v>Year Ending June 30, 2020</v>
      </c>
      <c r="C4" s="2591"/>
      <c r="D4" s="2591"/>
      <c r="E4" s="2591"/>
      <c r="F4" s="2591"/>
      <c r="G4" s="2591"/>
      <c r="H4" s="2591"/>
      <c r="I4" s="259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0" t="s">
        <v>1273</v>
      </c>
      <c r="C7" s="2591"/>
      <c r="D7" s="2591"/>
      <c r="E7" s="2591"/>
      <c r="F7" s="2591"/>
      <c r="G7" s="2591"/>
      <c r="H7" s="2591"/>
      <c r="I7" s="259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2"/>
      <c r="D11" s="259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3"/>
      <c r="E29" s="2593"/>
      <c r="F29" s="2593"/>
      <c r="G29" s="2593"/>
      <c r="H29" s="2593"/>
      <c r="I29" s="259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4" t="s">
        <v>1728</v>
      </c>
      <c r="D37" s="2595"/>
      <c r="E37" s="2595"/>
      <c r="F37" s="2596"/>
      <c r="G37" s="2594" t="s">
        <v>1575</v>
      </c>
      <c r="H37" s="2595"/>
      <c r="I37" s="2596"/>
    </row>
    <row r="38" spans="2:9" ht="16.5" customHeight="1" x14ac:dyDescent="0.2">
      <c r="B38" s="1200"/>
      <c r="C38" s="2582"/>
      <c r="D38" s="2583"/>
      <c r="E38" s="2583"/>
      <c r="F38" s="2584"/>
      <c r="G38" s="2597"/>
      <c r="H38" s="2598"/>
      <c r="I38" s="2599"/>
    </row>
    <row r="39" spans="2:9" ht="16.5" customHeight="1" x14ac:dyDescent="0.2">
      <c r="B39" s="1200"/>
      <c r="C39" s="2582"/>
      <c r="D39" s="2583"/>
      <c r="E39" s="2583"/>
      <c r="F39" s="2584"/>
      <c r="G39" s="2585"/>
      <c r="H39" s="2585"/>
      <c r="I39" s="2585"/>
    </row>
    <row r="40" spans="2:9" ht="16.5" customHeight="1" x14ac:dyDescent="0.2">
      <c r="B40" s="1200"/>
      <c r="C40" s="2582"/>
      <c r="D40" s="2583"/>
      <c r="E40" s="2583"/>
      <c r="F40" s="2584"/>
      <c r="G40" s="2585"/>
      <c r="H40" s="2585"/>
      <c r="I40" s="2585"/>
    </row>
    <row r="41" spans="2:9" ht="16.5" customHeight="1" x14ac:dyDescent="0.2">
      <c r="B41" s="1200"/>
      <c r="C41" s="2582"/>
      <c r="D41" s="2583"/>
      <c r="E41" s="2583"/>
      <c r="F41" s="2584"/>
      <c r="G41" s="2585"/>
      <c r="H41" s="2585"/>
      <c r="I41" s="2585"/>
    </row>
    <row r="42" spans="2:9" ht="16.5" customHeight="1" x14ac:dyDescent="0.2">
      <c r="B42" s="1200"/>
      <c r="C42" s="2582"/>
      <c r="D42" s="2583"/>
      <c r="E42" s="2583"/>
      <c r="F42" s="2584"/>
      <c r="G42" s="2585"/>
      <c r="H42" s="2585"/>
      <c r="I42" s="2585"/>
    </row>
    <row r="43" spans="2:9" ht="16.5" customHeight="1" x14ac:dyDescent="0.2">
      <c r="B43" s="1200"/>
      <c r="C43" s="2600" t="s">
        <v>1576</v>
      </c>
      <c r="D43" s="2601"/>
      <c r="E43" s="2601"/>
      <c r="F43" s="2602"/>
      <c r="G43" s="2603">
        <f>SUM(G38:I42)</f>
        <v>0</v>
      </c>
      <c r="H43" s="2603"/>
      <c r="I43" s="2603"/>
    </row>
    <row r="44" spans="2:9" ht="12.75" customHeight="1" x14ac:dyDescent="0.2"/>
    <row r="45" spans="2:9" ht="12.75" customHeight="1" x14ac:dyDescent="0.2">
      <c r="B45" s="1918" t="str">
        <f>"Total Federal Expenditures for 7/1/"&amp;MID('AFR20'!E2,3,2)-1&amp;"-6/30/"&amp;MID('AFR20'!E2,3,2)</f>
        <v>Total Federal Expenditures for 7/1/19-6/30/20</v>
      </c>
      <c r="C45" s="1919"/>
      <c r="D45" s="2604">
        <v>0</v>
      </c>
      <c r="E45" s="2605"/>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6"/>
      <c r="F49" s="2606"/>
      <c r="G49" s="2606"/>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6" t="str">
        <f>'Single Audit Cover'!A7</f>
        <v xml:space="preserve">   South Macoupin SASE </v>
      </c>
      <c r="C1" s="2586"/>
      <c r="D1" s="2586"/>
      <c r="E1" s="2586"/>
      <c r="F1" s="2586"/>
      <c r="G1" s="2586"/>
      <c r="H1" s="2586"/>
      <c r="I1" s="2586"/>
      <c r="J1" s="2586"/>
      <c r="K1" s="2586"/>
      <c r="L1" s="1144"/>
      <c r="M1" s="1144"/>
    </row>
    <row r="2" spans="1:13" ht="12" customHeight="1" x14ac:dyDescent="0.2">
      <c r="B2" s="2588">
        <f>'Single Audit Cover'!E7</f>
        <v>40056801060</v>
      </c>
      <c r="C2" s="2588"/>
      <c r="D2" s="2588"/>
      <c r="E2" s="2588"/>
      <c r="F2" s="2588"/>
      <c r="G2" s="2588"/>
      <c r="H2" s="2588"/>
      <c r="I2" s="2588"/>
      <c r="J2" s="2588"/>
      <c r="K2" s="2588"/>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3" t="str">
        <f>'Single Audit Cover'!A7</f>
        <v xml:space="preserve">   South Macoupin SASE </v>
      </c>
      <c r="C1" s="2613"/>
      <c r="D1" s="2613"/>
      <c r="E1" s="2613"/>
      <c r="F1" s="2613"/>
      <c r="G1" s="2613"/>
      <c r="H1" s="2613"/>
      <c r="I1" s="2613"/>
      <c r="J1" s="2613"/>
      <c r="K1" s="2613"/>
      <c r="L1" s="1221"/>
    </row>
    <row r="2" spans="1:12" ht="12.75" customHeight="1" x14ac:dyDescent="0.2">
      <c r="B2" s="2614">
        <f>'Single Audit Cover'!E7</f>
        <v>40056801060</v>
      </c>
      <c r="C2" s="2614"/>
      <c r="D2" s="2614"/>
      <c r="E2" s="2614"/>
      <c r="F2" s="2614"/>
      <c r="G2" s="2614"/>
      <c r="H2" s="2614"/>
      <c r="I2" s="2614"/>
      <c r="J2" s="2614"/>
      <c r="K2" s="2614"/>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5" t="s">
        <v>1297</v>
      </c>
      <c r="C6" s="2615"/>
      <c r="D6" s="2615"/>
      <c r="E6" s="2615"/>
      <c r="F6" s="2615"/>
      <c r="G6" s="2615"/>
      <c r="H6" s="2615"/>
      <c r="I6" s="2615"/>
      <c r="J6" s="2615"/>
      <c r="K6" s="261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3"/>
      <c r="G12" s="2593"/>
      <c r="H12" s="2593"/>
      <c r="I12" s="2593"/>
      <c r="J12" s="2593"/>
      <c r="K12" s="259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6" t="str">
        <f>'Single Audit Cover'!A7</f>
        <v xml:space="preserve">   South Macoupin SASE </v>
      </c>
      <c r="C1" s="2586"/>
      <c r="D1" s="2586"/>
      <c r="E1" s="1240"/>
    </row>
    <row r="2" spans="2:5" s="1058" customFormat="1" ht="12.75" customHeight="1" x14ac:dyDescent="0.2">
      <c r="B2" s="2588">
        <f>'Single Audit Cover'!E7</f>
        <v>40056801060</v>
      </c>
      <c r="C2" s="2588"/>
      <c r="D2" s="2588"/>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C00000"/>
  </sheetPr>
  <dimension ref="A1:N72"/>
  <sheetViews>
    <sheetView showGridLines="0" defaultGridColor="0" colorId="8" zoomScale="110" zoomScaleNormal="110" workbookViewId="0">
      <selection activeCell="J37" sqref="J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2761100</v>
      </c>
      <c r="E16" s="1547"/>
      <c r="F16" s="1546">
        <f>SUM('Acct Summary 7-8'!C17,'Acct Summary 7-8'!D17,'Acct Summary 7-8'!F17)</f>
        <v>2757551</v>
      </c>
      <c r="G16" s="1547"/>
      <c r="H16" s="1546">
        <f>SUM(D16-F16)</f>
        <v>3549</v>
      </c>
      <c r="I16" s="1548"/>
      <c r="J16" s="1546">
        <f>SUM('Acct Summary 7-8'!C81,'Acct Summary 7-8'!D81,'Acct Summary 7-8'!F81,'Acct Summary 7-8'!I81)</f>
        <v>258083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C00000"/>
  </sheetPr>
  <dimension ref="A1:R44"/>
  <sheetViews>
    <sheetView showGridLines="0" topLeftCell="A16"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South Macoupin SASE </v>
      </c>
      <c r="E7" s="368"/>
      <c r="G7" s="247"/>
      <c r="H7" s="364"/>
      <c r="I7" s="364"/>
      <c r="J7" s="364"/>
      <c r="K7" s="364"/>
      <c r="L7" s="307"/>
      <c r="M7" s="307"/>
      <c r="N7" s="307"/>
      <c r="O7" s="307"/>
      <c r="P7" s="307"/>
    </row>
    <row r="8" spans="1:18" ht="12.75" x14ac:dyDescent="0.2">
      <c r="A8" s="307"/>
      <c r="B8" s="307"/>
      <c r="C8" s="366" t="s">
        <v>1115</v>
      </c>
      <c r="D8" s="369">
        <f>COVER!A13</f>
        <v>40056801060</v>
      </c>
      <c r="E8" s="370"/>
      <c r="G8" s="307"/>
      <c r="H8" s="307"/>
      <c r="I8" s="307"/>
      <c r="J8" s="307"/>
      <c r="K8" s="307"/>
      <c r="L8" s="307"/>
      <c r="M8" s="307"/>
      <c r="N8" s="307"/>
      <c r="O8" s="307"/>
      <c r="P8" s="307"/>
    </row>
    <row r="9" spans="1:18" ht="12.75" x14ac:dyDescent="0.2">
      <c r="A9" s="307"/>
      <c r="B9" s="307"/>
      <c r="C9" s="366" t="s">
        <v>708</v>
      </c>
      <c r="D9" s="371" t="str">
        <f>COVER!A15</f>
        <v>MACOUPIN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2</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258083</v>
      </c>
      <c r="I12" s="380"/>
      <c r="J12" s="380"/>
      <c r="K12" s="1559">
        <f>TRUNC((H12/H13*100000),5)/100000</f>
        <v>9.3471080299999995E-2</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2761100</v>
      </c>
      <c r="I13" s="380"/>
      <c r="J13" s="380"/>
      <c r="K13" s="1558"/>
      <c r="L13" s="213"/>
      <c r="M13" s="337" t="s">
        <v>1135</v>
      </c>
      <c r="N13" s="337"/>
      <c r="O13" s="1563">
        <f>(O11*O12)</f>
        <v>0.7</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2757551</v>
      </c>
      <c r="I17" s="380"/>
      <c r="J17" s="389"/>
      <c r="K17" s="1559">
        <f>TRUNC((H17/H18*100000),5)/100000</f>
        <v>0.99871464269999999</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2761100</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2</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258083</v>
      </c>
      <c r="I24" s="394"/>
      <c r="J24" s="394"/>
      <c r="K24" s="1555">
        <f>TRUNC(((H24/H25*100000)/100000),2)</f>
        <v>33.69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7659.8638899999996</v>
      </c>
      <c r="I25" s="396"/>
      <c r="J25" s="396"/>
      <c r="K25" s="1558"/>
      <c r="L25" s="213"/>
      <c r="M25" s="337" t="s">
        <v>1135</v>
      </c>
      <c r="N25" s="337"/>
      <c r="O25" s="1563">
        <f>O23*O24</f>
        <v>0.2</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C00000"/>
  </sheetPr>
  <dimension ref="A1:N44"/>
  <sheetViews>
    <sheetView showGridLines="0" defaultGridColor="0" colorId="8" zoomScale="110" zoomScaleNormal="110" workbookViewId="0">
      <pane ySplit="2" topLeftCell="A24" activePane="bottomLeft" state="frozen"/>
      <selection pane="bottomLeft" activeCell="C47" sqref="C4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258083</v>
      </c>
      <c r="D4" s="1573"/>
      <c r="E4" s="1573"/>
      <c r="F4" s="1573"/>
      <c r="G4" s="1573"/>
      <c r="H4" s="1573"/>
      <c r="I4" s="1573"/>
      <c r="J4" s="1574"/>
      <c r="K4" s="1573"/>
      <c r="L4" s="1573"/>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258083</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220690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220690</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258083</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220690</v>
      </c>
      <c r="N40" s="1604"/>
    </row>
    <row r="41" spans="1:14" ht="13.5" customHeight="1" thickBot="1" x14ac:dyDescent="0.25">
      <c r="A41" s="1426" t="s">
        <v>650</v>
      </c>
      <c r="B41" s="1405"/>
      <c r="C41" s="1594">
        <f>(SUM(C34,C37,C38,C39))</f>
        <v>258083</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220690</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C00000"/>
  </sheetPr>
  <dimension ref="A1:M87"/>
  <sheetViews>
    <sheetView showGridLines="0" defaultGridColor="0" colorId="8" zoomScale="110" zoomScaleNormal="110" zoomScaleSheetLayoutView="100" workbookViewId="0">
      <pane ySplit="2" topLeftCell="A54" activePane="bottomLeft" state="frozen"/>
      <selection pane="bottomLeft" activeCell="C80" sqref="C8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2179892</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276709</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304499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2761100</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1226738</v>
      </c>
      <c r="D9" s="1613"/>
      <c r="E9" s="1586"/>
      <c r="F9" s="1586"/>
      <c r="G9" s="1614"/>
      <c r="H9" s="1586"/>
      <c r="I9" s="1609" t="s">
        <v>1159</v>
      </c>
      <c r="J9" s="1583"/>
      <c r="K9" s="1586"/>
      <c r="L9" s="325"/>
    </row>
    <row r="10" spans="1:13" s="452" customFormat="1" ht="13.5" thickBot="1" x14ac:dyDescent="0.25">
      <c r="A10" s="1426" t="s">
        <v>1163</v>
      </c>
      <c r="B10" s="1407"/>
      <c r="C10" s="1594">
        <f>SUM(C8:C9)</f>
        <v>3987838</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2044698</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453072</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259781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2757551</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1226738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3984289</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3549</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3549</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254534</v>
      </c>
      <c r="D79" s="1630"/>
      <c r="E79" s="1630"/>
      <c r="F79" s="1630"/>
      <c r="G79" s="1630"/>
      <c r="H79" s="1630"/>
      <c r="I79" s="1630"/>
      <c r="J79" s="1630"/>
      <c r="K79" s="1630"/>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258083</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3549</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1.375139005668719E-2</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C00000"/>
  </sheetPr>
  <dimension ref="A1:L279"/>
  <sheetViews>
    <sheetView showGridLines="0" defaultGridColor="0" colorId="8" zoomScale="110" zoomScaleNormal="110" zoomScaleSheetLayoutView="75" workbookViewId="0">
      <pane ySplit="2" topLeftCell="A261" activePane="bottomLeft" state="frozen"/>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f>236678+746610+899592+256826+27555</f>
        <v>2167261</v>
      </c>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2167261</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1+2071</f>
        <v>2072</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2072</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v>8279</v>
      </c>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8279</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2280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2280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2179892</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246659</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246659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v>30050</v>
      </c>
      <c r="D131" s="1574"/>
      <c r="E131" s="1575"/>
      <c r="F131" s="1573"/>
      <c r="G131" s="1575"/>
      <c r="H131" s="1575"/>
      <c r="I131" s="1575"/>
      <c r="J131" s="1575"/>
      <c r="K131" s="1575"/>
    </row>
    <row r="132" spans="1:11" ht="12.75" customHeight="1" thickBot="1" x14ac:dyDescent="0.25">
      <c r="A132" s="1406" t="s">
        <v>1025</v>
      </c>
      <c r="B132" s="1414"/>
      <c r="C132" s="1633">
        <f>SUM(C125:C131)</f>
        <v>30050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30050</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276709</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13183</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v>246598</v>
      </c>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259781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19961</v>
      </c>
      <c r="D263" s="1651"/>
      <c r="E263" s="1575"/>
      <c r="F263" s="1651"/>
      <c r="G263" s="1651"/>
      <c r="H263" s="1575"/>
      <c r="I263" s="1575"/>
      <c r="J263" s="1575"/>
      <c r="K263" s="1575"/>
    </row>
    <row r="264" spans="1:11" ht="12.75" customHeight="1" thickTop="1" thickBot="1" x14ac:dyDescent="0.25">
      <c r="A264" s="427" t="s">
        <v>374</v>
      </c>
      <c r="B264" s="429">
        <v>4992</v>
      </c>
      <c r="C264" s="1650">
        <v>24757</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304499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304499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2761100</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C00000"/>
  </sheetPr>
  <dimension ref="A1:N368"/>
  <sheetViews>
    <sheetView showGridLines="0" defaultGridColor="0" colorId="8" zoomScale="110" zoomScaleNormal="110" workbookViewId="0">
      <pane ySplit="2" topLeftCell="A96" activePane="bottomLeft" state="frozen"/>
      <selection pane="bottomLeft" activeCell="F9" sqref="F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1583582</v>
      </c>
      <c r="D8" s="1573">
        <f>63799+224092+9068+6500</f>
        <v>303459</v>
      </c>
      <c r="E8" s="1573">
        <f>62000+9506+13179</f>
        <v>84685</v>
      </c>
      <c r="F8" s="1573">
        <f>77+13083+9835+187</f>
        <v>23182</v>
      </c>
      <c r="G8" s="1573">
        <v>49790</v>
      </c>
      <c r="H8" s="1573"/>
      <c r="I8" s="1574"/>
      <c r="J8" s="1574"/>
      <c r="K8" s="1672">
        <f t="shared" si="0"/>
        <v>2044698</v>
      </c>
      <c r="L8" s="1573">
        <v>2029601</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1583582</v>
      </c>
      <c r="D33" s="1674">
        <f t="shared" ref="D33:L33" si="1">SUM(D5:D32)</f>
        <v>303459</v>
      </c>
      <c r="E33" s="1674">
        <f t="shared" si="1"/>
        <v>84685</v>
      </c>
      <c r="F33" s="1674">
        <f t="shared" si="1"/>
        <v>23182</v>
      </c>
      <c r="G33" s="1674">
        <f t="shared" si="1"/>
        <v>49790</v>
      </c>
      <c r="H33" s="1674">
        <f t="shared" si="1"/>
        <v>0</v>
      </c>
      <c r="I33" s="1674">
        <f t="shared" si="1"/>
        <v>0</v>
      </c>
      <c r="J33" s="1674">
        <f t="shared" si="1"/>
        <v>0</v>
      </c>
      <c r="K33" s="1674">
        <f t="shared" si="1"/>
        <v>2044698</v>
      </c>
      <c r="L33" s="1674">
        <f t="shared" si="1"/>
        <v>2029601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v>3775</v>
      </c>
      <c r="F36" s="1586"/>
      <c r="G36" s="1586"/>
      <c r="H36" s="1586"/>
      <c r="I36" s="1574"/>
      <c r="J36" s="1574"/>
      <c r="K36" s="1672">
        <f t="shared" ref="K36:K41" si="2">SUM(C36:J36)</f>
        <v>3775</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3775</v>
      </c>
      <c r="F42" s="1674">
        <f t="shared" si="3"/>
        <v>0</v>
      </c>
      <c r="G42" s="1674">
        <f t="shared" si="3"/>
        <v>0</v>
      </c>
      <c r="H42" s="1674">
        <f t="shared" si="3"/>
        <v>0</v>
      </c>
      <c r="I42" s="1674">
        <f t="shared" si="3"/>
        <v>0</v>
      </c>
      <c r="J42" s="1674">
        <f t="shared" si="3"/>
        <v>0</v>
      </c>
      <c r="K42" s="1674">
        <f t="shared" si="3"/>
        <v>3775</v>
      </c>
      <c r="L42" s="1674">
        <f t="shared" si="3"/>
        <v>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6256</v>
      </c>
      <c r="F44" s="1586">
        <v>1430</v>
      </c>
      <c r="G44" s="1586"/>
      <c r="H44" s="1586">
        <v>2739</v>
      </c>
      <c r="I44" s="1574"/>
      <c r="J44" s="1574"/>
      <c r="K44" s="1678">
        <f>SUM(C44:J44)</f>
        <v>10425</v>
      </c>
      <c r="L44" s="1586">
        <v>11900</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v>4876</v>
      </c>
      <c r="G46" s="1573"/>
      <c r="H46" s="1573"/>
      <c r="I46" s="1574"/>
      <c r="J46" s="1574"/>
      <c r="K46" s="1678">
        <f>SUM(C46:J46)</f>
        <v>4876</v>
      </c>
      <c r="L46" s="1573">
        <v>3407</v>
      </c>
    </row>
    <row r="47" spans="1:14" ht="12.75" customHeight="1" thickBot="1" x14ac:dyDescent="0.25">
      <c r="A47" s="1380" t="s">
        <v>557</v>
      </c>
      <c r="B47" s="1381" t="s">
        <v>32</v>
      </c>
      <c r="C47" s="1674">
        <f>SUM(C44:C46)</f>
        <v>0</v>
      </c>
      <c r="D47" s="1674">
        <f t="shared" ref="D47:K47" si="4">SUM(D44:D46)</f>
        <v>0</v>
      </c>
      <c r="E47" s="1674">
        <f t="shared" si="4"/>
        <v>6256</v>
      </c>
      <c r="F47" s="1674">
        <f t="shared" si="4"/>
        <v>6306</v>
      </c>
      <c r="G47" s="1674">
        <f t="shared" si="4"/>
        <v>0</v>
      </c>
      <c r="H47" s="1674">
        <f t="shared" si="4"/>
        <v>2739</v>
      </c>
      <c r="I47" s="1674">
        <f t="shared" si="4"/>
        <v>0</v>
      </c>
      <c r="J47" s="1674">
        <f t="shared" si="4"/>
        <v>0</v>
      </c>
      <c r="K47" s="1674">
        <f t="shared" si="4"/>
        <v>15301</v>
      </c>
      <c r="L47" s="1674">
        <f>SUM(L44:L46)</f>
        <v>15307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37917</v>
      </c>
      <c r="D49" s="1586">
        <v>5385</v>
      </c>
      <c r="E49" s="1586"/>
      <c r="F49" s="1586"/>
      <c r="G49" s="1586"/>
      <c r="H49" s="1586"/>
      <c r="I49" s="1574"/>
      <c r="J49" s="1574"/>
      <c r="K49" s="1678">
        <f>SUM(C49:J49)</f>
        <v>43302</v>
      </c>
      <c r="L49" s="1586"/>
    </row>
    <row r="50" spans="1:14" x14ac:dyDescent="0.2">
      <c r="A50" s="1274" t="s">
        <v>813</v>
      </c>
      <c r="B50" s="503">
        <v>2320</v>
      </c>
      <c r="C50" s="1573"/>
      <c r="D50" s="1573"/>
      <c r="E50" s="1573"/>
      <c r="F50" s="1573"/>
      <c r="G50" s="1573"/>
      <c r="H50" s="1573"/>
      <c r="I50" s="1574"/>
      <c r="J50" s="1574"/>
      <c r="K50" s="1678">
        <f>SUM(C50:J50)</f>
        <v>0</v>
      </c>
      <c r="L50" s="1573"/>
    </row>
    <row r="51" spans="1:14" x14ac:dyDescent="0.2">
      <c r="A51" s="1274" t="s">
        <v>42</v>
      </c>
      <c r="B51" s="503">
        <v>2330</v>
      </c>
      <c r="C51" s="1573">
        <v>246491</v>
      </c>
      <c r="D51" s="1573">
        <f>55672+3503</f>
        <v>59175</v>
      </c>
      <c r="E51" s="1573">
        <f>19877+21440+830+2219</f>
        <v>44366</v>
      </c>
      <c r="F51" s="1573">
        <v>4479</v>
      </c>
      <c r="G51" s="1573"/>
      <c r="H51" s="1573"/>
      <c r="I51" s="1574"/>
      <c r="J51" s="1574"/>
      <c r="K51" s="1678">
        <f>SUM(C51:J51)</f>
        <v>354511</v>
      </c>
      <c r="L51" s="1573">
        <v>390728</v>
      </c>
    </row>
    <row r="52" spans="1:14" ht="22.5" x14ac:dyDescent="0.2">
      <c r="A52" s="1275" t="s">
        <v>295</v>
      </c>
      <c r="B52" s="511" t="s">
        <v>363</v>
      </c>
      <c r="C52" s="1579"/>
      <c r="D52" s="1579"/>
      <c r="E52" s="1579">
        <v>15617</v>
      </c>
      <c r="F52" s="1579"/>
      <c r="G52" s="1579"/>
      <c r="H52" s="1579"/>
      <c r="I52" s="1579"/>
      <c r="J52" s="1579"/>
      <c r="K52" s="1678">
        <f>SUM(C52:J52)</f>
        <v>15617</v>
      </c>
      <c r="L52" s="1579">
        <v>15381</v>
      </c>
    </row>
    <row r="53" spans="1:14" ht="12.75" customHeight="1" thickBot="1" x14ac:dyDescent="0.25">
      <c r="A53" s="1380" t="s">
        <v>712</v>
      </c>
      <c r="B53" s="1381" t="s">
        <v>33</v>
      </c>
      <c r="C53" s="1674">
        <f>SUM(C49:C52)</f>
        <v>284408</v>
      </c>
      <c r="D53" s="1674">
        <f t="shared" ref="D53:L53" si="5">SUM(D49:D52)</f>
        <v>64560</v>
      </c>
      <c r="E53" s="1674">
        <f t="shared" si="5"/>
        <v>59983</v>
      </c>
      <c r="F53" s="1674">
        <f t="shared" si="5"/>
        <v>4479</v>
      </c>
      <c r="G53" s="1674">
        <f t="shared" si="5"/>
        <v>0</v>
      </c>
      <c r="H53" s="1674">
        <f t="shared" si="5"/>
        <v>0</v>
      </c>
      <c r="I53" s="1674">
        <f t="shared" si="5"/>
        <v>0</v>
      </c>
      <c r="J53" s="1674">
        <f t="shared" si="5"/>
        <v>0</v>
      </c>
      <c r="K53" s="1674">
        <f t="shared" si="5"/>
        <v>413430</v>
      </c>
      <c r="L53" s="1674">
        <f t="shared" si="5"/>
        <v>406109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c r="D60" s="1573"/>
      <c r="E60" s="1573"/>
      <c r="F60" s="1573"/>
      <c r="G60" s="1573"/>
      <c r="H60" s="1573"/>
      <c r="I60" s="1574"/>
      <c r="J60" s="1574"/>
      <c r="K60" s="1678">
        <f t="shared" si="7"/>
        <v>0</v>
      </c>
      <c r="L60" s="1573">
        <v>4300</v>
      </c>
      <c r="M60" s="501"/>
      <c r="N60" s="501"/>
    </row>
    <row r="61" spans="1:14" s="321" customFormat="1" x14ac:dyDescent="0.2">
      <c r="A61" s="1274" t="s">
        <v>195</v>
      </c>
      <c r="B61" s="503">
        <v>2540</v>
      </c>
      <c r="C61" s="1573"/>
      <c r="D61" s="1573"/>
      <c r="E61" s="1573">
        <v>3000</v>
      </c>
      <c r="F61" s="1573"/>
      <c r="G61" s="1573"/>
      <c r="H61" s="1573"/>
      <c r="I61" s="1574"/>
      <c r="J61" s="1574"/>
      <c r="K61" s="1678">
        <f t="shared" si="7"/>
        <v>3000</v>
      </c>
      <c r="L61" s="1573">
        <v>3000</v>
      </c>
      <c r="M61" s="501"/>
      <c r="N61" s="501"/>
    </row>
    <row r="62" spans="1:14" s="321" customFormat="1" x14ac:dyDescent="0.2">
      <c r="A62" s="1274" t="s">
        <v>947</v>
      </c>
      <c r="B62" s="503">
        <v>2550</v>
      </c>
      <c r="C62" s="1573"/>
      <c r="D62" s="1573"/>
      <c r="E62" s="1573">
        <v>69</v>
      </c>
      <c r="F62" s="1573"/>
      <c r="G62" s="1573"/>
      <c r="H62" s="1573"/>
      <c r="I62" s="1574"/>
      <c r="J62" s="1574"/>
      <c r="K62" s="1678">
        <f t="shared" si="7"/>
        <v>69</v>
      </c>
      <c r="L62" s="1573">
        <v>500</v>
      </c>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0</v>
      </c>
      <c r="D65" s="1674">
        <f t="shared" ref="D65:L65" si="8">SUM(D59:D64)</f>
        <v>0</v>
      </c>
      <c r="E65" s="1674">
        <f t="shared" si="8"/>
        <v>3069</v>
      </c>
      <c r="F65" s="1674">
        <f t="shared" si="8"/>
        <v>0</v>
      </c>
      <c r="G65" s="1674">
        <f t="shared" si="8"/>
        <v>0</v>
      </c>
      <c r="H65" s="1674">
        <f t="shared" si="8"/>
        <v>0</v>
      </c>
      <c r="I65" s="1674">
        <f t="shared" si="8"/>
        <v>0</v>
      </c>
      <c r="J65" s="1674">
        <f t="shared" si="8"/>
        <v>0</v>
      </c>
      <c r="K65" s="1674">
        <f t="shared" si="8"/>
        <v>3069</v>
      </c>
      <c r="L65" s="1674">
        <f t="shared" si="8"/>
        <v>7800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v>17497</v>
      </c>
      <c r="F71" s="1573"/>
      <c r="G71" s="1573"/>
      <c r="H71" s="1573"/>
      <c r="I71" s="1574"/>
      <c r="J71" s="1574"/>
      <c r="K71" s="1678">
        <f>SUM(C71:J71)</f>
        <v>17497</v>
      </c>
      <c r="L71" s="1573">
        <v>18000</v>
      </c>
      <c r="M71" s="501"/>
      <c r="N71" s="501"/>
    </row>
    <row r="72" spans="1:14" s="321" customFormat="1" ht="12.75" customHeight="1" thickBot="1" x14ac:dyDescent="0.25">
      <c r="A72" s="1380" t="s">
        <v>37</v>
      </c>
      <c r="B72" s="1383" t="s">
        <v>36</v>
      </c>
      <c r="C72" s="1674">
        <f>SUM(C67:C71)</f>
        <v>0</v>
      </c>
      <c r="D72" s="1674">
        <f t="shared" ref="D72:K72" si="9">SUM(D67:D71)</f>
        <v>0</v>
      </c>
      <c r="E72" s="1674">
        <f t="shared" si="9"/>
        <v>17497</v>
      </c>
      <c r="F72" s="1674">
        <f t="shared" si="9"/>
        <v>0</v>
      </c>
      <c r="G72" s="1674">
        <f t="shared" si="9"/>
        <v>0</v>
      </c>
      <c r="H72" s="1674">
        <f t="shared" si="9"/>
        <v>0</v>
      </c>
      <c r="I72" s="1674">
        <f t="shared" si="9"/>
        <v>0</v>
      </c>
      <c r="J72" s="1674">
        <f t="shared" si="9"/>
        <v>0</v>
      </c>
      <c r="K72" s="1674">
        <f t="shared" si="9"/>
        <v>17497</v>
      </c>
      <c r="L72" s="1674">
        <f>SUM(L67:L71)</f>
        <v>18000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284408</v>
      </c>
      <c r="D74" s="1681">
        <f t="shared" ref="D74:K74" si="10">SUM(D42,D47,D53,D57,D65,D72,D73)</f>
        <v>64560</v>
      </c>
      <c r="E74" s="1681">
        <f t="shared" si="10"/>
        <v>90580</v>
      </c>
      <c r="F74" s="1681">
        <f t="shared" si="10"/>
        <v>10785</v>
      </c>
      <c r="G74" s="1681">
        <f t="shared" si="10"/>
        <v>0</v>
      </c>
      <c r="H74" s="1681">
        <f t="shared" si="10"/>
        <v>2739</v>
      </c>
      <c r="I74" s="1681">
        <f t="shared" si="10"/>
        <v>0</v>
      </c>
      <c r="J74" s="1681">
        <f t="shared" si="10"/>
        <v>0</v>
      </c>
      <c r="K74" s="1681">
        <f t="shared" si="10"/>
        <v>453072</v>
      </c>
      <c r="L74" s="1681">
        <f>SUM(L42,L47,L53,L57,L65,L72,L73)</f>
        <v>447216</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f>246598+13183</f>
        <v>259781</v>
      </c>
      <c r="I78" s="1582"/>
      <c r="J78" s="1582"/>
      <c r="K78" s="1672">
        <f t="shared" ref="K78:K83" si="11">SUM(C78:J78)</f>
        <v>259781</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259781</v>
      </c>
      <c r="I84" s="1582"/>
      <c r="J84" s="1582"/>
      <c r="K84" s="1674">
        <f>SUM(K78:K83)</f>
        <v>259781</v>
      </c>
      <c r="L84" s="1674">
        <f>SUM(L78:L83)</f>
        <v>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259781</v>
      </c>
      <c r="I102" s="1582"/>
      <c r="J102" s="1582"/>
      <c r="K102" s="1681">
        <f>SUM(K84,K92,K100,K101)</f>
        <v>259781</v>
      </c>
      <c r="L102" s="1681">
        <f>SUM(L84,L92,L100,L101)</f>
        <v>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1867990</v>
      </c>
      <c r="D114" s="1674">
        <f t="shared" ref="D114:K114" si="13">SUM(D33,D74,D75,D102,D112,D113)</f>
        <v>368019</v>
      </c>
      <c r="E114" s="1674">
        <f t="shared" si="13"/>
        <v>175265</v>
      </c>
      <c r="F114" s="1674">
        <f t="shared" si="13"/>
        <v>33967</v>
      </c>
      <c r="G114" s="1674">
        <f t="shared" si="13"/>
        <v>49790</v>
      </c>
      <c r="H114" s="1674">
        <f>SUM(H33,H74,H75,H102,H112,H113)</f>
        <v>262520</v>
      </c>
      <c r="I114" s="1674">
        <f t="shared" si="13"/>
        <v>0</v>
      </c>
      <c r="J114" s="1674">
        <f t="shared" si="13"/>
        <v>0</v>
      </c>
      <c r="K114" s="1674">
        <f t="shared" si="13"/>
        <v>2757551</v>
      </c>
      <c r="L114" s="1674">
        <f>SUM(L33,L74,L75,L102,L112,L113)</f>
        <v>2476817</v>
      </c>
    </row>
    <row r="115" spans="1:14" ht="13.5" thickTop="1" x14ac:dyDescent="0.2">
      <c r="A115" s="2261" t="s">
        <v>989</v>
      </c>
      <c r="B115" s="2262"/>
      <c r="C115" s="1675"/>
      <c r="D115" s="1675"/>
      <c r="E115" s="1675"/>
      <c r="F115" s="1675"/>
      <c r="G115" s="1675"/>
      <c r="H115" s="1675"/>
      <c r="I115" s="1675"/>
      <c r="J115" s="1675"/>
      <c r="K115" s="1689">
        <f>'Revenues 9-14'!C268-'Expenditures 15-22'!K114</f>
        <v>3549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1" t="s">
        <v>989</v>
      </c>
      <c r="B175" s="2262"/>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1" t="s">
        <v>989</v>
      </c>
      <c r="B211" s="2262"/>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1" t="s">
        <v>989</v>
      </c>
      <c r="B296" s="2262"/>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1" t="s">
        <v>989</v>
      </c>
      <c r="B368" s="2262"/>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terms/"/>
    <ds:schemaRef ds:uri="http://purl.org/dc/elements/1.1/"/>
    <ds:schemaRef ds:uri="6ce3111e-7420-4802-b50a-75d4e9a0b980"/>
    <ds:schemaRef ds:uri="d21dc803-237d-4c68-8692-8d731fd29118"/>
    <ds:schemaRef ds:uri="http://purl.org/dc/dcmitype/"/>
    <ds:schemaRef ds:uri="http://schemas.microsoft.com/office/2006/documentManagement/types"/>
    <ds:schemaRef ds:uri="http://schemas.microsoft.com/sharepoint/v3"/>
    <ds:schemaRef ds:uri="http://schemas.openxmlformats.org/package/2006/metadata/core-properties"/>
    <ds:schemaRef ds:uri="http://schemas.microsoft.com/office/infopath/2007/PartnerControls"/>
    <ds:schemaRef ds:uri="4d435f69-8686-490b-bd6d-b153bf22ab5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2020-07-27T18:07:04Z</cp:lastPrinted>
  <dcterms:created xsi:type="dcterms:W3CDTF">2003-10-29T19:06:34Z</dcterms:created>
  <dcterms:modified xsi:type="dcterms:W3CDTF">2020-11-12T21:07:30Z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