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A2E97DC-A334-481C-B6D9-22B67CA6BBF8}" xr6:coauthVersionLast="36" xr6:coauthVersionMax="36" xr10:uidLastSave="{00000000-0000-0000-0000-000000000000}"/>
  <bookViews>
    <workbookView xWindow="-120" yWindow="-120" windowWidth="15600" windowHeight="18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7">' SEFA'!$B$1:$M$47</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16">'Shared Outsourced Services 31'!$A$1:$F$46</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1" i="29" l="1"/>
  <c r="C33" i="5"/>
  <c r="L5" i="3" l="1"/>
  <c r="I26" i="179" l="1"/>
  <c r="L13" i="179"/>
  <c r="H20" i="179"/>
  <c r="H26" i="179" s="1"/>
  <c r="H19" i="185" s="1"/>
  <c r="G20" i="179"/>
  <c r="G26" i="179" s="1"/>
  <c r="E20" i="179"/>
  <c r="E26" i="179" s="1"/>
  <c r="F20" i="179"/>
  <c r="F26" i="179" s="1"/>
  <c r="I16" i="185"/>
  <c r="G16" i="185"/>
  <c r="F16" i="185"/>
  <c r="E16" i="185"/>
  <c r="L27" i="185"/>
  <c r="L26" i="185"/>
  <c r="L25" i="185"/>
  <c r="L24" i="185"/>
  <c r="L23" i="185"/>
  <c r="L22" i="185"/>
  <c r="L21" i="185"/>
  <c r="L20" i="185"/>
  <c r="L18" i="185"/>
  <c r="L17" i="185"/>
  <c r="L15" i="185"/>
  <c r="L14" i="185"/>
  <c r="L13" i="185"/>
  <c r="L12" i="185"/>
  <c r="L11" i="185"/>
  <c r="I9" i="185"/>
  <c r="G9" i="185"/>
  <c r="F9" i="185"/>
  <c r="E9" i="185"/>
  <c r="J8" i="185"/>
  <c r="H8" i="185"/>
  <c r="C8" i="29"/>
  <c r="C265" i="5"/>
  <c r="L16" i="185" l="1"/>
  <c r="F19" i="185"/>
  <c r="G19" i="185"/>
  <c r="I19" i="185"/>
  <c r="E19" i="185"/>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5" l="1"/>
  <c r="L19"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8" i="179" l="1"/>
  <c r="L27" i="179"/>
  <c r="L26" i="179"/>
  <c r="L25" i="179"/>
  <c r="L24" i="179"/>
  <c r="L23" i="179"/>
  <c r="L22" i="179"/>
  <c r="L21" i="179"/>
  <c r="L20" i="179"/>
  <c r="L19" i="179"/>
  <c r="L18" i="179"/>
  <c r="L15" i="179"/>
  <c r="L12" i="179"/>
  <c r="L11" i="179"/>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L22" i="37"/>
  <c r="D22" i="37" l="1"/>
  <c r="D24" i="37"/>
  <c r="B4270" i="106" s="1"/>
  <c r="D4270" i="106" s="1"/>
  <c r="B7078" i="106"/>
  <c r="D7078" i="106" s="1"/>
  <c r="F50" i="34"/>
  <c r="B6289" i="106"/>
  <c r="D6289" i="106" s="1"/>
  <c r="H76" i="4"/>
  <c r="B3298" i="106" s="1"/>
  <c r="D3298" i="106" s="1"/>
  <c r="F52" i="34"/>
  <c r="B7831" i="106" s="1"/>
  <c r="D7831" i="106" s="1"/>
  <c r="F36" i="34"/>
  <c r="B7828" i="106" s="1"/>
  <c r="D7828" i="106" s="1"/>
  <c r="B7047" i="106"/>
  <c r="D7047" i="106" s="1"/>
  <c r="F34" i="34"/>
  <c r="B7826" i="106" s="1"/>
  <c r="D7826" i="106" s="1"/>
  <c r="B2836" i="106"/>
  <c r="D2836" i="106" s="1"/>
  <c r="C352" i="29"/>
  <c r="C367" i="29" s="1"/>
  <c r="B3622" i="106" s="1"/>
  <c r="D3622" i="106" s="1"/>
  <c r="F70" i="34"/>
  <c r="G39" i="108"/>
  <c r="D14" i="4"/>
  <c r="B2570" i="106" s="1"/>
  <c r="D2570" i="106" s="1"/>
  <c r="I129" i="29"/>
  <c r="B7037" i="106" s="1"/>
  <c r="D7037" i="106" s="1"/>
  <c r="F56" i="34"/>
  <c r="B7832" i="106" s="1"/>
  <c r="D7832" i="106" s="1"/>
  <c r="I210" i="29"/>
  <c r="B7071" i="106" s="1"/>
  <c r="D7071" i="106" s="1"/>
  <c r="H33" i="118"/>
  <c r="B7189" i="106"/>
  <c r="D7189" i="106" s="1"/>
  <c r="E64" i="184"/>
  <c r="N64" i="184" s="1"/>
  <c r="H12" i="184"/>
  <c r="J210" i="29"/>
  <c r="B7072" i="106" s="1"/>
  <c r="D7072" i="106" s="1"/>
  <c r="J129" i="29"/>
  <c r="B7038" i="106" s="1"/>
  <c r="D7038" i="106" s="1"/>
  <c r="C129" i="29"/>
  <c r="C151" i="29" s="1"/>
  <c r="B1226" i="106" s="1"/>
  <c r="D1226" i="106" s="1"/>
  <c r="B7153" i="106"/>
  <c r="D7153" i="106" s="1"/>
  <c r="E60" i="184"/>
  <c r="N60" i="184" s="1"/>
  <c r="B7198" i="106"/>
  <c r="D7198" i="106" s="1"/>
  <c r="E65" i="184"/>
  <c r="N65" i="184" s="1"/>
  <c r="B7162" i="106"/>
  <c r="D7162" i="106" s="1"/>
  <c r="E61" i="184"/>
  <c r="N61" i="184" s="1"/>
  <c r="B7126" i="106"/>
  <c r="D7126" i="106" s="1"/>
  <c r="E57" i="184"/>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H365" i="29"/>
  <c r="B7242" i="106" s="1"/>
  <c r="D7242" i="106" s="1"/>
  <c r="D31" i="108"/>
  <c r="E16" i="184"/>
  <c r="H16" i="184" s="1"/>
  <c r="F42" i="34"/>
  <c r="C342" i="29"/>
  <c r="B7216" i="106" s="1"/>
  <c r="D7216" i="106" s="1"/>
  <c r="B7180" i="106"/>
  <c r="D7180" i="106" s="1"/>
  <c r="E63" i="184"/>
  <c r="N63" i="184" s="1"/>
  <c r="G33" i="108"/>
  <c r="E17" i="184"/>
  <c r="H17" i="184" s="1"/>
  <c r="H342" i="29"/>
  <c r="B7221" i="106" s="1"/>
  <c r="D722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621" i="106" l="1"/>
  <c r="D3621" i="106" s="1"/>
  <c r="B1225" i="106"/>
  <c r="D1225" i="106" s="1"/>
  <c r="B7235" i="106"/>
  <c r="D7235" i="106" s="1"/>
  <c r="B1381" i="106"/>
  <c r="D1381" i="106" s="1"/>
  <c r="N23" i="3"/>
  <c r="B284" i="106" s="1"/>
  <c r="D284" i="106" s="1"/>
  <c r="K77" i="4"/>
  <c r="B3587" i="106" s="1"/>
  <c r="D3587" i="106" s="1"/>
  <c r="I151" i="29"/>
  <c r="F59" i="34" s="1"/>
  <c r="B1328" i="106"/>
  <c r="D1328" i="106" s="1"/>
  <c r="F41" i="108"/>
  <c r="G43" i="108" s="1"/>
  <c r="B5527" i="106"/>
  <c r="D5527" i="106" s="1"/>
  <c r="J151" i="29"/>
  <c r="B7052" i="106" s="1"/>
  <c r="D7052" i="106" s="1"/>
  <c r="L114" i="29"/>
  <c r="K342" i="29"/>
  <c r="F13" i="34" s="1"/>
  <c r="K365" i="29"/>
  <c r="B7243" i="106" s="1"/>
  <c r="D7243" i="106" s="1"/>
  <c r="I7" i="4"/>
  <c r="B4444" i="106" s="1"/>
  <c r="D4444" i="106" s="1"/>
  <c r="B6216" i="106"/>
  <c r="D6216" i="106" s="1"/>
  <c r="G170" i="5"/>
  <c r="B5778" i="106" s="1"/>
  <c r="D5778" i="106" s="1"/>
  <c r="B7220" i="106"/>
  <c r="D7220" i="106" s="1"/>
  <c r="F75" i="34"/>
  <c r="B7886" i="106" s="1"/>
  <c r="D7886" i="106" s="1"/>
  <c r="B7222" i="106"/>
  <c r="D7222" i="106" s="1"/>
  <c r="F76" i="34"/>
  <c r="B7887" i="106" s="1"/>
  <c r="D7887" i="106" s="1"/>
  <c r="E367" i="29"/>
  <c r="B3636" i="106" s="1"/>
  <c r="D3636" i="106" s="1"/>
  <c r="B3635" i="106"/>
  <c r="D3635" i="106" s="1"/>
  <c r="L16" i="11"/>
  <c r="B2061" i="106" s="1"/>
  <c r="D2061" i="106" s="1"/>
  <c r="N57" i="184"/>
  <c r="N68" i="184" s="1"/>
  <c r="E68" i="184"/>
  <c r="E19" i="184"/>
  <c r="H19" i="184"/>
  <c r="L20" i="184" s="1"/>
  <c r="D44" i="36"/>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K16" i="4"/>
  <c r="K367" i="29"/>
  <c r="B3678" i="106" s="1"/>
  <c r="D3678" i="106" s="1"/>
  <c r="G6" i="4"/>
  <c r="B2604" i="106" s="1"/>
  <c r="D260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J20" i="4"/>
  <c r="K17" i="4"/>
  <c r="B3575" i="106" s="1"/>
  <c r="D3575" i="106" s="1"/>
  <c r="K368" i="29"/>
  <c r="B3681" i="106" s="1"/>
  <c r="D3681" i="106" s="1"/>
  <c r="F77" i="34"/>
  <c r="B7834" i="106" s="1"/>
  <c r="D7834" i="106" s="1"/>
  <c r="B6227" i="106"/>
  <c r="D6227"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19" i="4" l="1"/>
  <c r="B4144" i="106" s="1"/>
  <c r="D4144" i="106" s="1"/>
  <c r="K20" i="4"/>
  <c r="B3576" i="106" s="1"/>
  <c r="D3576"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K78" i="4" l="1"/>
  <c r="B3588" i="106" s="1"/>
  <c r="D3588" i="106" s="1"/>
  <c r="D78" i="4"/>
  <c r="D10" i="146"/>
  <c r="F78" i="34"/>
  <c r="B7822" i="106"/>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K81" i="4" l="1"/>
  <c r="K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D65" i="36" l="1"/>
  <c r="B3591" i="106"/>
  <c r="D3591"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<sst xmlns="http://schemas.openxmlformats.org/spreadsheetml/2006/main" count="5205" uniqueCount="2098">
  <si>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</si>
  <si>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</si>
  <si>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</si>
  <si>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</si>
  <si>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</si>
  <si>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</si>
  <si>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</si>
  <si>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</si>
  <si>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</si>
  <si>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</si>
  <si>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</si>
  <si>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</si>
  <si>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</si>
  <si>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</si>
  <si>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</si>
  <si>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</si>
  <si>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</si>
  <si>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</si>
  <si>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</si>
  <si>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</si>
  <si>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</si>
  <si>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</si>
  <si>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</si>
  <si>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</si>
  <si>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</si>
  <si>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</si>
  <si>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</si>
  <si>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</si>
  <si>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</si>
  <si>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</si>
  <si>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</si>
  <si>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</si>
  <si>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</si>
  <si>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</si>
  <si>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</si>
  <si>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</si>
  <si>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</si>
  <si>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</si>
  <si>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</si>
  <si>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</si>
  <si>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</si>
  <si>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</si>
  <si>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</si>
  <si>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</si>
  <si>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</si>
  <si>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</si>
  <si>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</si>
  <si>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</si>
  <si>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</si>
  <si>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</si>
  <si>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</si>
  <si>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</si>
  <si>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</si>
  <si>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</si>
  <si>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</si>
  <si>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</si>
  <si>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</si>
  <si>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</si>
  <si>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</si>
  <si>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</si>
  <si>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</si>
  <si>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</si>
  <si>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</si>
  <si>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</si>
  <si>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</si>
  <si>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</si>
  <si>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</si>
  <si>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</si>
  <si>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</si>
  <si>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</si>
  <si>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</si>
  <si>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</si>
  <si>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</si>
  <si>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</si>
  <si>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</si>
  <si>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</si>
  <si>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</si>
  <si>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</si>
  <si>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</si>
  <si>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</si>
  <si>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</si>
  <si>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</si>
  <si>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</si>
  <si>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</si>
  <si>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</si>
  <si>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</si>
  <si>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</si>
  <si>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</si>
  <si>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</si>
  <si>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</si>
  <si>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</si>
  <si>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</si>
  <si>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</si>
  <si>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</si>
  <si>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</si>
  <si>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</si>
  <si>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</si>
  <si>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</si>
  <si>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</si>
  <si>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</si>
  <si>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</si>
  <si>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</si>
  <si>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</si>
  <si>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</si>
  <si>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</si>
  <si>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</si>
  <si>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</si>
  <si>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</si>
  <si>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</si>
  <si>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</si>
  <si>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</si>
  <si>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</si>
  <si>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</si>
  <si>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</si>
  <si>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</si>
  <si>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</si>
  <si>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</si>
  <si>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</si>
  <si>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</si>
  <si>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</si>
  <si>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</si>
  <si>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</si>
  <si>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</si>
  <si>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</si>
  <si>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</si>
  <si>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</si>
  <si>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</si>
  <si>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</si>
  <si>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</si>
  <si>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</si>
  <si>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</si>
  <si>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</si>
  <si>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</si>
  <si>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</si>
  <si>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</si>
  <si>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</si>
  <si>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</si>
  <si>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</si>
  <si>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</si>
  <si>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</si>
  <si>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</si>
  <si>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</si>
  <si>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</si>
  <si>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</si>
  <si>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</si>
  <si>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</si>
  <si>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</si>
  <si>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</si>
  <si>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</si>
  <si>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</si>
  <si>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</si>
  <si>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</si>
  <si>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</si>
  <si>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</si>
  <si>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</si>
  <si>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</si>
  <si>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</si>
  <si>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</si>
  <si>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</si>
  <si>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</si>
  <si>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</si>
  <si>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</si>
  <si>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</si>
  <si>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</si>
  <si>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</si>
  <si>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</si>
  <si>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</si>
  <si>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</si>
  <si>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</si>
  <si>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</si>
  <si>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</si>
  <si>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</si>
  <si>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</si>
  <si>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</si>
  <si>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</si>
  <si>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</si>
  <si>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</si>
  <si>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</si>
  <si>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</si>
  <si>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</si>
  <si>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</si>
  <si>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</si>
  <si>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</si>
  <si>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</si>
  <si>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</si>
  <si>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</si>
  <si>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</si>
  <si>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</si>
  <si>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</si>
  <si>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</si>
  <si>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</si>
  <si>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</si>
  <si>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</si>
  <si>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</si>
  <si>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</si>
  <si>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</si>
  <si>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</si>
  <si>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</si>
  <si>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</si>
  <si>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</si>
  <si>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</si>
  <si>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</si>
  <si>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</si>
  <si>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</si>
  <si>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</si>
  <si>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</si>
  <si>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</si>
  <si>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</si>
  <si>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</si>
  <si>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</si>
  <si>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</si>
  <si>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</si>
  <si>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</si>
  <si>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</si>
  <si>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</si>
  <si>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</si>
  <si>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</si>
  <si>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</si>
  <si>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</si>
  <si>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</si>
  <si>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</si>
  <si>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</si>
  <si>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</si>
  <si>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</si>
  <si>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</si>
  <si>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</si>
  <si>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</si>
  <si>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</si>
  <si>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</si>
  <si>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</si>
  <si>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</si>
  <si>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</si>
  <si>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</si>
  <si>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</si>
  <si>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</si>
  <si>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</si>
  <si>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</si>
  <si>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</si>
  <si>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</si>
  <si>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</si>
  <si>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</si>
  <si>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</si>
  <si>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</si>
  <si>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</si>
  <si>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</si>
  <si>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</si>
  <si>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</si>
  <si>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</si>
  <si>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</si>
  <si>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</si>
  <si>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</si>
  <si>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</si>
  <si>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</si>
  <si>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</si>
  <si>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</si>
  <si>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</si>
  <si>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</si>
  <si>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</si>
  <si>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</si>
  <si>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</si>
  <si>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</si>
  <si>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</si>
  <si>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</si>
  <si>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</si>
  <si>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</si>
  <si>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</si>
  <si>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</si>
  <si>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</si>
  <si>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</si>
  <si>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</si>
  <si>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</si>
  <si>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</si>
  <si>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</si>
  <si>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</si>
  <si>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</si>
  <si>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</si>
  <si>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</si>
  <si>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</si>
  <si>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</si>
  <si>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</si>
  <si>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</si>
  <si>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</si>
  <si>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</si>
  <si>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</si>
  <si>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</si>
  <si>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</si>
  <si>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</si>
  <si>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</si>
  <si>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</si>
  <si>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</si>
  <si>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</si>
  <si>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</si>
  <si>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</si>
  <si>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</si>
  <si>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</si>
  <si>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</si>
  <si>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</si>
  <si>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</si>
  <si>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</si>
  <si>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</si>
  <si>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</si>
  <si>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</si>
  <si>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</si>
  <si>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</si>
  <si>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</si>
  <si>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</si>
  <si>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</si>
  <si>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</si>
  <si>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</si>
  <si>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</si>
  <si>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</si>
  <si>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</si>
  <si>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</si>
  <si>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</si>
  <si>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</si>
  <si>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</si>
  <si>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</si>
  <si>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</si>
  <si>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</si>
  <si>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</si>
  <si>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</si>
  <si>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</si>
  <si>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</si>
  <si>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</si>
  <si>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</si>
  <si>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</si>
  <si>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</si>
  <si>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</si>
  <si>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</si>
  <si>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</si>
  <si>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</si>
  <si>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</si>
  <si>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</si>
  <si>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</si>
  <si>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</si>
  <si>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</si>
  <si>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</si>
  <si>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</si>
  <si>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</si>
  <si>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</si>
  <si>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</si>
  <si>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</si>
  <si>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</si>
  <si>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</si>
  <si>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</si>
  <si>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</si>
  <si>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</si>
  <si>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</si>
  <si>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</si>
  <si>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</si>
  <si>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</si>
  <si>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</si>
  <si>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</si>
  <si>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</si>
  <si>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</si>
  <si>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</si>
  <si>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</si>
  <si>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</si>
  <si>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</si>
  <si>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</si>
  <si>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</si>
  <si>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</si>
  <si>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</si>
  <si>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</si>
  <si>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</si>
  <si>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</si>
  <si>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</si>
  <si>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</si>
  <si>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</si>
  <si>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</si>
  <si>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</si>
  <si>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</si>
  <si>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</si>
  <si>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</si>
  <si>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</si>
  <si>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</si>
  <si>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</si>
  <si>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</si>
  <si>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</si>
  <si>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</si>
  <si>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</si>
  <si>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</si>
  <si>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</si>
  <si>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</si>
  <si>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</si>
  <si>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</si>
  <si>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</si>
  <si>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</si>
  <si>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</si>
  <si>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</si>
  <si>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</si>
  <si>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</si>
  <si>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</si>
  <si>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</si>
  <si>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</si>
  <si>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</si>
  <si>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</si>
  <si>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</si>
  <si>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</si>
  <si>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</si>
  <si>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</si>
  <si>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</si>
  <si>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</si>
  <si>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</si>
  <si>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</si>
  <si>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</si>
  <si>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</si>
  <si>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</si>
  <si>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</si>
  <si>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</si>
  <si>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</si>
  <si>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</si>
  <si>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</si>
  <si>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</si>
  <si>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</si>
  <si>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</si>
  <si>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</si>
  <si>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</si>
  <si>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</si>
  <si>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</si>
  <si>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</si>
  <si>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</si>
  <si>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</si>
  <si>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</si>
  <si>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</si>
  <si>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</si>
  <si>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</si>
  <si>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</si>
  <si>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</si>
  <si>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</si>
  <si>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</si>
  <si>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</si>
  <si>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</si>
  <si>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</si>
  <si>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</si>
  <si>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</si>
  <si>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</si>
  <si>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</si>
  <si>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</si>
  <si>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</si>
  <si>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</si>
  <si>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</si>
  <si>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</si>
  <si>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</si>
  <si>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</si>
  <si>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</si>
  <si>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</si>
  <si>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</si>
  <si>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</si>
  <si>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</si>
  <si>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</si>
  <si>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</si>
  <si>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</si>
  <si>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</si>
  <si>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</si>
  <si>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</si>
  <si>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</si>
  <si>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</si>
  <si>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</si>
  <si>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</si>
  <si>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</si>
  <si>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</si>
  <si>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</si>
  <si>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</si>
  <si>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</si>
  <si>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</si>
  <si>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</si>
  <si>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</si>
  <si>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</si>
  <si>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</si>
  <si>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</si>
  <si>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</si>
  <si>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</si>
  <si>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</si>
  <si>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</si>
  <si>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</si>
  <si>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</si>
  <si>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</si>
  <si>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</si>
  <si>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</si>
  <si>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</si>
  <si>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</si>
  <si>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</si>
  <si>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</si>
  <si>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</si>
  <si>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</si>
  <si>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</si>
  <si>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</si>
  <si>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</si>
  <si>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</si>
  <si>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</si>
  <si>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</si>
  <si>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</si>
  <si>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</si>
  <si>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</si>
  <si>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</si>
  <si>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</si>
  <si>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</si>
  <si>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</si>
  <si>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</si>
  <si>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</si>
  <si>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</si>
  <si>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</si>
  <si>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</si>
  <si>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</si>
  <si>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</si>
  <si>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</si>
  <si>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</si>
  <si>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</si>
  <si>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</si>
  <si>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</si>
  <si>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</si>
  <si>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</si>
  <si>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</si>
  <si>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</si>
  <si>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</si>
  <si>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</si>
  <si>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</si>
  <si>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</si>
  <si>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</si>
  <si>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</si>
  <si>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</si>
  <si>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</si>
  <si>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</si>
  <si>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</si>
  <si>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</si>
  <si>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</si>
  <si>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</si>
  <si>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</si>
  <si>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</si>
  <si>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</si>
  <si>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</si>
  <si>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</si>
  <si>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</si>
  <si>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</si>
  <si>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</si>
  <si>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</si>
  <si>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</si>
  <si>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</si>
  <si>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</si>
  <si>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</si>
  <si>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</si>
  <si>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</si>
  <si>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</si>
  <si>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</si>
  <si>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</si>
  <si>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</si>
  <si>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</si>
  <si>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</si>
  <si>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</si>
  <si>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</si>
  <si>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</si>
  <si>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</si>
  <si>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</si>
  <si>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</si>
  <si>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</si>
  <si>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</si>
  <si>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</si>
  <si>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</si>
  <si>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</si>
  <si>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</si>
  <si>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</si>
  <si>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</si>
  <si>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</si>
  <si>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</si>
  <si>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</si>
  <si>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</si>
  <si>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</si>
  <si>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</si>
  <si>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</si>
  <si>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</si>
  <si>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</si>
  <si>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</si>
  <si>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</si>
  <si>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</si>
  <si>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</si>
  <si>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</si>
  <si>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</si>
  <si>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</si>
  <si>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</si>
  <si>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</si>
  <si>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</si>
  <si>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</si>
  <si>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</si>
  <si>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</si>
  <si>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</si>
  <si>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</si>
  <si>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</si>
  <si>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</si>
  <si>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</si>
  <si>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</si>
  <si>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</si>
  <si>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</si>
  <si>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</si>
  <si>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</si>
  <si>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</si>
  <si>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</si>
  <si>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</si>
  <si>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</si>
  <si>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</si>
  <si>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</si>
  <si>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</si>
  <si>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</si>
  <si>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</si>
  <si>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</si>
  <si>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</si>
  <si>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</si>
  <si>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</si>
  <si>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</si>
  <si>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</si>
  <si>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</si>
  <si>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</si>
  <si>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</si>
  <si>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</si>
  <si>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</si>
  <si>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</si>
  <si>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</si>
  <si>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</si>
  <si>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</si>
  <si>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</si>
  <si>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</si>
  <si>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</si>
  <si>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</si>
  <si>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</si>
  <si>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</si>
  <si>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</si>
  <si>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</si>
  <si>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</si>
  <si>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</si>
  <si>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</si>
  <si>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</si>
  <si>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</si>
  <si>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</si>
  <si>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</si>
  <si>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</si>
  <si>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</si>
  <si>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</si>
  <si>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</si>
  <si>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</si>
  <si>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</si>
  <si>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</si>
  <si>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</si>
  <si>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</si>
  <si>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</si>
  <si>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</si>
  <si>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</si>
  <si>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</si>
  <si>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</si>
  <si>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</si>
  <si>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</si>
  <si>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</si>
  <si>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</si>
  <si>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</si>
  <si>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</si>
  <si>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</si>
  <si>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</si>
  <si>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</si>
  <si>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</si>
  <si>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</si>
  <si>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</si>
  <si>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</si>
  <si>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</si>
  <si>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</si>
  <si>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</si>
  <si>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</si>
  <si>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</si>
  <si>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</si>
  <si>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</si>
  <si>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</si>
  <si>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</si>
  <si>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</si>
  <si>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</si>
  <si>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</si>
  <si>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</si>
  <si>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</si>
  <si>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</si>
  <si>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</si>
  <si>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</si>
  <si>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</si>
  <si>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</si>
  <si>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</si>
  <si>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</si>
  <si>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</si>
  <si>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</si>
  <si>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</si>
  <si>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</si>
  <si>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</si>
  <si>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</si>
  <si>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</si>
  <si>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</si>
  <si>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</si>
  <si>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</si>
  <si>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</si>
  <si>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</si>
  <si>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</si>
  <si>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</si>
  <si>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</si>
  <si>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</si>
  <si>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</si>
  <si>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</si>
  <si>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</si>
  <si>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</si>
  <si>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</si>
  <si>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</si>
  <si>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</si>
  <si>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</si>
  <si>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</si>
  <si>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</si>
  <si>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</si>
  <si>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</si>
  <si>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</si>
  <si>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</si>
  <si>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</si>
  <si>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</si>
  <si>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</si>
  <si>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</si>
  <si>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</si>
  <si>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</si>
  <si>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</si>
  <si>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</si>
  <si>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</si>
  <si>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</si>
  <si>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</si>
  <si>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</si>
  <si>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</si>
  <si>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</si>
  <si>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</si>
  <si>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</si>
  <si>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</si>
  <si>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</si>
  <si>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</si>
  <si>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</si>
  <si>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</si>
  <si>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</si>
  <si>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</si>
  <si>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</si>
  <si>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</si>
  <si>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</si>
  <si>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</si>
  <si>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</si>
  <si>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</si>
  <si>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</si>
  <si>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</si>
  <si>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</si>
  <si>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</si>
  <si>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</si>
  <si>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</si>
  <si>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</si>
  <si>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</si>
  <si>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</si>
  <si>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</si>
  <si>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</si>
  <si>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</si>
  <si>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</si>
  <si>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</si>
  <si>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</si>
  <si>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</si>
  <si>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</si>
  <si>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</si>
  <si>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</si>
  <si>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</si>
  <si>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</si>
  <si>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</si>
  <si>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</si>
  <si>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</si>
  <si>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</si>
  <si>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</si>
  <si>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</si>
  <si>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</si>
  <si>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</si>
  <si>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</si>
  <si>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</si>
  <si>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</si>
  <si>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</si>
  <si>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</si>
  <si>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</si>
  <si>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</si>
  <si>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</si>
  <si>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</si>
  <si>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</si>
  <si>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</si>
  <si>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</si>
  <si>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</si>
  <si>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</si>
  <si>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</si>
  <si>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</si>
  <si>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</si>
  <si>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</si>
  <si>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</si>
  <si>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</si>
  <si>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</si>
  <si>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</si>
  <si>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</si>
  <si>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</si>
  <si>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</si>
  <si>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</si>
  <si>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</si>
  <si>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</si>
  <si>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</si>
  <si>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</si>
  <si>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</si>
  <si>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</si>
  <si>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</si>
  <si>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</si>
  <si>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</si>
  <si>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</si>
  <si>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</si>
  <si>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</si>
  <si>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</si>
  <si>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</si>
  <si>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</si>
  <si>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</si>
  <si>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</si>
  <si>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</si>
  <si>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</si>
  <si>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</si>
  <si>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</si>
  <si>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</si>
  <si>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</si>
  <si>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</si>
  <si>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</si>
  <si>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</si>
  <si>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</si>
  <si>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</si>
  <si>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</si>
  <si>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</si>
  <si>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</si>
  <si>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</si>
  <si>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</si>
  <si>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</si>
  <si>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</si>
  <si>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</si>
  <si>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</si>
  <si>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</si>
  <si>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</si>
  <si>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</si>
  <si>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</si>
  <si>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</si>
  <si>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</si>
  <si>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</si>
  <si>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</si>
  <si>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</si>
  <si>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</si>
  <si>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</si>
  <si>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</si>
  <si>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</si>
  <si>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</si>
  <si>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</si>
  <si>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</si>
  <si>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</si>
  <si>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</si>
  <si>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</si>
  <si>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</si>
  <si>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</si>
  <si>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</si>
  <si>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</si>
  <si>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</si>
  <si>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</si>
  <si>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</si>
  <si>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</si>
  <si>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</si>
  <si>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</si>
  <si>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</si>
  <si>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</si>
  <si>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</si>
  <si>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</si>
  <si>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</si>
  <si>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</si>
  <si>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</si>
  <si>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</si>
  <si>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</si>
  <si>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</si>
  <si>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</si>
  <si>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</si>
  <si>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</si>
  <si>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</si>
  <si>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</si>
  <si>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</si>
  <si>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</si>
  <si>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</si>
  <si>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</si>
  <si>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</si>
  <si>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</si>
  <si>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</si>
  <si>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</si>
  <si>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</si>
  <si>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</si>
  <si>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</si>
  <si>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</si>
  <si>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</si>
  <si>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</si>
  <si>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</si>
  <si>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</si>
  <si>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</si>
  <si>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</si>
  <si>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</si>
  <si>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</si>
  <si>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</si>
  <si>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</si>
  <si>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</si>
  <si>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</si>
  <si>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</si>
  <si>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</si>
  <si>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</si>
  <si>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</si>
  <si>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</si>
  <si>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</si>
  <si>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</si>
  <si>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</si>
  <si>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</si>
  <si>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</si>
  <si>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</si>
  <si>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</si>
  <si>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</si>
  <si>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</si>
  <si>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</si>
  <si>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</si>
  <si>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</si>
  <si>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</si>
  <si>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</si>
  <si>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</si>
  <si>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</si>
  <si>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</si>
  <si>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</si>
  <si>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</si>
  <si>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</si>
  <si>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</si>
  <si>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</si>
  <si>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</si>
  <si>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</si>
  <si>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</si>
  <si>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</si>
  <si>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</si>
  <si>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</si>
  <si>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</si>
  <si>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</si>
  <si>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</si>
  <si>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</si>
  <si>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</si>
  <si>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</si>
  <si>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</si>
  <si>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</si>
  <si>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</si>
  <si>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</si>
  <si>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</si>
  <si>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</si>
  <si>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</si>
  <si>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</si>
  <si>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</si>
  <si>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</si>
  <si>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</si>
  <si>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</si>
  <si>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</si>
  <si>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</si>
  <si>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</si>
  <si>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</si>
  <si>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</si>
  <si>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</si>
  <si>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</si>
  <si>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</si>
  <si>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</si>
  <si>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</si>
  <si>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</si>
  <si>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</si>
  <si>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</si>
  <si>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</si>
  <si>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</si>
  <si>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</si>
  <si>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</si>
  <si>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</si>
  <si>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</si>
  <si>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</si>
  <si>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</si>
  <si>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</si>
  <si>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</si>
  <si>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</si>
  <si>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</si>
  <si>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</si>
  <si>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</si>
  <si>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</si>
  <si>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</si>
  <si>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</si>
  <si>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</si>
  <si>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</si>
  <si>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</si>
  <si>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</si>
  <si>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</si>
  <si>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</si>
  <si>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</si>
  <si>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</si>
  <si>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</si>
  <si>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</si>
  <si>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</si>
  <si>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</si>
  <si>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</si>
  <si>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</si>
  <si>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</si>
  <si>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</si>
  <si>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</si>
  <si>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</si>
  <si>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</si>
  <si>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</si>
  <si>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</si>
  <si>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</si>
  <si>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</si>
  <si>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</si>
  <si>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</si>
  <si>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</si>
  <si>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</si>
  <si>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</si>
  <si>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</si>
  <si>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</si>
  <si>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</si>
  <si>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</si>
  <si>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</si>
  <si>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</si>
  <si>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</si>
  <si>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</si>
  <si>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</si>
  <si>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</si>
  <si>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</si>
  <si>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</si>
  <si>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</si>
  <si>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</si>
  <si>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</si>
  <si>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</si>
  <si>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</si>
  <si>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</si>
  <si>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</si>
  <si>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</si>
  <si>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</si>
  <si>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</si>
  <si>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</si>
  <si>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</si>
  <si>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</si>
  <si>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</si>
  <si>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</si>
  <si>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</si>
  <si>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</si>
  <si>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</si>
  <si>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</si>
  <si>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</si>
  <si>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</si>
  <si>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</si>
  <si>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</si>
  <si>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</si>
  <si>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</si>
  <si>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</si>
  <si>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</si>
  <si>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</si>
  <si>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</si>
  <si>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</si>
  <si>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</si>
  <si>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</si>
  <si>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</si>
  <si>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</si>
  <si>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</si>
  <si>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</si>
  <si>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</si>
  <si>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</si>
  <si>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</si>
  <si>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</si>
  <si>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</si>
  <si>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</si>
  <si>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</si>
  <si>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</si>
  <si>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</si>
  <si>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</si>
  <si>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</si>
  <si>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</si>
  <si>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</si>
  <si>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</si>
  <si>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</si>
  <si>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</si>
  <si>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</si>
  <si>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</si>
  <si>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</si>
  <si>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</si>
  <si>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</si>
  <si>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</si>
  <si>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</si>
  <si>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</si>
  <si>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</si>
  <si>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</si>
  <si>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</si>
  <si>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</si>
  <si>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</si>
  <si>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</si>
  <si>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</si>
  <si>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</si>
  <si>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</si>
  <si>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</si>
  <si>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</si>
  <si>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</si>
  <si>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</si>
  <si>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</si>
  <si>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</si>
  <si>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</si>
  <si>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</si>
  <si>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</si>
  <si>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</si>
  <si>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</si>
  <si>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</si>
  <si>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</si>
  <si>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</si>
  <si>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</si>
  <si>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</si>
  <si>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</si>
  <si>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</si>
  <si>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</si>
  <si>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</si>
  <si>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</si>
  <si>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</si>
  <si>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</si>
  <si>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</si>
  <si>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</si>
  <si>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</si>
  <si>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</si>
  <si>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</si>
  <si>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</si>
  <si>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</si>
  <si>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</si>
  <si>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</si>
  <si>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</si>
  <si>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</si>
  <si>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</si>
  <si>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</si>
  <si>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</si>
  <si>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</si>
  <si>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</si>
  <si>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</si>
  <si>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</si>
  <si>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</si>
  <si>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</si>
  <si>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</si>
  <si>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</si>
  <si>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</si>
  <si>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</si>
  <si>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</si>
  <si>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</si>
  <si>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</si>
  <si>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</si>
  <si>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</si>
  <si>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</si>
  <si>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</si>
  <si>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</si>
  <si>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</si>
  <si>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</si>
  <si>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</si>
  <si>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</si>
  <si>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</si>
  <si>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</si>
  <si>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</si>
  <si>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</si>
  <si>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</si>
  <si>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</si>
  <si>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</si>
  <si>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</si>
  <si>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</si>
  <si>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</si>
  <si>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</si>
  <si>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</si>
  <si>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</si>
  <si>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</si>
  <si>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</si>
  <si>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</si>
  <si>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</si>
  <si>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</si>
  <si>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</si>
  <si>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</si>
  <si>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</si>
  <si>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</si>
  <si>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</si>
  <si>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</si>
  <si>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</si>
  <si>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</si>
  <si>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</si>
  <si>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</si>
  <si>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</si>
  <si>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</si>
  <si>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</si>
  <si>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</si>
  <si>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</si>
  <si>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</si>
  <si>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</si>
  <si>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</si>
  <si>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</si>
  <si>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</si>
  <si>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</si>
  <si>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</si>
  <si>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</si>
  <si>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</si>
  <si>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</si>
  <si>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</si>
  <si>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</si>
  <si>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</si>
  <si>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</si>
  <si>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</si>
  <si>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</si>
  <si>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</si>
  <si>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</si>
  <si>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</si>
  <si>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</si>
  <si>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</si>
  <si>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</si>
  <si>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</si>
  <si>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</si>
  <si>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</si>
  <si>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</si>
  <si>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</si>
  <si>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</si>
  <si>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</si>
  <si>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</si>
  <si>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</si>
  <si>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</si>
  <si>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</si>
  <si>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</si>
  <si>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</si>
  <si>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</si>
  <si>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</si>
  <si>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</si>
  <si>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</si>
  <si>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</si>
  <si>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</si>
  <si>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</si>
  <si>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</si>
  <si>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</si>
  <si>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</si>
  <si>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</si>
  <si>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</si>
  <si>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</si>
  <si>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</si>
  <si>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</si>
  <si>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</si>
  <si>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</si>
  <si>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</si>
  <si>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</si>
  <si>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</si>
  <si>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</si>
  <si>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</si>
  <si>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</si>
  <si>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</si>
  <si>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</si>
  <si>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</si>
  <si>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</si>
  <si>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</si>
  <si>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</si>
  <si>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</si>
  <si>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</si>
  <si>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</si>
  <si>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</si>
  <si>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</si>
  <si>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</si>
  <si>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</si>
  <si>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</si>
  <si>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</si>
  <si>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</si>
  <si>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</si>
  <si>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</si>
  <si>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</si>
  <si>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</si>
  <si>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</si>
  <si>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</si>
  <si>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</si>
  <si>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</si>
  <si>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</si>
  <si>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</si>
  <si>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</si>
  <si>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</si>
  <si>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</si>
  <si>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</si>
  <si>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</si>
  <si>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</si>
  <si>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</si>
  <si>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</si>
  <si>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</si>
  <si>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</si>
  <si>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</si>
  <si>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</si>
  <si>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</si>
  <si>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</si>
  <si>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</si>
  <si>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</si>
  <si>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</si>
  <si>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</si>
  <si>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</si>
  <si>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</si>
  <si>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</si>
  <si>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</si>
  <si>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</si>
  <si>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</si>
  <si>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</si>
  <si>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</si>
  <si>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</si>
  <si>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</si>
  <si>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</si>
  <si>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</si>
  <si>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</si>
  <si>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</si>
  <si>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</si>
  <si>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</si>
  <si>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</si>
  <si>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</si>
  <si>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</si>
  <si>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</si>
  <si>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</si>
  <si>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</si>
  <si>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</si>
  <si>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</si>
  <si>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</si>
  <si>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</si>
  <si>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</si>
  <si>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</si>
  <si>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</si>
  <si>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</si>
  <si>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</si>
  <si>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</si>
  <si>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</si>
  <si>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</si>
  <si>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</si>
  <si>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</si>
  <si>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</si>
  <si>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</si>
  <si>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</si>
  <si>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</si>
  <si>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</si>
  <si>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</si>
  <si>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</si>
  <si>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</si>
  <si>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</si>
  <si>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</si>
  <si>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</si>
  <si>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</si>
  <si>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</si>
  <si>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</si>
  <si>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</si>
  <si>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</si>
  <si>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</si>
  <si>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</si>
  <si>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</si>
  <si>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</si>
  <si>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</si>
  <si>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</si>
  <si>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</si>
  <si>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</si>
  <si>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</si>
  <si>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</si>
  <si>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</si>
  <si>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</si>
  <si>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</si>
  <si>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</si>
  <si>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</si>
  <si>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</si>
  <si>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</si>
  <si>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</si>
  <si>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</si>
  <si>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</si>
  <si>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</si>
  <si>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</si>
  <si>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</si>
  <si>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</si>
  <si>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</si>
  <si>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</si>
  <si>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</si>
  <si>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</si>
  <si>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</si>
  <si>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</si>
  <si>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</si>
  <si>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</si>
  <si>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</si>
  <si>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</si>
  <si>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</si>
  <si>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</si>
  <si>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</si>
  <si>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</si>
  <si>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</si>
  <si>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</si>
  <si>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</si>
  <si>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</si>
  <si>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</si>
  <si>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</si>
  <si>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</si>
  <si>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</si>
  <si>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</si>
  <si>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</si>
  <si>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</si>
  <si>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</si>
  <si>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</si>
  <si>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</si>
  <si>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</si>
  <si>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</si>
  <si>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</si>
  <si>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</si>
  <si>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</si>
  <si>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</si>
  <si>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</si>
  <si>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</si>
  <si>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</si>
  <si>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</si>
  <si>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</si>
  <si>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</si>
  <si>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</si>
  <si>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</si>
  <si>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</si>
  <si>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</si>
  <si>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</si>
  <si>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</si>
  <si>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</si>
  <si>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</si>
  <si>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</si>
  <si>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</si>
  <si>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</si>
  <si>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</si>
  <si>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</si>
  <si>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</si>
  <si>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</si>
  <si>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</si>
  <si>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</si>
  <si>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</si>
  <si>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</si>
  <si>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</si>
  <si>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</si>
  <si>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</si>
  <si>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</si>
  <si>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</si>
  <si>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</si>
  <si>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</si>
  <si>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</si>
  <si>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</si>
  <si>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</si>
  <si>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</si>
  <si>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</si>
  <si>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</si>
  <si>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</si>
  <si>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</si>
  <si>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</si>
  <si>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</si>
  <si>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</si>
  <si>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</si>
  <si>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</si>
  <si>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</si>
  <si>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</si>
  <si>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</si>
  <si>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</si>
  <si>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</si>
  <si>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</si>
  <si>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</si>
  <si>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</si>
  <si>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</si>
  <si>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</si>
  <si>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</si>
  <si>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</si>
  <si>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</si>
  <si>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</si>
  <si>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</si>
  <si>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</si>
  <si>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</si>
  <si>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</si>
  <si>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</si>
  <si>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</si>
  <si>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</si>
  <si>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</si>
  <si>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</si>
  <si>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</si>
  <si>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</si>
  <si>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</si>
  <si>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</si>
  <si>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</si>
  <si>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</si>
  <si>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</si>
  <si>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</si>
  <si>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</si>
  <si>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</si>
  <si>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</si>
  <si>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</si>
  <si>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</si>
  <si>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</si>
  <si>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</si>
  <si>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</si>
  <si>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</si>
  <si>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</si>
  <si>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</si>
  <si>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</si>
  <si>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</si>
  <si>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</si>
  <si>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</si>
  <si>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</si>
  <si>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</si>
  <si>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</si>
  <si>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</si>
  <si>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</si>
  <si>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</si>
  <si>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</si>
  <si>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</si>
  <si>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</si>
  <si>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</si>
  <si>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</si>
  <si>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</si>
  <si>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</si>
  <si>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</si>
  <si>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</si>
  <si>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</si>
  <si>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</si>
  <si>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</si>
  <si>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</si>
  <si>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</si>
  <si>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</si>
  <si>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</si>
  <si>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</si>
  <si>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</si>
  <si>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</si>
  <si>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</si>
  <si>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</si>
  <si>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</si>
  <si>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</si>
  <si>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</si>
  <si>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</si>
  <si>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</si>
  <si>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</si>
  <si>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</si>
  <si>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</si>
  <si>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</si>
  <si>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</si>
  <si>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</si>
  <si>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</si>
  <si>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</si>
  <si>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</si>
  <si>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</si>
  <si>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</si>
  <si>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</si>
  <si>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</si>
  <si>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</si>
  <si>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</si>
  <si>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</si>
  <si>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</si>
  <si>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</si>
  <si>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</si>
  <si>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</si>
  <si>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</si>
  <si>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</si>
  <si>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</si>
  <si>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</si>
  <si>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</si>
  <si>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</si>
  <si>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</si>
  <si>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</si>
  <si>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</si>
  <si>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</si>
  <si>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</si>
  <si>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</si>
  <si>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</si>
  <si>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</si>
  <si>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</si>
  <si>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</si>
  <si>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</si>
  <si>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</si>
  <si>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</si>
  <si>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</si>
  <si>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</si>
  <si>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</si>
  <si>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</si>
  <si>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</si>
  <si>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</si>
  <si>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</si>
  <si>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</si>
  <si>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</si>
  <si>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</si>
  <si>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</si>
  <si>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</si>
  <si>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</si>
  <si>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</si>
  <si>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</si>
  <si>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</si>
  <si>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</si>
  <si>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</si>
  <si>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</si>
  <si>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</si>
  <si>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</si>
  <si>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</si>
  <si>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</si>
  <si>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</si>
  <si>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</si>
  <si>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</si>
  <si>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</si>
  <si>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</si>
  <si>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</si>
  <si>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</si>
  <si>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</si>
  <si>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</si>
  <si>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</si>
  <si>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</si>
  <si>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</si>
  <si>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</si>
  <si>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</si>
  <si>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</si>
  <si>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</si>
  <si>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</si>
  <si>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</si>
  <si>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</si>
  <si>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</si>
  <si>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</si>
  <si>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</si>
  <si>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</si>
  <si>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</si>
  <si>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</si>
  <si>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</si>
  <si>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</si>
  <si>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</si>
  <si>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</si>
  <si>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</si>
  <si>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</si>
  <si>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</si>
  <si>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</si>
  <si>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</si>
  <si>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</si>
  <si>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</si>
  <si>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</si>
  <si>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</si>
  <si>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</si>
  <si>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</si>
  <si>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</si>
  <si>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</si>
  <si>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</si>
  <si>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</si>
  <si>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</si>
  <si>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</si>
  <si>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</si>
  <si>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</si>
  <si>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</si>
  <si>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</si>
  <si>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</si>
  <si>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</si>
  <si>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</si>
  <si>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</si>
  <si>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</si>
  <si>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</si>
  <si>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</si>
  <si>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</si>
  <si>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</si>
  <si>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</si>
  <si>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</si>
  <si>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</si>
  <si>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</si>
  <si>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</si>
  <si>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</si>
  <si>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</si>
  <si>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</si>
  <si>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</si>
  <si>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</si>
  <si>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</si>
  <si>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</si>
  <si>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</si>
  <si>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</si>
  <si>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</si>
  <si>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</si>
  <si>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</si>
  <si>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</si>
  <si>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</si>
  <si>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</si>
  <si>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</si>
  <si>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</si>
  <si>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</si>
  <si>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</si>
  <si>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</si>
  <si>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</si>
  <si>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</si>
  <si>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</si>
  <si>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</si>
  <si>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</si>
  <si>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</si>
  <si>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</si>
  <si>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</si>
  <si>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</si>
  <si>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</si>
  <si>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</si>
  <si>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</si>
  <si>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</si>
  <si>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</si>
  <si>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</si>
  <si>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</si>
  <si>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</si>
  <si>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</si>
  <si>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</si>
  <si>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</si>
  <si>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</si>
  <si>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</si>
  <si>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</si>
  <si>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</si>
  <si>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</si>
  <si>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</si>
  <si>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</si>
  <si>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</si>
  <si>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</si>
  <si>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</si>
  <si>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</si>
  <si>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</si>
  <si>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</si>
  <si>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</si>
  <si>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</si>
  <si>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</si>
  <si>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</si>
  <si>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</si>
  <si>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</si>
  <si>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</si>
  <si>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</si>
  <si>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</si>
  <si>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</si>
  <si>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</si>
  <si>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</si>
  <si>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</si>
  <si>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</si>
  <si>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</si>
  <si>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</si>
  <si>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</si>
  <si>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</si>
  <si>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</si>
  <si>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</si>
  <si>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</si>
  <si>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</si>
  <si>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</si>
  <si>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</si>
  <si>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</si>
  <si>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</si>
  <si>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</si>
  <si>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</si>
  <si>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</si>
  <si>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</si>
  <si>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</si>
  <si>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</si>
  <si>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</si>
  <si>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</si>
  <si>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</si>
  <si>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</si>
  <si>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</si>
  <si>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</si>
  <si>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</si>
  <si>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</si>
  <si>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</si>
  <si>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</si>
  <si>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</si>
  <si>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</si>
  <si>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</si>
  <si>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</si>
  <si>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</si>
  <si>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</si>
  <si>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</si>
  <si>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</si>
  <si>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</si>
  <si>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</si>
  <si>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</si>
  <si>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</si>
  <si>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</si>
  <si>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</si>
  <si>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</si>
  <si>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</si>
  <si>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</si>
  <si>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</si>
  <si>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</si>
  <si>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</si>
  <si>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</si>
  <si>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</si>
  <si>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</si>
  <si>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</si>
  <si>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</si>
  <si>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</si>
  <si>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</si>
  <si>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</si>
  <si>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</si>
  <si>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</si>
  <si>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</si>
  <si>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</si>
  <si>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</si>
  <si>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</si>
  <si>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</si>
  <si>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</si>
  <si>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</si>
  <si>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</si>
  <si>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</si>
  <si>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</si>
  <si>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</si>
  <si>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</si>
  <si>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</si>
  <si>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</si>
  <si>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</si>
  <si>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</si>
  <si>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</si>
  <si>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</si>
  <si>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</si>
  <si>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</si>
  <si>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</si>
  <si>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</si>
  <si>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</si>
  <si>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</si>
  <si>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</si>
  <si>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</si>
  <si>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</si>
  <si>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</si>
  <si>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</si>
  <si>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</si>
  <si>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</si>
  <si>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</si>
  <si>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</si>
  <si>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</si>
  <si>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</si>
  <si>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</si>
  <si>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</si>
  <si>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</si>
  <si>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</si>
  <si>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</si>
  <si>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</si>
  <si>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</si>
  <si>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</si>
  <si>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</si>
  <si>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</si>
  <si>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</si>
  <si>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</si>
  <si>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</si>
  <si>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</si>
  <si>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</si>
  <si>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</si>
  <si>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</si>
  <si>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</si>
  <si>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</si>
  <si>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</si>
  <si>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</si>
  <si>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</si>
  <si>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</si>
  <si>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</si>
  <si>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</si>
  <si>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</si>
  <si>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</si>
  <si>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</si>
  <si>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</si>
  <si>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</si>
  <si>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</si>
  <si>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</si>
  <si>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</si>
  <si>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</si>
  <si>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</si>
  <si>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</si>
  <si>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</si>
  <si>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</si>
  <si>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</si>
  <si>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</si>
  <si>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</si>
  <si>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</si>
  <si>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</si>
  <si>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</si>
  <si>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</si>
  <si>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</si>
  <si>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</si>
  <si>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</si>
  <si>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</si>
  <si>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</si>
  <si>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</si>
  <si>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</si>
  <si>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</si>
  <si>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</si>
  <si>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</si>
  <si>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</si>
  <si>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</si>
  <si>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</si>
  <si>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</si>
  <si>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</si>
  <si>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</si>
  <si>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</si>
  <si>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</si>
  <si>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</si>
  <si>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</si>
  <si>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</si>
  <si>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</si>
  <si>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</si>
  <si>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</si>
  <si>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</si>
  <si>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</si>
  <si>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</si>
  <si>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</si>
  <si>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</si>
  <si>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</si>
  <si>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</si>
  <si>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</si>
  <si>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</si>
  <si>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</si>
  <si>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</si>
  <si>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</si>
  <si>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</si>
  <si>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</si>
  <si>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</si>
  <si>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</si>
  <si>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</si>
  <si>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</si>
  <si>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</si>
  <si>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</si>
  <si>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</si>
  <si>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</si>
  <si>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</si>
  <si>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</si>
  <si>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</si>
  <si>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</si>
  <si>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</si>
  <si>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</si>
  <si>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</si>
  <si>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</si>
  <si>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</si>
  <si>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</si>
  <si>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</si>
  <si>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</si>
  <si>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</si>
  <si>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</si>
  <si>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</si>
  <si>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</si>
  <si>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</si>
  <si>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</si>
  <si>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</si>
  <si>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</si>
  <si>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</si>
  <si>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</si>
  <si>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</si>
  <si>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</si>
  <si>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</si>
  <si>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</si>
  <si>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</si>
  <si>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</si>
  <si>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</si>
  <si>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</si>
  <si>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</si>
  <si>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</si>
  <si>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</si>
  <si>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</si>
  <si>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</si>
  <si>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</si>
  <si>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</si>
  <si>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</si>
  <si>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</si>
  <si>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</si>
  <si>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</si>
  <si>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</si>
  <si>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</si>
  <si>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</si>
  <si>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</si>
  <si>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</si>
  <si>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</si>
  <si>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</si>
  <si>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</si>
  <si>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</si>
  <si>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</si>
  <si>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</si>
  <si>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</si>
  <si>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</si>
  <si>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</si>
  <si>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</si>
  <si>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</si>
  <si>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</si>
  <si>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</si>
  <si>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</si>
  <si>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</si>
  <si>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</si>
  <si>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</si>
  <si>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</si>
  <si>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</si>
  <si>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</si>
  <si>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</si>
  <si>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</si>
  <si>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</si>
  <si>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</si>
  <si>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</si>
  <si>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</si>
  <si>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</si>
  <si>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</si>
  <si>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</si>
  <si>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</si>
  <si>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</si>
  <si>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</si>
  <si>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</si>
  <si>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</si>
  <si>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</si>
  <si>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</si>
  <si>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</si>
  <si>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</si>
  <si>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</si>
  <si>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</si>
  <si>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</si>
  <si>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</si>
  <si>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</si>
  <si>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</si>
  <si>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</si>
  <si>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</si>
  <si>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</si>
  <si>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</si>
  <si>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</si>
  <si>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</si>
  <si>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</si>
  <si>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</si>
  <si>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</si>
  <si>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</si>
  <si>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</si>
  <si>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</si>
  <si>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</si>
  <si>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</si>
  <si>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</si>
  <si>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</si>
  <si>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</si>
  <si>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</si>
  <si>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</si>
  <si>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</si>
  <si>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</si>
  <si>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</si>
  <si>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</si>
  <si>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</si>
  <si>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</si>
  <si>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</si>
  <si>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</si>
  <si>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</si>
  <si>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</si>
  <si>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</si>
  <si>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</si>
  <si>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</si>
  <si>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</si>
  <si>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</si>
  <si>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</si>
  <si>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</si>
  <si>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</si>
  <si>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</si>
  <si>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</si>
  <si>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</si>
  <si>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</si>
  <si>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</si>
  <si>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</si>
  <si>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</si>
  <si>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</si>
  <si>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</si>
  <si>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</si>
  <si>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</si>
  <si>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</si>
  <si>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</si>
  <si>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</si>
  <si>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</si>
  <si>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</si>
  <si>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</si>
  <si>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</si>
  <si>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</si>
  <si>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</si>
  <si>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</si>
  <si>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</si>
  <si>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</si>
  <si>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</si>
  <si>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</si>
  <si>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</si>
  <si>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</si>
  <si>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Macon-Piatt</t>
  </si>
  <si>
    <t>335 East Cerro Gordo Street</t>
  </si>
  <si>
    <t xml:space="preserve">Decatur </t>
  </si>
  <si>
    <t>khorath@dps61.org</t>
  </si>
  <si>
    <t>Dr. Paul Fregeau</t>
  </si>
  <si>
    <t>pfregeau@dps61.org</t>
  </si>
  <si>
    <t>217-362-3010</t>
  </si>
  <si>
    <t>217-424-3109</t>
  </si>
  <si>
    <t>BKD, LLP</t>
  </si>
  <si>
    <t>Heather Powell</t>
  </si>
  <si>
    <t>225 N Water Street</t>
  </si>
  <si>
    <t>Decatur</t>
  </si>
  <si>
    <t>IL</t>
  </si>
  <si>
    <t>317-429-2411</t>
  </si>
  <si>
    <t>217-429-6109</t>
  </si>
  <si>
    <t>066-003844</t>
  </si>
  <si>
    <t>hpowell@bkd.com</t>
  </si>
  <si>
    <t xml:space="preserve">Page 14, Line 265, (Col. 10)  Other Restricted Revenues from Federal Sources, Secondary Transition Program (STEP) </t>
  </si>
  <si>
    <t>Page 15, Line 41, (Col. 10)  Other Support Services - Pupils, Vocational Step Coach</t>
  </si>
  <si>
    <t>US Department of Education</t>
  </si>
  <si>
    <t xml:space="preserve">   Pass Through Illinois State Board of Education</t>
  </si>
  <si>
    <t xml:space="preserve">     IDEA B - Flow-Through</t>
  </si>
  <si>
    <t>84.027A</t>
  </si>
  <si>
    <t>19-4620-00</t>
  </si>
  <si>
    <t xml:space="preserve">     IDEA - Flow-Through Room and Board</t>
  </si>
  <si>
    <t>19-4625-00</t>
  </si>
  <si>
    <t>N/A</t>
  </si>
  <si>
    <t>Total Special Education Cluster</t>
  </si>
  <si>
    <t xml:space="preserve">     Secondary Transition Experience Program (STEP)</t>
  </si>
  <si>
    <t xml:space="preserve">  Pass Through Illinois Department of Human  Services</t>
  </si>
  <si>
    <t>46UD00004</t>
  </si>
  <si>
    <t>Total US Department of Education</t>
  </si>
  <si>
    <t>US Department of Health and Human Services</t>
  </si>
  <si>
    <t xml:space="preserve">   Pass Through Illinois Department of Healthcare</t>
  </si>
  <si>
    <t xml:space="preserve">     Medicaid - Administrative Outreach</t>
  </si>
  <si>
    <t>19-4991-00</t>
  </si>
  <si>
    <t>20-4991-00</t>
  </si>
  <si>
    <t>Total US Department of Health and Human Services</t>
  </si>
  <si>
    <t>Total Federal Awards</t>
  </si>
  <si>
    <t xml:space="preserve">     IDEA B - Preschool</t>
  </si>
  <si>
    <t>84.173A</t>
  </si>
  <si>
    <t>19-4600-00</t>
  </si>
  <si>
    <t xml:space="preserve">  Pass Through Monticello CUSD #25</t>
  </si>
  <si>
    <t>46CYF00004</t>
  </si>
  <si>
    <t>None</t>
  </si>
  <si>
    <r>
      <t xml:space="preserve">The accompanying Schedule of Expenditures of Federal Awards includes the federal grant activity of </t>
    </r>
    <r>
      <rPr>
        <b/>
        <sz val="9"/>
        <rFont val="Calibri"/>
        <family val="2"/>
        <scheme val="minor"/>
      </rPr>
      <t xml:space="preserve">Macon-Piatt Special Education District  </t>
    </r>
    <r>
      <rPr>
        <sz val="9"/>
        <rFont val="Calibri"/>
        <family val="2"/>
        <scheme val="minor"/>
      </rPr>
      <t xml:space="preserve">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</si>
  <si>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 xml:space="preserve">Of the federal expenditures presented in the schedule, </t>
    </r>
    <r>
      <rPr>
        <b/>
        <sz val="9"/>
        <rFont val="Calibri"/>
        <family val="2"/>
        <scheme val="minor"/>
      </rPr>
      <t xml:space="preserve">Macon-Piatt Special Education District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</si>
  <si>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 xml:space="preserve">Macon-Piatt Special Education District  </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</si>
  <si>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Macon Piatt Special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</si>
</sst>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409]* #,##0_);_([$$-409]* \(#,##0\);_([$$-409]*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63" fillId="0" borderId="45" xfId="3" applyNumberFormat="1" applyFont="1" applyBorder="1" applyAlignment="1" applyProtection="1">
      <alignment horizontal="center" shrinkToFit="1"/>
      <protection locked="0"/>
    </xf>
    <xf numFmtId="3" fontId="63" fillId="0" borderId="44" xfId="3" applyNumberFormat="1" applyFont="1" applyBorder="1" applyAlignment="1" applyProtection="1">
      <alignment horizontal="center" shrinkToFit="1"/>
      <protection locked="0"/>
    </xf>
    <xf numFmtId="3" fontId="63" fillId="0" borderId="196" xfId="3" applyNumberFormat="1" applyFont="1" applyBorder="1" applyAlignment="1" applyProtection="1">
      <alignment horizontal="center" shrinkToFit="1"/>
      <protection locked="0"/>
    </xf>
    <xf numFmtId="185" fontId="58" fillId="0" borderId="0" xfId="0" applyNumberFormat="1" applyFont="1"/>
    <xf numFmtId="185" fontId="58" fillId="0" borderId="0" xfId="0" applyNumberFormat="1" applyFont="1" applyFill="1"/>
    <xf numFmtId="1" fontId="63" fillId="0" borderId="22" xfId="3" applyNumberFormat="1" applyFont="1" applyFill="1" applyBorder="1" applyAlignment="1" applyProtection="1">
      <alignment horizontal="center" shrinkToFit="1"/>
      <protection locked="0"/>
    </xf>
    <xf numFmtId="3" fontId="63" fillId="0" borderId="45" xfId="3"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1" fontId="63" fillId="0" borderId="144" xfId="3" applyNumberFormat="1" applyFont="1" applyBorder="1" applyAlignment="1" applyProtection="1">
      <alignment horizontal="center" shrinkToFit="1"/>
      <protection locked="0"/>
    </xf>
    <xf numFmtId="3" fontId="63" fillId="0" borderId="77" xfId="3" applyNumberFormat="1" applyFont="1" applyBorder="1" applyAlignment="1" applyProtection="1">
      <alignment horizontal="center" shrinkToFi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1016577</xdr:colOff>
          <xdr:row>9</xdr:row>
          <xdr:rowOff>71005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5" t="s">
        <v>402</v>
      </c>
      <c r="J1" s="2126"/>
      <c r="K1" s="2126"/>
      <c r="L1" s="2126"/>
      <c r="M1" s="2126"/>
      <c r="N1" s="2126"/>
      <c r="O1" s="2126"/>
      <c r="P1" s="2126"/>
      <c r="Q1" s="2126"/>
      <c r="R1" s="2126"/>
      <c r="S1" s="2126"/>
    </row>
    <row r="2" spans="1:32" ht="12" customHeight="1" x14ac:dyDescent="0.2">
      <c r="A2" s="1831" t="str">
        <f>"Due to ISBE on "</f>
        <v xml:space="preserve">Due to ISBE on </v>
      </c>
      <c r="B2" s="2048">
        <f>+'AFR20'!F4</f>
        <v>44151</v>
      </c>
      <c r="C2" s="2048"/>
      <c r="D2" s="2049"/>
      <c r="I2" s="2127" t="s">
        <v>2003</v>
      </c>
      <c r="J2" s="2126"/>
      <c r="K2" s="2126"/>
      <c r="L2" s="2126"/>
      <c r="M2" s="2126"/>
      <c r="N2" s="2126"/>
      <c r="O2" s="2126"/>
      <c r="P2" s="2126"/>
      <c r="Q2" s="2126"/>
      <c r="R2" s="2126"/>
      <c r="S2" s="2126"/>
    </row>
    <row r="3" spans="1:32" ht="12" customHeight="1" x14ac:dyDescent="0.2">
      <c r="A3" s="1834"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521</v>
      </c>
      <c r="J4" s="2126"/>
      <c r="K4" s="2126"/>
      <c r="L4" s="2126"/>
      <c r="M4" s="2126"/>
      <c r="N4" s="2126"/>
      <c r="O4" s="2126"/>
      <c r="P4" s="2126"/>
      <c r="Q4" s="2126"/>
      <c r="R4" s="2126"/>
      <c r="S4" s="2126"/>
    </row>
    <row r="5" spans="1:32" ht="14.1" customHeight="1" x14ac:dyDescent="0.2">
      <c r="B5" s="101"/>
      <c r="C5" s="26" t="s">
        <v>904</v>
      </c>
      <c r="D5" s="81"/>
      <c r="E5" s="81"/>
      <c r="H5" s="38"/>
      <c r="I5" s="2134" t="s">
        <v>675</v>
      </c>
      <c r="J5" s="2079"/>
      <c r="K5" s="2079"/>
      <c r="L5" s="2079"/>
      <c r="M5" s="2079"/>
      <c r="N5" s="2079"/>
      <c r="O5" s="2079"/>
      <c r="P5" s="2079"/>
      <c r="Q5" s="2079"/>
      <c r="R5" s="2079"/>
      <c r="S5" s="2079"/>
      <c r="AF5" s="1827"/>
    </row>
    <row r="6" spans="1:32" ht="14.1" customHeight="1" x14ac:dyDescent="0.2">
      <c r="B6" s="101" t="s">
        <v>2048</v>
      </c>
      <c r="C6" s="26" t="s">
        <v>905</v>
      </c>
      <c r="D6" s="81"/>
      <c r="E6" s="81"/>
      <c r="I6" s="2133" t="s">
        <v>877</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669</v>
      </c>
      <c r="J9" s="2131"/>
      <c r="K9" s="2131"/>
      <c r="L9" s="2131"/>
      <c r="M9" s="2131"/>
      <c r="N9" s="2131"/>
      <c r="O9" s="2131"/>
      <c r="P9" s="2131"/>
      <c r="Q9" s="2131"/>
      <c r="R9" s="2131"/>
      <c r="S9" s="2132"/>
      <c r="T9" s="2075" t="s">
        <v>530</v>
      </c>
      <c r="U9" s="2076"/>
      <c r="V9" s="2076"/>
      <c r="W9" s="2076"/>
      <c r="X9" s="2076"/>
      <c r="Y9" s="2076"/>
      <c r="Z9" s="2076"/>
      <c r="AA9" s="2077"/>
    </row>
    <row r="10" spans="1:32" ht="13.5" customHeight="1" x14ac:dyDescent="0.2">
      <c r="A10" s="2084" t="s">
        <v>670</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949</v>
      </c>
      <c r="B11" s="2088"/>
      <c r="C11" s="2088"/>
      <c r="D11" s="2088"/>
      <c r="E11" s="2088"/>
      <c r="F11" s="2088"/>
      <c r="G11" s="2088"/>
      <c r="H11" s="2089"/>
      <c r="I11" s="27"/>
      <c r="J11" s="71"/>
      <c r="K11" s="27"/>
      <c r="O11" s="144" t="s">
        <v>2048</v>
      </c>
      <c r="P11" s="97" t="s">
        <v>199</v>
      </c>
      <c r="Q11" s="30"/>
      <c r="R11" s="28"/>
      <c r="S11" s="27"/>
      <c r="T11" s="2081"/>
      <c r="U11" s="2082"/>
      <c r="V11" s="2082"/>
      <c r="W11" s="2082"/>
      <c r="X11" s="2082"/>
      <c r="Y11" s="2082"/>
      <c r="Z11" s="2082"/>
      <c r="AA11" s="208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5">
        <v>39055061061</v>
      </c>
      <c r="B13" s="2096"/>
      <c r="C13" s="2096"/>
      <c r="D13" s="2096"/>
      <c r="E13" s="2096"/>
      <c r="F13" s="2096"/>
      <c r="G13" s="2096"/>
      <c r="H13" s="2097"/>
      <c r="I13" s="31"/>
      <c r="J13" s="30"/>
      <c r="K13" s="28"/>
      <c r="L13" s="30"/>
      <c r="M13" s="30"/>
      <c r="N13" s="30"/>
      <c r="O13" s="30"/>
      <c r="P13" s="30"/>
      <c r="Q13" s="30"/>
      <c r="R13" s="30"/>
      <c r="S13" s="30"/>
      <c r="T13" s="2100" t="s">
        <v>2057</v>
      </c>
      <c r="U13" s="2101"/>
      <c r="V13" s="2101"/>
      <c r="W13" s="2101"/>
      <c r="X13" s="2101"/>
      <c r="Y13" s="2102"/>
      <c r="Z13" s="2102"/>
      <c r="AA13" s="210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3" t="s">
        <v>2049</v>
      </c>
      <c r="B15" s="2098"/>
      <c r="C15" s="2098"/>
      <c r="D15" s="2098"/>
      <c r="E15" s="2098"/>
      <c r="F15" s="2098"/>
      <c r="G15" s="2098"/>
      <c r="H15" s="2099"/>
      <c r="T15" s="2061" t="s">
        <v>2058</v>
      </c>
      <c r="U15" s="2062"/>
      <c r="V15" s="2062"/>
      <c r="W15" s="2062"/>
      <c r="X15" s="2062"/>
      <c r="Y15" s="2104"/>
      <c r="Z15" s="2104"/>
      <c r="AA15" s="210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3" t="s">
        <v>2097</v>
      </c>
      <c r="B17" s="2123"/>
      <c r="C17" s="2123"/>
      <c r="D17" s="2123"/>
      <c r="E17" s="2123"/>
      <c r="F17" s="2123"/>
      <c r="G17" s="2123"/>
      <c r="H17" s="2124"/>
      <c r="T17" s="2110" t="s">
        <v>2059</v>
      </c>
      <c r="U17" s="2111"/>
      <c r="V17" s="2111"/>
      <c r="W17" s="2111"/>
      <c r="X17" s="2111"/>
      <c r="Y17" s="2111"/>
      <c r="Z17" s="2111"/>
      <c r="AA17" s="2112"/>
    </row>
    <row r="18" spans="1:27" ht="13.5" customHeight="1" x14ac:dyDescent="0.2">
      <c r="A18" s="82" t="s">
        <v>527</v>
      </c>
      <c r="B18" s="73"/>
      <c r="C18" s="69"/>
      <c r="D18" s="73"/>
      <c r="E18" s="73"/>
      <c r="F18" s="73"/>
      <c r="G18" s="73"/>
      <c r="H18" s="53"/>
      <c r="I18" s="2120" t="s">
        <v>671</v>
      </c>
      <c r="J18" s="2121"/>
      <c r="K18" s="2121"/>
      <c r="L18" s="2121"/>
      <c r="M18" s="2121"/>
      <c r="N18" s="2121"/>
      <c r="O18" s="2121"/>
      <c r="P18" s="2121"/>
      <c r="Q18" s="2121"/>
      <c r="R18" s="2121"/>
      <c r="S18" s="2122"/>
      <c r="T18" s="82" t="s">
        <v>706</v>
      </c>
      <c r="U18" s="48"/>
      <c r="V18" s="69"/>
      <c r="W18" s="47"/>
      <c r="X18" s="82" t="s">
        <v>264</v>
      </c>
      <c r="Y18" s="78"/>
      <c r="Z18" s="154" t="s">
        <v>672</v>
      </c>
      <c r="AA18" s="44"/>
    </row>
    <row r="19" spans="1:27" ht="13.5" customHeight="1" x14ac:dyDescent="0.2">
      <c r="A19" s="2093" t="s">
        <v>2050</v>
      </c>
      <c r="B19" s="2094"/>
      <c r="C19" s="2094"/>
      <c r="D19" s="2094"/>
      <c r="E19" s="2094"/>
      <c r="F19" s="2094"/>
      <c r="G19" s="2094"/>
      <c r="H19" s="2092"/>
      <c r="I19" s="30"/>
      <c r="J19" s="96"/>
      <c r="K19" s="40"/>
      <c r="L19" s="38"/>
      <c r="M19" s="109" t="s">
        <v>312</v>
      </c>
      <c r="P19" s="27"/>
      <c r="Q19" s="27"/>
      <c r="R19" s="27"/>
      <c r="S19" s="31"/>
      <c r="T19" s="2093" t="s">
        <v>2060</v>
      </c>
      <c r="U19" s="2091"/>
      <c r="V19" s="2091"/>
      <c r="W19" s="2092"/>
      <c r="X19" s="2108" t="s">
        <v>2061</v>
      </c>
      <c r="Y19" s="2109"/>
      <c r="Z19" s="2106">
        <v>62523</v>
      </c>
      <c r="AA19" s="210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0" t="s">
        <v>2051</v>
      </c>
      <c r="B21" s="2091"/>
      <c r="C21" s="2091"/>
      <c r="D21" s="2091"/>
      <c r="E21" s="2091"/>
      <c r="F21" s="2091"/>
      <c r="G21" s="2091"/>
      <c r="H21" s="2092"/>
      <c r="I21" s="2116" t="s">
        <v>673</v>
      </c>
      <c r="J21" s="2079"/>
      <c r="K21" s="2079"/>
      <c r="L21" s="2079"/>
      <c r="M21" s="2079"/>
      <c r="N21" s="2079"/>
      <c r="O21" s="2079"/>
      <c r="P21" s="2079"/>
      <c r="Q21" s="2079"/>
      <c r="R21" s="2079"/>
      <c r="S21" s="2080"/>
      <c r="T21" s="2058" t="s">
        <v>2062</v>
      </c>
      <c r="U21" s="2059"/>
      <c r="V21" s="2059"/>
      <c r="W21" s="2059"/>
      <c r="X21" s="2072" t="s">
        <v>2063</v>
      </c>
      <c r="Y21" s="2073"/>
      <c r="Z21" s="2073"/>
      <c r="AA21" s="2074"/>
    </row>
    <row r="22" spans="1:27" ht="13.5" customHeight="1" x14ac:dyDescent="0.2">
      <c r="A22" s="84" t="s">
        <v>528</v>
      </c>
      <c r="B22" s="56"/>
      <c r="C22" s="56"/>
      <c r="D22" s="56"/>
      <c r="E22" s="56"/>
      <c r="F22" s="56"/>
      <c r="G22" s="56"/>
      <c r="H22" s="57"/>
      <c r="I22" s="2117" t="s">
        <v>1415</v>
      </c>
      <c r="J22" s="2118"/>
      <c r="K22" s="2118"/>
      <c r="L22" s="2118"/>
      <c r="M22" s="2118"/>
      <c r="N22" s="2118"/>
      <c r="O22" s="2118"/>
      <c r="P22" s="2118"/>
      <c r="Q22" s="2118"/>
      <c r="R22" s="2118"/>
      <c r="S22" s="2119"/>
      <c r="T22" s="82" t="s">
        <v>1502</v>
      </c>
      <c r="U22" s="48"/>
      <c r="V22" s="69"/>
      <c r="W22" s="48"/>
      <c r="X22" s="155" t="s">
        <v>1309</v>
      </c>
      <c r="Z22" s="43"/>
      <c r="AA22" s="44"/>
    </row>
    <row r="23" spans="1:27" ht="13.5" customHeight="1" x14ac:dyDescent="0.2">
      <c r="A23" s="2113" t="s">
        <v>2052</v>
      </c>
      <c r="B23" s="2114"/>
      <c r="C23" s="2114"/>
      <c r="D23" s="2114"/>
      <c r="E23" s="2114"/>
      <c r="F23" s="2114"/>
      <c r="G23" s="2114"/>
      <c r="H23" s="2115"/>
      <c r="T23" s="2053" t="s">
        <v>2064</v>
      </c>
      <c r="U23" s="2054"/>
      <c r="V23" s="2054"/>
      <c r="W23" s="2054"/>
      <c r="X23" s="2069">
        <v>44530</v>
      </c>
      <c r="Y23" s="2070"/>
      <c r="Z23" s="2070"/>
      <c r="AA23" s="2071"/>
    </row>
    <row r="24" spans="1:27" ht="14.1" customHeight="1" x14ac:dyDescent="0.2">
      <c r="A24" s="85" t="s">
        <v>672</v>
      </c>
      <c r="B24" s="46"/>
      <c r="C24" s="46"/>
      <c r="D24" s="46"/>
      <c r="E24" s="46"/>
      <c r="F24" s="46"/>
      <c r="G24" s="46"/>
      <c r="H24" s="58"/>
      <c r="J24" s="2155" t="str">
        <f>IF(B5="x",IF(AUDITCHECK!D29="AFR form Incomplete.","",IF(AUDITCHECK!D29="Deficit reduction plan is required.","School District must complete a deficit reduction plan in the 2019-2020 Budget",)),"")</f>
        <v/>
      </c>
      <c r="K24" s="2155"/>
      <c r="L24" s="2155"/>
      <c r="M24" s="2155"/>
      <c r="N24" s="2155"/>
      <c r="O24" s="2155"/>
      <c r="P24" s="2155"/>
      <c r="Q24" s="2155"/>
      <c r="R24" s="2155"/>
      <c r="S24" s="2156"/>
      <c r="T24" s="102" t="s">
        <v>528</v>
      </c>
      <c r="U24" s="103"/>
      <c r="V24" s="103"/>
      <c r="W24" s="103"/>
      <c r="X24" s="104"/>
      <c r="Y24" s="104"/>
      <c r="Z24" s="104"/>
      <c r="AA24" s="105"/>
    </row>
    <row r="25" spans="1:27" ht="14.1" customHeight="1" x14ac:dyDescent="0.2">
      <c r="A25" s="2090">
        <v>62523</v>
      </c>
      <c r="B25" s="2091"/>
      <c r="C25" s="2091"/>
      <c r="D25" s="2091"/>
      <c r="E25" s="2091"/>
      <c r="F25" s="2091"/>
      <c r="G25" s="2091"/>
      <c r="H25" s="2092"/>
      <c r="I25" s="110"/>
      <c r="J25" s="2157"/>
      <c r="K25" s="2157"/>
      <c r="L25" s="2157"/>
      <c r="M25" s="2157"/>
      <c r="N25" s="2157"/>
      <c r="O25" s="2157"/>
      <c r="P25" s="2157"/>
      <c r="Q25" s="2157"/>
      <c r="R25" s="2157"/>
      <c r="S25" s="2158"/>
      <c r="T25" s="2050" t="s">
        <v>2065</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8" t="s">
        <v>1497</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c r="K29" s="28" t="s">
        <v>572</v>
      </c>
      <c r="L29" s="144" t="s">
        <v>2048</v>
      </c>
      <c r="M29" s="40" t="s">
        <v>99</v>
      </c>
      <c r="N29" s="32" t="s">
        <v>1509</v>
      </c>
      <c r="O29" s="32"/>
      <c r="P29" s="32"/>
      <c r="Q29" s="32"/>
      <c r="R29" s="32"/>
      <c r="S29" s="120"/>
      <c r="T29" s="6"/>
      <c r="U29" s="6"/>
      <c r="V29" s="6"/>
      <c r="W29" s="6"/>
      <c r="X29" s="6"/>
      <c r="Y29" s="6"/>
      <c r="Z29" s="6"/>
      <c r="AA29" s="129"/>
    </row>
    <row r="30" spans="1:27" ht="13.5" customHeight="1" x14ac:dyDescent="0.2">
      <c r="A30" s="149"/>
      <c r="B30" s="133" t="s">
        <v>2048</v>
      </c>
      <c r="C30" s="121" t="s">
        <v>1156</v>
      </c>
      <c r="D30" s="28"/>
      <c r="E30" s="28"/>
      <c r="F30" s="136"/>
      <c r="G30" s="111"/>
      <c r="H30" s="111"/>
      <c r="I30" s="51"/>
      <c r="J30" s="144"/>
      <c r="K30" s="28" t="s">
        <v>572</v>
      </c>
      <c r="L30" s="144" t="s">
        <v>2048</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2048</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3" t="s">
        <v>2053</v>
      </c>
      <c r="B38" s="2123"/>
      <c r="C38" s="2123"/>
      <c r="D38" s="2123"/>
      <c r="E38" s="2123"/>
      <c r="F38" s="2091"/>
      <c r="G38" s="2091"/>
      <c r="H38" s="2092"/>
      <c r="I38" s="2142"/>
      <c r="J38" s="2062"/>
      <c r="K38" s="2062"/>
      <c r="L38" s="2062"/>
      <c r="M38" s="2062"/>
      <c r="N38" s="2062"/>
      <c r="O38" s="2062"/>
      <c r="P38" s="2063"/>
      <c r="Q38" s="2063"/>
      <c r="R38" s="2063"/>
      <c r="S38" s="2064"/>
      <c r="T38" s="2061"/>
      <c r="U38" s="2062"/>
      <c r="V38" s="2062"/>
      <c r="W38" s="2062"/>
      <c r="X38" s="2063"/>
      <c r="Y38" s="2063"/>
      <c r="Z38" s="2063"/>
      <c r="AA38" s="2064"/>
    </row>
    <row r="39" spans="1:27" ht="12" customHeight="1" x14ac:dyDescent="0.2">
      <c r="A39" s="2146" t="s">
        <v>528</v>
      </c>
      <c r="B39" s="2147"/>
      <c r="C39" s="69"/>
      <c r="D39" s="66"/>
      <c r="E39" s="66"/>
      <c r="F39" s="76"/>
      <c r="G39" s="66"/>
      <c r="H39" s="53"/>
      <c r="I39" s="2146" t="s">
        <v>528</v>
      </c>
      <c r="J39" s="2147"/>
      <c r="K39" s="2147"/>
      <c r="L39" s="2147"/>
      <c r="M39" s="2147"/>
      <c r="N39" s="64"/>
      <c r="O39" s="69"/>
      <c r="P39" s="69"/>
      <c r="Q39" s="75"/>
      <c r="R39" s="69"/>
      <c r="S39" s="53"/>
      <c r="T39" s="69" t="s">
        <v>528</v>
      </c>
      <c r="U39" s="48"/>
      <c r="V39" s="69"/>
      <c r="W39" s="47"/>
      <c r="X39" s="75"/>
      <c r="Y39" s="43"/>
      <c r="Z39" s="43"/>
      <c r="AA39" s="44"/>
    </row>
    <row r="40" spans="1:27" ht="13.5" customHeight="1" x14ac:dyDescent="0.2">
      <c r="A40" s="2149" t="s">
        <v>2054</v>
      </c>
      <c r="B40" s="2150"/>
      <c r="C40" s="2151"/>
      <c r="D40" s="2151"/>
      <c r="E40" s="2151"/>
      <c r="F40" s="2152"/>
      <c r="G40" s="2152"/>
      <c r="H40" s="2153"/>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9" t="s">
        <v>2055</v>
      </c>
      <c r="B42" s="2140"/>
      <c r="C42" s="2141"/>
      <c r="D42" s="2154" t="s">
        <v>2056</v>
      </c>
      <c r="E42" s="2140"/>
      <c r="F42" s="2140"/>
      <c r="G42" s="2140"/>
      <c r="H42" s="2141"/>
      <c r="I42" s="2060"/>
      <c r="J42" s="2056"/>
      <c r="K42" s="2056"/>
      <c r="L42" s="2056"/>
      <c r="M42" s="2056"/>
      <c r="N42" s="2056"/>
      <c r="O42" s="2057"/>
      <c r="P42" s="2055"/>
      <c r="Q42" s="2056"/>
      <c r="R42" s="2056"/>
      <c r="S42" s="2057"/>
      <c r="T42" s="2060"/>
      <c r="U42" s="2056"/>
      <c r="V42" s="2056"/>
      <c r="W42" s="2057"/>
      <c r="X42" s="2055"/>
      <c r="Y42" s="2056"/>
      <c r="Z42" s="2056"/>
      <c r="AA42" s="205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7"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8"/>
      <c r="B3" s="1294"/>
      <c r="C3" s="1295"/>
      <c r="D3" s="1296" t="s">
        <v>254</v>
      </c>
      <c r="E3" s="1295"/>
      <c r="F3" s="1296" t="s">
        <v>255</v>
      </c>
    </row>
    <row r="4" spans="1:8" ht="13.7" customHeight="1" x14ac:dyDescent="0.2">
      <c r="A4" s="579" t="s">
        <v>1147</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1171</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0</v>
      </c>
      <c r="C16" s="1664"/>
      <c r="D16" s="1725">
        <f t="shared" si="0"/>
        <v>0</v>
      </c>
      <c r="E16" s="1664"/>
      <c r="F16" s="1725">
        <f t="shared" si="1"/>
        <v>0</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625</v>
      </c>
      <c r="B1" s="2304"/>
      <c r="C1" s="585"/>
    </row>
    <row r="2" spans="1:7" ht="33.75" x14ac:dyDescent="0.2">
      <c r="A2" s="2312" t="s">
        <v>1779</v>
      </c>
      <c r="B2" s="2313"/>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6" t="s">
        <v>1106</v>
      </c>
      <c r="B3" s="2317"/>
      <c r="C3" s="2305"/>
      <c r="D3" s="2306"/>
      <c r="E3" s="2306"/>
      <c r="F3" s="2307"/>
    </row>
    <row r="4" spans="1:7" ht="12.75" customHeight="1" thickBot="1" x14ac:dyDescent="0.25">
      <c r="A4" s="2314" t="s">
        <v>626</v>
      </c>
      <c r="B4" s="2315"/>
      <c r="C4" s="1656"/>
      <c r="D4" s="1656"/>
      <c r="E4" s="1656"/>
      <c r="F4" s="1732">
        <f>SUM(C4+D4)-E4</f>
        <v>0</v>
      </c>
    </row>
    <row r="5" spans="1:7" ht="15.75" customHeight="1" thickTop="1" x14ac:dyDescent="0.2">
      <c r="A5" s="2299" t="s">
        <v>1103</v>
      </c>
      <c r="B5" s="2300"/>
      <c r="C5" s="2308"/>
      <c r="D5" s="2309"/>
      <c r="E5" s="2309"/>
      <c r="F5" s="231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1" t="s">
        <v>1104</v>
      </c>
      <c r="B16" s="2300"/>
      <c r="C16" s="2308"/>
      <c r="D16" s="2309"/>
      <c r="E16" s="2309"/>
      <c r="F16" s="2310"/>
    </row>
    <row r="17" spans="1:11" ht="12.75" customHeight="1" thickBot="1" x14ac:dyDescent="0.25">
      <c r="A17" s="2324" t="s">
        <v>64</v>
      </c>
      <c r="B17" s="2325"/>
      <c r="C17" s="1733"/>
      <c r="D17" s="1664"/>
      <c r="E17" s="1733"/>
      <c r="F17" s="1732">
        <f>SUM(C17+D17)-E17</f>
        <v>0</v>
      </c>
    </row>
    <row r="18" spans="1:11" ht="12.75" customHeight="1" thickTop="1" thickBot="1" x14ac:dyDescent="0.25">
      <c r="A18" s="2324" t="s">
        <v>6</v>
      </c>
      <c r="B18" s="2325"/>
      <c r="C18" s="1733"/>
      <c r="D18" s="1664"/>
      <c r="E18" s="1733"/>
      <c r="F18" s="1732">
        <f>SUM(C18+D18)-E18</f>
        <v>0</v>
      </c>
    </row>
    <row r="19" spans="1:11" ht="12.75" customHeight="1" thickTop="1" thickBot="1" x14ac:dyDescent="0.25">
      <c r="A19" s="2324" t="s">
        <v>385</v>
      </c>
      <c r="B19" s="2325"/>
      <c r="C19" s="1733"/>
      <c r="D19" s="1664"/>
      <c r="E19" s="1733"/>
      <c r="F19" s="1732">
        <f>SUM(C19+D19)-E19</f>
        <v>0</v>
      </c>
    </row>
    <row r="20" spans="1:11" ht="12.75" customHeight="1" thickTop="1" thickBot="1" x14ac:dyDescent="0.25">
      <c r="A20" s="2324" t="s">
        <v>445</v>
      </c>
      <c r="B20" s="2325"/>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26" t="s">
        <v>1105</v>
      </c>
      <c r="B22" s="2300"/>
      <c r="C22" s="2308"/>
      <c r="D22" s="2309"/>
      <c r="E22" s="2309"/>
      <c r="F22" s="2310"/>
    </row>
    <row r="23" spans="1:11" ht="13.5" thickBot="1" x14ac:dyDescent="0.25">
      <c r="A23" s="2314" t="s">
        <v>629</v>
      </c>
      <c r="B23" s="2315"/>
      <c r="C23" s="1656"/>
      <c r="D23" s="1656"/>
      <c r="E23" s="1656"/>
      <c r="F23" s="1732">
        <f>SUM(C23+D23)-E23</f>
        <v>0</v>
      </c>
      <c r="G23" s="473"/>
    </row>
    <row r="24" spans="1:11" ht="15.75" customHeight="1" thickTop="1" x14ac:dyDescent="0.2">
      <c r="A24" s="2326" t="s">
        <v>2006</v>
      </c>
      <c r="B24" s="2300"/>
      <c r="C24" s="2308"/>
      <c r="D24" s="2309"/>
      <c r="E24" s="2309"/>
      <c r="F24" s="2310"/>
    </row>
    <row r="25" spans="1:11" ht="13.5" thickBot="1" x14ac:dyDescent="0.25">
      <c r="A25" s="2314" t="s">
        <v>2007</v>
      </c>
      <c r="B25" s="2315"/>
      <c r="C25" s="1656"/>
      <c r="D25" s="1656"/>
      <c r="E25" s="1656"/>
      <c r="F25" s="1732">
        <f>SUM(C25+D25)-E25</f>
        <v>0</v>
      </c>
      <c r="G25" s="473"/>
    </row>
    <row r="26" spans="1:11" ht="15.75" customHeight="1" thickTop="1" x14ac:dyDescent="0.2">
      <c r="A26" s="2299" t="s">
        <v>652</v>
      </c>
      <c r="B26" s="2300"/>
      <c r="C26" s="589"/>
      <c r="D26" s="589"/>
      <c r="E26" s="589"/>
      <c r="F26" s="590"/>
    </row>
    <row r="27" spans="1:11" ht="13.5" thickBot="1" x14ac:dyDescent="0.25">
      <c r="A27" s="2301" t="s">
        <v>1063</v>
      </c>
      <c r="B27" s="2302"/>
      <c r="C27" s="1664"/>
      <c r="D27" s="1664"/>
      <c r="E27" s="1664"/>
      <c r="F27" s="1732">
        <f>SUM(C27+D27)-E27</f>
        <v>0</v>
      </c>
      <c r="G27" s="473"/>
    </row>
    <row r="28" spans="1:11" ht="7.5" customHeight="1" thickTop="1" x14ac:dyDescent="0.2">
      <c r="A28" s="489"/>
    </row>
    <row r="29" spans="1:11" ht="23.25" customHeight="1" x14ac:dyDescent="0.2">
      <c r="A29" s="2327" t="s">
        <v>578</v>
      </c>
      <c r="B29" s="2304"/>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8" t="s">
        <v>580</v>
      </c>
      <c r="C52" s="2319"/>
      <c r="D52" s="2319"/>
      <c r="E52" s="603" t="s">
        <v>840</v>
      </c>
      <c r="F52" s="2320"/>
      <c r="G52" s="2321"/>
      <c r="H52" s="596"/>
      <c r="I52" s="596"/>
      <c r="J52" s="600"/>
    </row>
    <row r="53" spans="1:11" ht="11.25" customHeight="1" x14ac:dyDescent="0.2">
      <c r="A53" s="604" t="s">
        <v>907</v>
      </c>
      <c r="B53" s="605" t="s">
        <v>945</v>
      </c>
      <c r="C53" s="600"/>
      <c r="D53" s="597"/>
      <c r="E53" s="603" t="s">
        <v>494</v>
      </c>
      <c r="F53" s="2322"/>
      <c r="G53" s="2323"/>
      <c r="H53" s="596"/>
      <c r="I53" s="596"/>
      <c r="J53" s="600"/>
    </row>
    <row r="54" spans="1:11" ht="11.25" customHeight="1" x14ac:dyDescent="0.2">
      <c r="A54" s="606" t="s">
        <v>908</v>
      </c>
      <c r="B54" s="601" t="s">
        <v>946</v>
      </c>
      <c r="C54" s="600"/>
      <c r="D54" s="597"/>
      <c r="E54" s="603" t="s">
        <v>495</v>
      </c>
      <c r="F54" s="2322"/>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4" t="s">
        <v>851</v>
      </c>
      <c r="B1" s="2355"/>
      <c r="C1" s="2355"/>
      <c r="D1" s="2355"/>
      <c r="E1" s="2355"/>
      <c r="F1" s="2355"/>
      <c r="G1" s="2356"/>
      <c r="H1" s="1298"/>
      <c r="I1" s="614"/>
      <c r="J1" s="400"/>
    </row>
    <row r="2" spans="1:11" ht="26.25" x14ac:dyDescent="0.2">
      <c r="A2" s="2331" t="s">
        <v>1661</v>
      </c>
      <c r="B2" s="2332"/>
      <c r="C2" s="2332"/>
      <c r="D2" s="2332"/>
      <c r="E2" s="2333"/>
      <c r="F2" s="615" t="s">
        <v>898</v>
      </c>
      <c r="G2" s="616" t="s">
        <v>1658</v>
      </c>
      <c r="H2" s="616" t="s">
        <v>407</v>
      </c>
      <c r="I2" s="616" t="s">
        <v>1150</v>
      </c>
      <c r="J2" s="616" t="s">
        <v>1789</v>
      </c>
      <c r="K2" s="616" t="s">
        <v>137</v>
      </c>
    </row>
    <row r="3" spans="1:11" x14ac:dyDescent="0.2">
      <c r="A3" s="2334" t="str">
        <f>"Cash Basis Fund Balance as of July 1, "&amp;'AFR20'!E2-1</f>
        <v>Cash Basis Fund Balance as of July 1, 2019</v>
      </c>
      <c r="B3" s="2335"/>
      <c r="C3" s="2335"/>
      <c r="D3" s="2335"/>
      <c r="E3" s="2336"/>
      <c r="F3" s="617"/>
      <c r="G3" s="1744"/>
      <c r="H3" s="1744"/>
      <c r="I3" s="1744"/>
      <c r="J3" s="1745"/>
      <c r="K3" s="1745"/>
    </row>
    <row r="4" spans="1:11" x14ac:dyDescent="0.2">
      <c r="A4" s="2337" t="s">
        <v>366</v>
      </c>
      <c r="B4" s="2338"/>
      <c r="C4" s="2338"/>
      <c r="D4" s="2338"/>
      <c r="E4" s="2319"/>
      <c r="F4" s="620"/>
      <c r="G4" s="1746"/>
      <c r="H4" s="1747"/>
      <c r="I4" s="1746"/>
      <c r="J4" s="1748"/>
      <c r="K4" s="1748"/>
    </row>
    <row r="5" spans="1:11" x14ac:dyDescent="0.2">
      <c r="A5" s="2357" t="s">
        <v>1062</v>
      </c>
      <c r="B5" s="2328"/>
      <c r="C5" s="2328"/>
      <c r="D5" s="2328"/>
      <c r="E5" s="2358"/>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57" t="s">
        <v>1790</v>
      </c>
      <c r="B10" s="2328"/>
      <c r="C10" s="2328"/>
      <c r="D10" s="2328"/>
      <c r="E10" s="2359"/>
      <c r="F10" s="633" t="s">
        <v>857</v>
      </c>
      <c r="G10" s="1753"/>
      <c r="H10" s="1754"/>
      <c r="I10" s="1744"/>
      <c r="J10" s="1745"/>
      <c r="K10" s="1745"/>
    </row>
    <row r="11" spans="1:11" x14ac:dyDescent="0.2">
      <c r="A11" s="2357" t="s">
        <v>159</v>
      </c>
      <c r="B11" s="2328"/>
      <c r="C11" s="2328"/>
      <c r="D11" s="2328"/>
      <c r="E11" s="2358"/>
      <c r="F11" s="622" t="s">
        <v>847</v>
      </c>
      <c r="G11" s="1749"/>
      <c r="H11" s="1744"/>
      <c r="I11" s="1744"/>
      <c r="J11" s="1745"/>
      <c r="K11" s="1751"/>
    </row>
    <row r="12" spans="1:11" ht="13.5" thickBot="1" x14ac:dyDescent="0.25">
      <c r="A12" s="2345" t="s">
        <v>899</v>
      </c>
      <c r="B12" s="2346"/>
      <c r="C12" s="2346"/>
      <c r="D12" s="2346"/>
      <c r="E12" s="2347"/>
      <c r="F12" s="1433"/>
      <c r="G12" s="1755">
        <f>SUM(G5:G11)</f>
        <v>0</v>
      </c>
      <c r="H12" s="1755">
        <f>SUM(H5:H11)</f>
        <v>0</v>
      </c>
      <c r="I12" s="1755">
        <f>SUM(I5:I11)</f>
        <v>0</v>
      </c>
      <c r="J12" s="1755">
        <f>SUM(J5:J11)</f>
        <v>0</v>
      </c>
      <c r="K12" s="1755">
        <f>SUM(K5:K11)</f>
        <v>0</v>
      </c>
    </row>
    <row r="13" spans="1:11" ht="13.5" thickTop="1" x14ac:dyDescent="0.2">
      <c r="A13" s="2339" t="s">
        <v>367</v>
      </c>
      <c r="B13" s="2340"/>
      <c r="C13" s="2340"/>
      <c r="D13" s="2340"/>
      <c r="E13" s="2341"/>
      <c r="F13" s="634"/>
      <c r="G13" s="1756"/>
      <c r="H13" s="1757"/>
      <c r="I13" s="1758"/>
      <c r="J13" s="1758"/>
      <c r="K13" s="1758"/>
    </row>
    <row r="14" spans="1:11" x14ac:dyDescent="0.2">
      <c r="A14" s="2363" t="s">
        <v>453</v>
      </c>
      <c r="B14" s="2363"/>
      <c r="C14" s="2363"/>
      <c r="D14" s="2363"/>
      <c r="E14" s="2364"/>
      <c r="F14" s="635" t="s">
        <v>849</v>
      </c>
      <c r="G14" s="1753"/>
      <c r="H14" s="1744"/>
      <c r="I14" s="1749"/>
      <c r="J14" s="1751"/>
      <c r="K14" s="1745"/>
    </row>
    <row r="15" spans="1:11" x14ac:dyDescent="0.2">
      <c r="A15" s="2328" t="s">
        <v>4</v>
      </c>
      <c r="B15" s="2328"/>
      <c r="C15" s="2328"/>
      <c r="D15" s="2328"/>
      <c r="E15" s="2358"/>
      <c r="F15" s="635" t="s">
        <v>850</v>
      </c>
      <c r="G15" s="1749"/>
      <c r="H15" s="1744"/>
      <c r="I15" s="1744"/>
      <c r="J15" s="1745"/>
      <c r="K15" s="1745"/>
    </row>
    <row r="16" spans="1:11" x14ac:dyDescent="0.2">
      <c r="A16" s="2328" t="s">
        <v>295</v>
      </c>
      <c r="B16" s="2328"/>
      <c r="C16" s="2328"/>
      <c r="D16" s="2328"/>
      <c r="E16" s="2358"/>
      <c r="F16" s="635" t="s">
        <v>917</v>
      </c>
      <c r="G16" s="1750"/>
      <c r="H16" s="1746"/>
      <c r="I16" s="1746"/>
      <c r="J16" s="1748"/>
      <c r="K16" s="1748"/>
    </row>
    <row r="17" spans="1:15" x14ac:dyDescent="0.2">
      <c r="A17" s="2352" t="s">
        <v>929</v>
      </c>
      <c r="B17" s="2352"/>
      <c r="C17" s="2352"/>
      <c r="D17" s="2352"/>
      <c r="E17" s="2353"/>
      <c r="F17" s="636"/>
      <c r="G17" s="1759"/>
      <c r="H17" s="1760"/>
      <c r="I17" s="1760"/>
      <c r="J17" s="1761"/>
      <c r="K17" s="1762"/>
    </row>
    <row r="18" spans="1:15" x14ac:dyDescent="0.2">
      <c r="A18" s="2342" t="s">
        <v>365</v>
      </c>
      <c r="B18" s="2343"/>
      <c r="C18" s="2343"/>
      <c r="D18" s="2343"/>
      <c r="E18" s="2344"/>
      <c r="F18" s="635" t="s">
        <v>926</v>
      </c>
      <c r="G18" s="1753"/>
      <c r="H18" s="1753"/>
      <c r="I18" s="1753"/>
      <c r="J18" s="1745"/>
      <c r="K18" s="1763"/>
    </row>
    <row r="19" spans="1:15" ht="21.75" customHeight="1" x14ac:dyDescent="0.2">
      <c r="A19" s="2365" t="s">
        <v>1786</v>
      </c>
      <c r="B19" s="2365"/>
      <c r="C19" s="2365"/>
      <c r="D19" s="2365"/>
      <c r="E19" s="2366"/>
      <c r="F19" s="635" t="s">
        <v>927</v>
      </c>
      <c r="G19" s="1753"/>
      <c r="H19" s="1753"/>
      <c r="I19" s="1753"/>
      <c r="J19" s="1745"/>
      <c r="K19" s="1763"/>
    </row>
    <row r="20" spans="1:15" x14ac:dyDescent="0.2">
      <c r="A20" s="2342" t="s">
        <v>1791</v>
      </c>
      <c r="B20" s="2343"/>
      <c r="C20" s="2343"/>
      <c r="D20" s="2343"/>
      <c r="E20" s="2344"/>
      <c r="F20" s="635" t="s">
        <v>928</v>
      </c>
      <c r="G20" s="1753"/>
      <c r="H20" s="1753"/>
      <c r="I20" s="1753"/>
      <c r="J20" s="1745"/>
      <c r="K20" s="1763"/>
    </row>
    <row r="21" spans="1:15" ht="13.5" thickBot="1" x14ac:dyDescent="0.25">
      <c r="A21" s="2348" t="s">
        <v>633</v>
      </c>
      <c r="B21" s="2348"/>
      <c r="C21" s="2348"/>
      <c r="D21" s="2348"/>
      <c r="E21" s="2348"/>
      <c r="F21" s="1434"/>
      <c r="G21" s="1760"/>
      <c r="H21" s="1764"/>
      <c r="I21" s="1764"/>
      <c r="J21" s="1765">
        <f>SUM(J18:J20)</f>
        <v>0</v>
      </c>
      <c r="K21" s="1761"/>
    </row>
    <row r="22" spans="1:15" ht="13.5" thickTop="1" x14ac:dyDescent="0.2">
      <c r="A22" s="2328" t="s">
        <v>1792</v>
      </c>
      <c r="B22" s="2328"/>
      <c r="C22" s="2328"/>
      <c r="D22" s="2328"/>
      <c r="E22" s="2358"/>
      <c r="F22" s="635" t="s">
        <v>857</v>
      </c>
      <c r="G22" s="1753"/>
      <c r="H22" s="1744"/>
      <c r="I22" s="1744"/>
      <c r="J22" s="1766"/>
      <c r="K22" s="1745"/>
    </row>
    <row r="23" spans="1:15" ht="13.5" thickBot="1" x14ac:dyDescent="0.25">
      <c r="A23" s="2349" t="s">
        <v>900</v>
      </c>
      <c r="B23" s="2348"/>
      <c r="C23" s="2348"/>
      <c r="D23" s="2348"/>
      <c r="E23" s="2348"/>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0" t="str">
        <f>"Ending Cash Basis Fund Balance as of June 30, "&amp;'AFR20'!E2</f>
        <v>Ending Cash Basis Fund Balance as of June 30, 2020</v>
      </c>
      <c r="B24" s="2351"/>
      <c r="C24" s="2351"/>
      <c r="D24" s="2351"/>
      <c r="E24" s="235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0"/>
      <c r="I31" s="2361"/>
      <c r="J31" s="2361"/>
      <c r="K31" s="2361"/>
    </row>
    <row r="32" spans="1:15" x14ac:dyDescent="0.2">
      <c r="A32" s="649"/>
      <c r="B32" s="232"/>
      <c r="C32" s="232"/>
      <c r="D32" s="232"/>
      <c r="E32" s="645"/>
      <c r="F32" s="651" t="s">
        <v>537</v>
      </c>
      <c r="G32" s="618"/>
      <c r="H32" s="2362"/>
      <c r="I32" s="2361"/>
      <c r="J32" s="2361"/>
      <c r="K32" s="2361"/>
    </row>
    <row r="33" spans="1:11" ht="1.5" customHeight="1" x14ac:dyDescent="0.2">
      <c r="A33" s="652" t="s">
        <v>1161</v>
      </c>
      <c r="B33" s="341"/>
      <c r="C33" s="341"/>
      <c r="D33" s="341"/>
      <c r="E33" s="341"/>
      <c r="F33" s="341"/>
      <c r="G33" s="653"/>
      <c r="H33" s="2362"/>
      <c r="I33" s="2361"/>
      <c r="J33" s="2361"/>
      <c r="K33" s="2361"/>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8" t="s">
        <v>538</v>
      </c>
      <c r="B41" s="2329"/>
      <c r="C41" s="2329"/>
      <c r="D41" s="2329"/>
      <c r="E41" s="2329"/>
      <c r="F41" s="233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1659</v>
      </c>
    </row>
    <row r="47" spans="1:11" s="663" customFormat="1" ht="12.75" customHeight="1" x14ac:dyDescent="0.2">
      <c r="A47" s="661"/>
      <c r="B47" s="662" t="s">
        <v>1660</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E1"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1875</v>
      </c>
      <c r="B1" s="2370"/>
      <c r="C1" s="2371"/>
      <c r="D1" s="666"/>
      <c r="E1" s="667"/>
      <c r="F1" s="667"/>
      <c r="G1" s="668"/>
      <c r="H1" s="669"/>
      <c r="I1" s="670"/>
      <c r="J1" s="2367"/>
      <c r="K1" s="2368"/>
      <c r="L1" s="2368"/>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43068</v>
      </c>
      <c r="D8" s="1771"/>
      <c r="E8" s="1771"/>
      <c r="F8" s="1765">
        <f>(C8+D8)-E8</f>
        <v>43068</v>
      </c>
      <c r="G8" s="681">
        <v>50</v>
      </c>
      <c r="H8" s="619">
        <v>11193</v>
      </c>
      <c r="I8" s="619">
        <v>861</v>
      </c>
      <c r="J8" s="619"/>
      <c r="K8" s="1442">
        <f>(H8+I8)-J8</f>
        <v>12054</v>
      </c>
      <c r="L8" s="1442">
        <f>F8-K8</f>
        <v>31014</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2115110</v>
      </c>
      <c r="D12" s="1771"/>
      <c r="E12" s="1771"/>
      <c r="F12" s="1765">
        <f>(C12+D12)-E12</f>
        <v>2115110</v>
      </c>
      <c r="G12" s="681">
        <v>10</v>
      </c>
      <c r="H12" s="619">
        <v>2115110</v>
      </c>
      <c r="I12" s="619"/>
      <c r="J12" s="619"/>
      <c r="K12" s="1442">
        <f>(H12+I12)-J12</f>
        <v>2115110</v>
      </c>
      <c r="L12" s="1442">
        <f>F12-K12</f>
        <v>0</v>
      </c>
    </row>
    <row r="13" spans="1:14" ht="14.25" thickTop="1" thickBot="1" x14ac:dyDescent="0.25">
      <c r="A13" s="684" t="s">
        <v>1114</v>
      </c>
      <c r="B13" s="679">
        <v>252</v>
      </c>
      <c r="C13" s="1771">
        <v>216961</v>
      </c>
      <c r="D13" s="1771"/>
      <c r="E13" s="1771"/>
      <c r="F13" s="1765">
        <f>(C13+D13)-E13</f>
        <v>216961</v>
      </c>
      <c r="G13" s="681">
        <v>5</v>
      </c>
      <c r="H13" s="619">
        <v>202728</v>
      </c>
      <c r="I13" s="619">
        <v>8580</v>
      </c>
      <c r="J13" s="619"/>
      <c r="K13" s="1442">
        <f>(H13+I13)-J13</f>
        <v>211308</v>
      </c>
      <c r="L13" s="1442">
        <f>F13-K13</f>
        <v>5653</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2375139</v>
      </c>
      <c r="D16" s="1765">
        <f>SUM(D3,D5:D6,D8:D10,D12:D15)</f>
        <v>0</v>
      </c>
      <c r="E16" s="1765">
        <f>SUM(E3,E5:E6,E8:E10,E12:E15)</f>
        <v>0</v>
      </c>
      <c r="F16" s="1765">
        <f>SUM(F3,F5:F6,F8:F10,F12:F15)</f>
        <v>2375139</v>
      </c>
      <c r="G16" s="681"/>
      <c r="H16" s="1435">
        <f>SUM(H3,H6,H8:H10,H12:H14,)</f>
        <v>2329031</v>
      </c>
      <c r="I16" s="1435">
        <f>SUM(I3,I6,I8:I10,I12:I14,)</f>
        <v>9441</v>
      </c>
      <c r="J16" s="1435">
        <f>SUM(J3,J6,J8:J10,J12:J14,)</f>
        <v>0</v>
      </c>
      <c r="K16" s="1435">
        <f>(H16+I16)-J16</f>
        <v>2338472</v>
      </c>
      <c r="L16" s="1435">
        <f>F16-K16</f>
        <v>36667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12977</v>
      </c>
      <c r="G17" s="676">
        <v>10</v>
      </c>
      <c r="H17" s="621"/>
      <c r="I17" s="1442">
        <f>F17/G17</f>
        <v>1297.7</v>
      </c>
      <c r="J17" s="621"/>
      <c r="K17" s="638"/>
      <c r="L17" s="638"/>
    </row>
    <row r="18" spans="1:12" ht="14.25" thickTop="1" thickBot="1" x14ac:dyDescent="0.25">
      <c r="A18" s="1440" t="s">
        <v>680</v>
      </c>
      <c r="B18" s="1441"/>
      <c r="C18" s="623"/>
      <c r="D18" s="623"/>
      <c r="E18" s="623"/>
      <c r="F18" s="686"/>
      <c r="G18" s="687"/>
      <c r="H18" s="624"/>
      <c r="I18" s="1435">
        <f>SUM(I16,I17)</f>
        <v>10738.7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34"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1"/>
      <c r="B5" s="2382"/>
      <c r="C5" s="2382"/>
      <c r="D5" s="2382"/>
      <c r="E5" s="2382"/>
      <c r="F5" s="2382"/>
    </row>
    <row r="6" spans="1:9" ht="13.5" customHeight="1" thickBot="1" x14ac:dyDescent="0.25">
      <c r="A6" s="2372" t="s">
        <v>1097</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17224128</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17224128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13008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128402</v>
      </c>
      <c r="G52" s="701"/>
    </row>
    <row r="53" spans="1:7" x14ac:dyDescent="0.2">
      <c r="A53" s="705" t="s">
        <v>456</v>
      </c>
      <c r="B53" s="705" t="s">
        <v>1461</v>
      </c>
      <c r="C53" s="724">
        <f>'Expenditures 15-22'!B102</f>
        <v>4000</v>
      </c>
      <c r="D53" s="723" t="str">
        <f>'Expenditures 15-22'!A102</f>
        <v>Total Payments to Other Govt Units</v>
      </c>
      <c r="E53" s="704"/>
      <c r="F53" s="1782">
        <f>'Expenditures 15-22'!K102</f>
        <v>117441</v>
      </c>
      <c r="G53" s="701"/>
    </row>
    <row r="54" spans="1:7" x14ac:dyDescent="0.2">
      <c r="A54" s="705" t="s">
        <v>456</v>
      </c>
      <c r="B54" s="705" t="s">
        <v>1462</v>
      </c>
      <c r="C54" s="724" t="s">
        <v>975</v>
      </c>
      <c r="D54" s="720" t="s">
        <v>1088</v>
      </c>
      <c r="E54" s="704"/>
      <c r="F54" s="1782">
        <f>'Expenditures 15-22'!G114</f>
        <v>10540</v>
      </c>
      <c r="G54" s="701"/>
    </row>
    <row r="55" spans="1:7" x14ac:dyDescent="0.2">
      <c r="A55" s="705" t="s">
        <v>456</v>
      </c>
      <c r="B55" s="705" t="s">
        <v>1463</v>
      </c>
      <c r="C55" s="724" t="s">
        <v>975</v>
      </c>
      <c r="D55" s="720" t="s">
        <v>288</v>
      </c>
      <c r="E55" s="704"/>
      <c r="F55" s="1782">
        <f>'Expenditures 15-22'!I114</f>
        <v>12977</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1088</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1088</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1473</v>
      </c>
      <c r="E74" s="704"/>
      <c r="F74" s="1786">
        <f>'Expenditures 15-22'!K334</f>
        <v>0</v>
      </c>
      <c r="G74" s="701"/>
    </row>
    <row r="75" spans="1:9" x14ac:dyDescent="0.2">
      <c r="A75" s="705" t="s">
        <v>2008</v>
      </c>
      <c r="B75" s="705" t="s">
        <v>2009</v>
      </c>
      <c r="C75" s="721" t="s">
        <v>975</v>
      </c>
      <c r="D75" s="722" t="s">
        <v>1088</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282368</v>
      </c>
      <c r="G77" s="701"/>
    </row>
    <row r="78" spans="1:9" s="728" customFormat="1" ht="12" customHeight="1" thickTop="1" thickBot="1" x14ac:dyDescent="0.25">
      <c r="A78" s="1450"/>
      <c r="B78" s="1448"/>
      <c r="C78" s="1445"/>
      <c r="D78" s="1449" t="s">
        <v>2012</v>
      </c>
      <c r="E78" s="1447"/>
      <c r="F78" s="1788">
        <f>(F14-F77)</f>
        <v>16941760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72" t="s">
        <v>1098</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24870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47520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1413</v>
      </c>
      <c r="D159" s="774" t="s">
        <v>1414</v>
      </c>
      <c r="E159" s="775"/>
      <c r="F159" s="1793">
        <f>SUM('Revenues 9-14'!C253)</f>
        <v>0</v>
      </c>
      <c r="G159" s="738"/>
    </row>
    <row r="160" spans="1:7" s="703" customFormat="1" x14ac:dyDescent="0.2">
      <c r="A160" s="771" t="s">
        <v>497</v>
      </c>
      <c r="B160" s="772" t="s">
        <v>1953</v>
      </c>
      <c r="C160" s="773" t="s">
        <v>1452</v>
      </c>
      <c r="D160" s="774" t="s">
        <v>1453</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100181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713052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132125</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1017748</v>
      </c>
    </row>
    <row r="176" spans="1:7" ht="12" customHeight="1" x14ac:dyDescent="0.2">
      <c r="A176" s="1443"/>
      <c r="B176" s="1453"/>
      <c r="C176" s="1454"/>
      <c r="D176" s="1455" t="s">
        <v>2014</v>
      </c>
      <c r="E176" s="1456"/>
      <c r="F176" s="1793">
        <f>'PCTC-OEPP 27-28'!F78-F175</f>
        <v>15924012</v>
      </c>
    </row>
    <row r="177" spans="1:9" ht="12" customHeight="1" x14ac:dyDescent="0.2">
      <c r="A177" s="1443"/>
      <c r="B177" s="1453"/>
      <c r="C177" s="1454"/>
      <c r="D177" s="1455" t="s">
        <v>1794</v>
      </c>
      <c r="E177" s="1456"/>
      <c r="F177" s="1793">
        <f>'Cap Outlay Deprec 26'!I18</f>
        <v>10738.7</v>
      </c>
    </row>
    <row r="178" spans="1:9" ht="12" customHeight="1" x14ac:dyDescent="0.2">
      <c r="A178" s="1443"/>
      <c r="B178" s="1453"/>
      <c r="C178" s="1454"/>
      <c r="D178" s="1455" t="s">
        <v>2015</v>
      </c>
      <c r="E178" s="1456"/>
      <c r="F178" s="1793">
        <f>F176+F177</f>
        <v>15934750.699999999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1531</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6" t="s">
        <v>1795</v>
      </c>
      <c r="B4" s="2387"/>
      <c r="C4" s="2387"/>
      <c r="D4" s="2387"/>
      <c r="E4" s="2387"/>
      <c r="F4" s="2388"/>
    </row>
    <row r="5" spans="1:6" x14ac:dyDescent="0.25">
      <c r="A5" s="2389"/>
      <c r="B5" s="2390"/>
      <c r="C5" s="2390"/>
      <c r="D5" s="2390"/>
      <c r="E5" s="2390"/>
      <c r="F5" s="2391"/>
    </row>
    <row r="6" spans="1:6" ht="18.75" x14ac:dyDescent="0.25">
      <c r="A6" s="1867" t="s">
        <v>1796</v>
      </c>
      <c r="B6" s="1868"/>
      <c r="C6" s="1869"/>
      <c r="D6" s="1869"/>
      <c r="E6" s="1869"/>
      <c r="F6" s="1870"/>
    </row>
    <row r="7" spans="1:6" ht="47.25" customHeight="1" x14ac:dyDescent="0.25">
      <c r="A7" s="2392" t="s">
        <v>1985</v>
      </c>
      <c r="B7" s="2393"/>
      <c r="C7" s="2393"/>
      <c r="D7" s="2393"/>
      <c r="E7" s="2393"/>
      <c r="F7" s="2394"/>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5" t="s">
        <v>1981</v>
      </c>
      <c r="B10" s="2396"/>
      <c r="C10" s="2396"/>
      <c r="D10" s="2396"/>
      <c r="E10" s="2396"/>
      <c r="F10" s="2397"/>
    </row>
    <row r="11" spans="1:6" ht="33" customHeight="1" x14ac:dyDescent="0.25">
      <c r="A11" s="2392" t="s">
        <v>1986</v>
      </c>
      <c r="B11" s="2393"/>
      <c r="C11" s="2393"/>
      <c r="D11" s="2393"/>
      <c r="E11" s="2393"/>
      <c r="F11" s="2394"/>
    </row>
    <row r="12" spans="1:6" ht="15" customHeight="1" x14ac:dyDescent="0.25">
      <c r="A12" s="1873" t="s">
        <v>1982</v>
      </c>
      <c r="B12" s="1874"/>
      <c r="C12" s="1875"/>
      <c r="D12" s="1875"/>
      <c r="E12" s="1875"/>
      <c r="F12" s="1876"/>
    </row>
    <row r="13" spans="1:6" ht="17.25" customHeight="1" x14ac:dyDescent="0.25">
      <c r="A13" s="2392" t="s">
        <v>1983</v>
      </c>
      <c r="B13" s="2393"/>
      <c r="C13" s="2393"/>
      <c r="D13" s="2393"/>
      <c r="E13" s="2393"/>
      <c r="F13" s="2394"/>
    </row>
    <row r="14" spans="1:6" ht="15" customHeight="1" x14ac:dyDescent="0.25">
      <c r="A14" s="1873" t="s">
        <v>1800</v>
      </c>
      <c r="B14" s="1874"/>
      <c r="C14" s="1875"/>
      <c r="D14" s="1875"/>
      <c r="E14" s="1875"/>
      <c r="F14" s="1876"/>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3" t="s">
        <v>2093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8" t="s">
        <v>1663</v>
      </c>
      <c r="B5" s="2399"/>
      <c r="C5" s="2399"/>
      <c r="D5" s="2399"/>
      <c r="E5" s="2399"/>
      <c r="F5" s="2399"/>
      <c r="G5" s="240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11444379</v>
      </c>
      <c r="F19" s="1802"/>
      <c r="G19" s="1804">
        <f>'Expenditures 15-22'!K33-SUM('Expenditures 15-22'!G33,'Expenditures 15-22'!I33)+'Expenditures 15-22'!D229</f>
        <v>11444379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2451715</v>
      </c>
      <c r="F21" s="1805"/>
      <c r="G21" s="1808">
        <f>'Expenditures 15-22'!K42-SUM('Expenditures 15-22'!G42,'Expenditures 15-22'!I42)+'Expenditures 15-22'!K120-SUM('Expenditures 15-22'!G120,'Expenditures 15-22'!I120)+'Expenditures 15-22'!K180-SUM('Expenditures 15-22'!G180,'Expenditures 15-22'!I180)+'Expenditures 15-22'!D238</f>
        <v>2451715</v>
      </c>
      <c r="H21" s="817"/>
      <c r="I21" s="157"/>
    </row>
    <row r="22" spans="1:9" s="542" customFormat="1" ht="12" customHeight="1" x14ac:dyDescent="0.2">
      <c r="A22" s="824" t="s">
        <v>560</v>
      </c>
      <c r="B22" s="825"/>
      <c r="C22" s="823">
        <v>2200</v>
      </c>
      <c r="D22" s="1805"/>
      <c r="E22" s="1807">
        <f>'Expenditures 15-22'!K47-SUM('Expenditures 15-22'!G47,'Expenditures 15-22'!I47)+'Expenditures 15-22'!D243</f>
        <v>322445</v>
      </c>
      <c r="F22" s="1805"/>
      <c r="G22" s="1808">
        <f>'Expenditures 15-22'!K47-SUM('Expenditures 15-22'!G47,'Expenditures 15-22'!I47)+'Expenditures 15-22'!D243</f>
        <v>322445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1998653</v>
      </c>
      <c r="F23" s="1805"/>
      <c r="G23" s="1807">
        <f>'Expenditures 15-22'!K53-SUM('Expenditures 15-22'!G53,'Expenditures 15-22'!I53)+'Expenditures 15-22'!D257+'Expenditures 15-22'!K330-SUM('Expenditures 15-22'!G330,'Expenditures 15-22'!I330)</f>
        <v>1998653</v>
      </c>
      <c r="H23" s="817"/>
      <c r="I23" s="157"/>
    </row>
    <row r="24" spans="1:9" s="542" customFormat="1" ht="12" customHeight="1" x14ac:dyDescent="0.2">
      <c r="A24" s="824" t="s">
        <v>562</v>
      </c>
      <c r="B24" s="825"/>
      <c r="C24" s="823">
        <v>2400</v>
      </c>
      <c r="D24" s="1805"/>
      <c r="E24" s="1807">
        <f>'Expenditures 15-22'!K57-SUM('Expenditures 15-22'!G57,'Expenditures 15-22'!I57)+'Expenditures 15-22'!D261</f>
        <v>108968</v>
      </c>
      <c r="F24" s="1805"/>
      <c r="G24" s="1808">
        <f>'Expenditures 15-22'!K57-SUM('Expenditures 15-22'!G57,'Expenditures 15-22'!I57)+'Expenditures 15-22'!D261</f>
        <v>108968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180289</v>
      </c>
      <c r="E27" s="1807">
        <f>E8</f>
        <v>0</v>
      </c>
      <c r="F27" s="1807">
        <f>'Expenditures 15-22'!K60-SUM('Expenditures 15-22'!G60,'Expenditures 15-22'!I60)+'Expenditures 15-22'!D264-E8</f>
        <v>180289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354985</v>
      </c>
      <c r="F28" s="1809">
        <f>'Expenditures 15-22'!K61-SUM('Expenditures 15-22'!G61,'Expenditures 15-22'!I61)+'Expenditures 15-22'!K124-SUM('Expenditures 15-22'!G124,'Expenditures 15-22'!I124)+'Expenditures 15-22'!D266-E9</f>
        <v>354985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6355</v>
      </c>
      <c r="F29" s="1805"/>
      <c r="G29" s="1808">
        <f>'Expenditures 15-22'!K62-SUM('Expenditures 15-22'!G62,'Expenditures 15-22'!I62)+'Expenditures 15-22'!K125-SUM('Expenditures 15-22'!G125,'Expenditures 15-22'!I125)+'Expenditures 15-22'!K182-SUM('Expenditures 15-22'!G182,'Expenditures 15-22'!I182)+'Expenditures 15-22'!D267</f>
        <v>6355</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349</v>
      </c>
      <c r="F35" s="1805"/>
      <c r="G35" s="1807">
        <f>'Expenditures 15-22'!K69-SUM('Expenditures 15-22'!G69,'Expenditures 15-22'!I69)+'Expenditures 15-22'!D274</f>
        <v>349</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86630</v>
      </c>
      <c r="E37" s="1807">
        <f>E14</f>
        <v>0</v>
      </c>
      <c r="F37" s="1807">
        <f>'Expenditures 15-22'!K71-SUM('Expenditures 15-22'!G71,'Expenditures 15-22'!I71)+'Expenditures 15-22'!D276-E14</f>
        <v>86630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128402</v>
      </c>
      <c r="F39" s="1805"/>
      <c r="G39" s="1807">
        <f>'Expenditures 15-22'!K75-SUM('Expenditures 15-22'!G75,'Expenditures 15-22'!I75)+'Expenditures 15-22'!K130-SUM('Expenditures 15-22'!G130,'Expenditures 15-22'!I130)+'Expenditures 15-22'!K185-SUM('Expenditures 15-22'!G185,'Expenditures 15-22'!I185)+'Expenditures 15-22'!D280</f>
        <v>128402</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266919</v>
      </c>
      <c r="E41" s="1809">
        <f>SUM(E19:E40)</f>
        <v>16816251</v>
      </c>
      <c r="F41" s="1809">
        <f>SUM(F19:F39)</f>
        <v>621904</v>
      </c>
      <c r="G41" s="1809">
        <f>SUM(G19:G40)</f>
        <v>16461266</v>
      </c>
    </row>
    <row r="42" spans="1:7" x14ac:dyDescent="0.2">
      <c r="A42" s="817"/>
      <c r="B42" s="157"/>
      <c r="C42" s="831"/>
      <c r="D42" s="2401" t="s">
        <v>519</v>
      </c>
      <c r="E42" s="2402"/>
      <c r="F42" s="832" t="s">
        <v>520</v>
      </c>
      <c r="G42" s="833"/>
    </row>
    <row r="43" spans="1:7" ht="12" customHeight="1" x14ac:dyDescent="0.2">
      <c r="A43" s="817"/>
      <c r="B43" s="157"/>
      <c r="C43" s="831"/>
      <c r="D43" s="1458" t="s">
        <v>470</v>
      </c>
      <c r="E43" s="1810">
        <f>D41</f>
        <v>266919</v>
      </c>
      <c r="F43" s="1458" t="s">
        <v>470</v>
      </c>
      <c r="G43" s="1810">
        <f>F41</f>
        <v>621904</v>
      </c>
    </row>
    <row r="44" spans="1:7" ht="12" customHeight="1" x14ac:dyDescent="0.2">
      <c r="A44" s="817"/>
      <c r="B44" s="157"/>
      <c r="C44" s="831"/>
      <c r="D44" s="1458" t="s">
        <v>471</v>
      </c>
      <c r="E44" s="1810">
        <f>E41</f>
        <v>16816251</v>
      </c>
      <c r="F44" s="1458" t="s">
        <v>471</v>
      </c>
      <c r="G44" s="1810">
        <f>G41</f>
        <v>16461266</v>
      </c>
    </row>
    <row r="45" spans="1:7" ht="12" customHeight="1" x14ac:dyDescent="0.2">
      <c r="A45" s="817"/>
      <c r="B45" s="157"/>
      <c r="C45" s="157"/>
      <c r="D45" s="1459" t="s">
        <v>999</v>
      </c>
      <c r="E45" s="1811">
        <f>(E43/E44)</f>
        <v>1.5872681729120243E-2</v>
      </c>
      <c r="F45" s="1459" t="s">
        <v>999</v>
      </c>
      <c r="G45" s="1811">
        <f>(G43/G44)</f>
        <v>3.7779840262589764E-2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B1" zoomScale="110" zoomScaleNormal="110" workbookViewId="0">
      <selection activeCell="F15" sqref="F1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9" t="s">
        <v>1365</v>
      </c>
      <c r="B1" s="2409"/>
      <c r="C1" s="2409"/>
      <c r="D1" s="2409"/>
      <c r="E1" s="2409"/>
      <c r="F1" s="240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0" t="s">
        <v>1532</v>
      </c>
      <c r="B5" s="2411"/>
      <c r="C5" s="2412"/>
      <c r="D5" s="2412"/>
      <c r="E5" s="2412"/>
      <c r="F5" s="2412"/>
      <c r="G5" s="1507"/>
      <c r="L5" s="1507"/>
      <c r="M5" s="1855"/>
      <c r="N5" s="1855"/>
      <c r="O5" s="1855"/>
    </row>
    <row r="6" spans="1:15" ht="12" customHeight="1" x14ac:dyDescent="0.25">
      <c r="A6" s="1480"/>
      <c r="B6" s="1481"/>
      <c r="C6" s="2413" t="str">
        <f>COVER!A17</f>
        <v xml:space="preserve"> Macon Piatt Special Education</v>
      </c>
      <c r="D6" s="2413"/>
      <c r="E6" s="2413"/>
      <c r="F6" s="1482"/>
      <c r="G6" s="1507"/>
      <c r="L6" s="1507"/>
      <c r="M6" s="1855"/>
      <c r="N6" s="1855"/>
      <c r="O6" s="1855"/>
    </row>
    <row r="7" spans="1:15" ht="11.25" customHeight="1" thickBot="1" x14ac:dyDescent="0.3">
      <c r="A7" s="1480"/>
      <c r="B7" s="1481"/>
      <c r="C7" s="2414">
        <f>COVER!A13</f>
        <v>39055061061</v>
      </c>
      <c r="D7" s="2414"/>
      <c r="E7" s="2414"/>
      <c r="F7" s="1482"/>
      <c r="G7" s="1507"/>
      <c r="L7" s="1507"/>
      <c r="M7" s="1855"/>
      <c r="N7" s="1855"/>
      <c r="O7" s="1855"/>
    </row>
    <row r="8" spans="1:15" ht="25.5" customHeight="1" thickBot="1" x14ac:dyDescent="0.25">
      <c r="A8" s="1519" t="s">
        <v>1874</v>
      </c>
      <c r="B8" s="1483" t="s">
        <v>2048</v>
      </c>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1520</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1378</v>
      </c>
      <c r="B35" s="1501"/>
      <c r="C35" s="2415"/>
      <c r="D35" s="2415"/>
      <c r="E35" s="2415"/>
      <c r="F35" s="2416"/>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20"/>
      <c r="B38" s="2421"/>
      <c r="C38" s="2421"/>
      <c r="D38" s="2421"/>
      <c r="E38" s="2421"/>
      <c r="F38" s="2422"/>
    </row>
    <row r="39" spans="1:15" ht="4.5" hidden="1" customHeight="1" x14ac:dyDescent="0.2">
      <c r="A39" s="1502"/>
      <c r="B39" s="1502"/>
      <c r="C39" s="1502"/>
      <c r="D39" s="1502"/>
      <c r="E39" s="1502"/>
      <c r="F39" s="1502"/>
    </row>
    <row r="40" spans="1:15" s="1499" customFormat="1" ht="12" customHeight="1" x14ac:dyDescent="0.25">
      <c r="A40" s="1503" t="s">
        <v>1377</v>
      </c>
      <c r="B40" s="1504"/>
      <c r="C40" s="2423"/>
      <c r="D40" s="2423"/>
      <c r="E40" s="2423"/>
      <c r="F40" s="2424"/>
      <c r="H40" s="1508"/>
      <c r="I40" s="1508"/>
      <c r="J40" s="1508"/>
      <c r="K40" s="1508"/>
    </row>
    <row r="41" spans="1:15" s="1499" customFormat="1" ht="12" customHeight="1" x14ac:dyDescent="0.25">
      <c r="A41" s="2425"/>
      <c r="B41" s="2426"/>
      <c r="C41" s="2426"/>
      <c r="D41" s="2426"/>
      <c r="E41" s="2426"/>
      <c r="F41" s="2427"/>
      <c r="H41" s="1508"/>
      <c r="I41" s="1508"/>
      <c r="J41" s="1508"/>
      <c r="K41" s="1508"/>
    </row>
    <row r="42" spans="1:15" s="1499" customFormat="1" ht="12" customHeight="1" x14ac:dyDescent="0.25">
      <c r="A42" s="2425"/>
      <c r="B42" s="2426"/>
      <c r="C42" s="2426"/>
      <c r="D42" s="2426"/>
      <c r="E42" s="2426"/>
      <c r="F42" s="2427"/>
      <c r="H42" s="1508"/>
      <c r="I42" s="1508"/>
      <c r="J42" s="1508"/>
      <c r="K42" s="1508"/>
    </row>
    <row r="43" spans="1:15" s="1499" customFormat="1" ht="15" x14ac:dyDescent="0.25">
      <c r="A43" s="2417"/>
      <c r="B43" s="2418"/>
      <c r="C43" s="2418"/>
      <c r="D43" s="2418"/>
      <c r="E43" s="2418"/>
      <c r="F43" s="2419"/>
      <c r="H43" s="1508"/>
      <c r="I43" s="1508"/>
      <c r="J43" s="1508"/>
      <c r="K43" s="1508"/>
    </row>
    <row r="44" spans="1:15" s="1499" customFormat="1" ht="12" hidden="1" customHeight="1" x14ac:dyDescent="0.25">
      <c r="A44" s="2417"/>
      <c r="B44" s="2418"/>
      <c r="C44" s="2418"/>
      <c r="D44" s="2418"/>
      <c r="E44" s="2418"/>
      <c r="F44" s="241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2" zoomScaleNormal="100" workbookViewId="0">
      <selection activeCell="I14" sqref="I14"/>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9" t="str">
        <f>COVER!A17</f>
        <v xml:space="preserve"> Macon Piatt Special Education</v>
      </c>
      <c r="K6" s="2429"/>
      <c r="L6" s="2430"/>
      <c r="M6" s="838"/>
      <c r="N6" s="1999"/>
    </row>
    <row r="7" spans="1:14" x14ac:dyDescent="0.2">
      <c r="A7" s="2431" t="s">
        <v>864</v>
      </c>
      <c r="B7" s="2432"/>
      <c r="C7" s="2432"/>
      <c r="D7" s="2432"/>
      <c r="E7" s="2433"/>
      <c r="F7" s="839"/>
      <c r="G7" s="838"/>
      <c r="H7" s="838"/>
      <c r="I7" s="1925" t="s">
        <v>369</v>
      </c>
      <c r="J7" s="2434">
        <f>COVER!A13</f>
        <v>39055061061</v>
      </c>
      <c r="K7" s="2434"/>
      <c r="L7" s="2434"/>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35" t="s">
        <v>478</v>
      </c>
      <c r="B11" s="2436"/>
      <c r="C11" s="243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1496363</v>
      </c>
      <c r="F13" s="1943"/>
      <c r="G13" s="1969">
        <f>H68</f>
        <v>0</v>
      </c>
      <c r="H13" s="1945">
        <f t="shared" si="0"/>
        <v>1496363</v>
      </c>
      <c r="I13" s="1944">
        <v>1618601</v>
      </c>
      <c r="J13" s="1943"/>
      <c r="K13" s="1944"/>
      <c r="L13" s="1945">
        <f t="shared" si="1"/>
        <v>1618601</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1061</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1053</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8" t="s">
        <v>7</v>
      </c>
      <c r="C18" s="2439"/>
      <c r="D18" s="2440"/>
      <c r="E18" s="1947"/>
      <c r="F18" s="1947"/>
      <c r="G18" s="1944"/>
      <c r="H18" s="1948">
        <f t="shared" si="0"/>
        <v>0</v>
      </c>
      <c r="I18" s="1944"/>
      <c r="J18" s="1944"/>
      <c r="K18" s="1944"/>
      <c r="L18" s="1945">
        <f t="shared" si="1"/>
        <v>0</v>
      </c>
      <c r="M18" s="838"/>
      <c r="N18" s="1999"/>
    </row>
    <row r="19" spans="1:14" ht="13.5" thickBot="1" x14ac:dyDescent="0.25">
      <c r="A19" s="2004">
        <v>8</v>
      </c>
      <c r="B19" s="1949" t="s">
        <v>1153</v>
      </c>
      <c r="C19" s="838"/>
      <c r="D19" s="1950"/>
      <c r="E19" s="1951">
        <f t="shared" ref="E19:L19" si="2">SUM(E12:E17)-E18</f>
        <v>1496363</v>
      </c>
      <c r="F19" s="1951">
        <f t="shared" si="2"/>
        <v>0</v>
      </c>
      <c r="G19" s="1951">
        <f t="shared" ref="G19" si="3">SUM(G12:G17)-G18</f>
        <v>0</v>
      </c>
      <c r="H19" s="1951">
        <f t="shared" si="2"/>
        <v>1496363</v>
      </c>
      <c r="I19" s="1951">
        <f t="shared" si="2"/>
        <v>1618601</v>
      </c>
      <c r="J19" s="1951">
        <f t="shared" si="2"/>
        <v>0</v>
      </c>
      <c r="K19" s="1951">
        <f t="shared" si="2"/>
        <v>0</v>
      </c>
      <c r="L19" s="1951">
        <f t="shared" si="2"/>
        <v>1618601</v>
      </c>
      <c r="M19" s="838"/>
      <c r="N19" s="1999"/>
    </row>
    <row r="20" spans="1:14" ht="13.5" thickTop="1" x14ac:dyDescent="0.2">
      <c r="A20" s="2004">
        <v>9</v>
      </c>
      <c r="B20" s="2441" t="s">
        <v>2021</v>
      </c>
      <c r="C20" s="2441"/>
      <c r="D20" s="2442"/>
      <c r="E20" s="1952"/>
      <c r="F20" s="1952"/>
      <c r="G20" s="1952"/>
      <c r="H20" s="1952"/>
      <c r="I20" s="1952"/>
      <c r="J20" s="1952"/>
      <c r="K20" s="1952"/>
      <c r="L20" s="1953">
        <f>IF(AND(H19&gt;0,L19&gt;0),(((L19-H19)/H19)),"Enter Budget Data")</f>
        <v>8.1690071192618369E-2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43"/>
      <c r="D27" s="2443"/>
      <c r="E27" s="843"/>
      <c r="F27" s="2444"/>
      <c r="G27" s="2444"/>
      <c r="H27" s="2444"/>
      <c r="I27" s="838"/>
      <c r="J27" s="838"/>
      <c r="K27" s="838"/>
      <c r="L27" s="838"/>
      <c r="M27" s="838"/>
      <c r="N27" s="1999"/>
    </row>
    <row r="28" spans="1:14" x14ac:dyDescent="0.2">
      <c r="A28" s="1998"/>
      <c r="B28" s="2008"/>
      <c r="C28" s="1958" t="s">
        <v>1026</v>
      </c>
      <c r="D28" s="844"/>
      <c r="E28" s="1959"/>
      <c r="F28" s="2445" t="s">
        <v>1495</v>
      </c>
      <c r="G28" s="2445"/>
      <c r="H28" s="2445"/>
      <c r="I28" s="838"/>
      <c r="J28" s="838"/>
      <c r="K28" s="838"/>
      <c r="L28" s="838"/>
      <c r="M28" s="838"/>
      <c r="N28" s="1999"/>
    </row>
    <row r="29" spans="1:14" x14ac:dyDescent="0.2">
      <c r="A29" s="1998"/>
      <c r="B29" s="2008"/>
      <c r="C29" s="2446"/>
      <c r="D29" s="2446"/>
      <c r="E29" s="845"/>
      <c r="F29" s="2446"/>
      <c r="G29" s="2446"/>
      <c r="H29" s="2446"/>
      <c r="I29" s="838"/>
      <c r="J29" s="838"/>
      <c r="K29" s="838"/>
      <c r="L29" s="838"/>
      <c r="M29" s="838"/>
      <c r="N29" s="1999"/>
    </row>
    <row r="30" spans="1:14" x14ac:dyDescent="0.2">
      <c r="A30" s="1998"/>
      <c r="B30" s="2008"/>
      <c r="C30" s="1961" t="s">
        <v>1547</v>
      </c>
      <c r="D30" s="838"/>
      <c r="E30" s="1960"/>
      <c r="F30" s="2428" t="s">
        <v>1496</v>
      </c>
      <c r="G30" s="2428"/>
      <c r="H30" s="2428"/>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9" t="s">
        <v>2024</v>
      </c>
      <c r="D34" s="2450"/>
      <c r="E34" s="2450"/>
      <c r="F34" s="2450"/>
      <c r="G34" s="2450"/>
      <c r="H34" s="2450"/>
      <c r="I34" s="2450"/>
      <c r="J34" s="2450"/>
      <c r="K34" s="2017"/>
      <c r="L34" s="838"/>
      <c r="M34" s="838"/>
      <c r="N34" s="1999"/>
    </row>
    <row r="35" spans="1:14" x14ac:dyDescent="0.2">
      <c r="A35" s="1998"/>
      <c r="B35" s="838"/>
      <c r="C35" s="2450"/>
      <c r="D35" s="2450"/>
      <c r="E35" s="2450"/>
      <c r="F35" s="2450"/>
      <c r="G35" s="2450"/>
      <c r="H35" s="2450"/>
      <c r="I35" s="2450"/>
      <c r="J35" s="245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9" t="s">
        <v>2025</v>
      </c>
      <c r="D37" s="2450"/>
      <c r="E37" s="2450"/>
      <c r="F37" s="2450"/>
      <c r="G37" s="2450"/>
      <c r="H37" s="2450"/>
      <c r="I37" s="2450"/>
      <c r="J37" s="2450"/>
      <c r="K37" s="2017"/>
      <c r="L37" s="2019"/>
      <c r="M37" s="838"/>
      <c r="N37" s="1999"/>
    </row>
    <row r="38" spans="1:14" x14ac:dyDescent="0.2">
      <c r="A38" s="1998"/>
      <c r="B38" s="838"/>
      <c r="C38" s="2450"/>
      <c r="D38" s="2450"/>
      <c r="E38" s="2450"/>
      <c r="F38" s="2450"/>
      <c r="G38" s="2450"/>
      <c r="H38" s="2450"/>
      <c r="I38" s="2450"/>
      <c r="J38" s="245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51" t="s">
        <v>2026</v>
      </c>
      <c r="D40" s="2452"/>
      <c r="E40" s="2452"/>
      <c r="F40" s="2452"/>
      <c r="G40" s="2452"/>
      <c r="H40" s="2452"/>
      <c r="I40" s="2452"/>
      <c r="J40" s="245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53" t="s">
        <v>2027</v>
      </c>
      <c r="B43" s="2454"/>
      <c r="C43" s="2454"/>
      <c r="D43" s="2454"/>
      <c r="E43" s="2454"/>
      <c r="F43" s="2454"/>
      <c r="G43" s="2454"/>
      <c r="H43" s="2454"/>
      <c r="I43" s="2454"/>
      <c r="J43" s="2454"/>
      <c r="K43" s="2454"/>
      <c r="L43" s="2454"/>
      <c r="M43" s="2454"/>
      <c r="N43" s="245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56" t="s">
        <v>2029</v>
      </c>
      <c r="B46" s="2457"/>
      <c r="C46" s="2457"/>
      <c r="D46" s="2457"/>
      <c r="E46" s="2457"/>
      <c r="F46" s="2457"/>
      <c r="G46" s="2457"/>
      <c r="H46" s="2457"/>
      <c r="I46" s="2457"/>
      <c r="J46" s="2457"/>
      <c r="K46" s="2457"/>
      <c r="L46" s="2457"/>
      <c r="M46" s="2457"/>
      <c r="N46" s="2458"/>
    </row>
    <row r="47" spans="1:14" x14ac:dyDescent="0.2">
      <c r="A47" s="2456"/>
      <c r="B47" s="2457"/>
      <c r="C47" s="2457"/>
      <c r="D47" s="2457"/>
      <c r="E47" s="2457"/>
      <c r="F47" s="2457"/>
      <c r="G47" s="2457"/>
      <c r="H47" s="2457"/>
      <c r="I47" s="2457"/>
      <c r="J47" s="2457"/>
      <c r="K47" s="2457"/>
      <c r="L47" s="2457"/>
      <c r="M47" s="2457"/>
      <c r="N47" s="245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9" t="str">
        <f>J6</f>
        <v xml:space="preserve"> Macon Piatt Special Education</v>
      </c>
      <c r="M52" s="2429"/>
      <c r="N52" s="2459"/>
    </row>
    <row r="53" spans="1:14" x14ac:dyDescent="0.2">
      <c r="A53" s="1983"/>
      <c r="B53" s="1984"/>
      <c r="C53" s="1984"/>
      <c r="D53" s="1984"/>
      <c r="E53" s="1984"/>
      <c r="F53" s="1984"/>
      <c r="G53" s="1984"/>
      <c r="H53" s="1984"/>
      <c r="I53" s="1984"/>
      <c r="J53" s="1984"/>
      <c r="K53" s="1925" t="s">
        <v>369</v>
      </c>
      <c r="L53" s="2434">
        <f>J7</f>
        <v>39055061061</v>
      </c>
      <c r="M53" s="2434"/>
      <c r="N53" s="246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61"/>
      <c r="B55" s="2462"/>
      <c r="C55" s="2462"/>
      <c r="D55" s="1971"/>
      <c r="E55" s="1971"/>
      <c r="F55" s="1971"/>
      <c r="G55" s="2463" t="s">
        <v>2030</v>
      </c>
      <c r="H55" s="2463"/>
      <c r="I55" s="2463"/>
      <c r="J55" s="2463"/>
      <c r="K55" s="2463"/>
      <c r="L55" s="2463"/>
      <c r="M55" s="2463"/>
      <c r="N55" s="2464"/>
    </row>
    <row r="56" spans="1:14" ht="63.75" x14ac:dyDescent="0.2">
      <c r="A56" s="2465" t="s">
        <v>2031</v>
      </c>
      <c r="B56" s="2466"/>
      <c r="C56" s="246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68" t="s">
        <v>296</v>
      </c>
      <c r="B57" s="2469"/>
      <c r="C57" s="246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7" t="s">
        <v>2041</v>
      </c>
      <c r="B58" s="2448"/>
      <c r="C58" s="2448"/>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70" t="s">
        <v>297</v>
      </c>
      <c r="B59" s="2471"/>
      <c r="C59" s="2471"/>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70" t="s">
        <v>236</v>
      </c>
      <c r="B60" s="2471"/>
      <c r="C60" s="2471"/>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70" t="s">
        <v>697</v>
      </c>
      <c r="B61" s="2471"/>
      <c r="C61" s="2471"/>
      <c r="D61" s="1968">
        <v>2365</v>
      </c>
      <c r="E61" s="1978">
        <f>'Expenditures 15-22'!K323</f>
        <v>0</v>
      </c>
      <c r="F61" s="1973"/>
      <c r="G61" s="2032"/>
      <c r="H61" s="2033"/>
      <c r="I61" s="2033"/>
      <c r="J61" s="2033"/>
      <c r="K61" s="2033"/>
      <c r="L61" s="2033"/>
      <c r="M61" s="2033"/>
      <c r="N61" s="1976">
        <f t="shared" si="4"/>
        <v>0</v>
      </c>
    </row>
    <row r="62" spans="1:14" ht="24" customHeight="1" x14ac:dyDescent="0.2">
      <c r="A62" s="2470" t="s">
        <v>237</v>
      </c>
      <c r="B62" s="2471"/>
      <c r="C62" s="2471"/>
      <c r="D62" s="1968">
        <v>2366</v>
      </c>
      <c r="E62" s="1978">
        <f>'Expenditures 15-22'!K324</f>
        <v>0</v>
      </c>
      <c r="F62" s="1973"/>
      <c r="G62" s="2032"/>
      <c r="H62" s="2033"/>
      <c r="I62" s="2033"/>
      <c r="J62" s="2033"/>
      <c r="K62" s="2033"/>
      <c r="L62" s="2033"/>
      <c r="M62" s="2033"/>
      <c r="N62" s="1976">
        <f t="shared" si="4"/>
        <v>0</v>
      </c>
    </row>
    <row r="63" spans="1:14" ht="24" customHeight="1" x14ac:dyDescent="0.2">
      <c r="A63" s="2447" t="s">
        <v>1022</v>
      </c>
      <c r="B63" s="2448"/>
      <c r="C63" s="2448"/>
      <c r="D63" s="1968">
        <v>2367</v>
      </c>
      <c r="E63" s="1978">
        <f>'Expenditures 15-22'!K325</f>
        <v>0</v>
      </c>
      <c r="F63" s="1973"/>
      <c r="G63" s="2032"/>
      <c r="H63" s="2033"/>
      <c r="I63" s="2033"/>
      <c r="J63" s="2033"/>
      <c r="K63" s="2033"/>
      <c r="L63" s="2033"/>
      <c r="M63" s="2033"/>
      <c r="N63" s="1976">
        <f t="shared" si="4"/>
        <v>0</v>
      </c>
    </row>
    <row r="64" spans="1:14" ht="24" customHeight="1" x14ac:dyDescent="0.2">
      <c r="A64" s="2470" t="s">
        <v>1023</v>
      </c>
      <c r="B64" s="2471"/>
      <c r="C64" s="2471"/>
      <c r="D64" s="1968">
        <v>2368</v>
      </c>
      <c r="E64" s="1978">
        <f>'Expenditures 15-22'!K326</f>
        <v>0</v>
      </c>
      <c r="F64" s="1973"/>
      <c r="G64" s="2032"/>
      <c r="H64" s="2033"/>
      <c r="I64" s="2033"/>
      <c r="J64" s="2033"/>
      <c r="K64" s="2033"/>
      <c r="L64" s="2033"/>
      <c r="M64" s="2033"/>
      <c r="N64" s="1976">
        <f t="shared" si="4"/>
        <v>0</v>
      </c>
    </row>
    <row r="65" spans="1:14" ht="24" customHeight="1" x14ac:dyDescent="0.2">
      <c r="A65" s="2470" t="s">
        <v>965</v>
      </c>
      <c r="B65" s="2471"/>
      <c r="C65" s="2471"/>
      <c r="D65" s="1968">
        <v>2369</v>
      </c>
      <c r="E65" s="1978">
        <f>'Expenditures 15-22'!K327</f>
        <v>0</v>
      </c>
      <c r="F65" s="1973"/>
      <c r="G65" s="2032"/>
      <c r="H65" s="2033"/>
      <c r="I65" s="2033"/>
      <c r="J65" s="2033"/>
      <c r="K65" s="2033"/>
      <c r="L65" s="2033"/>
      <c r="M65" s="2033"/>
      <c r="N65" s="1976">
        <f t="shared" si="4"/>
        <v>0</v>
      </c>
    </row>
    <row r="66" spans="1:14" ht="24" customHeight="1" x14ac:dyDescent="0.2">
      <c r="A66" s="2470" t="s">
        <v>469</v>
      </c>
      <c r="B66" s="2471"/>
      <c r="C66" s="2471"/>
      <c r="D66" s="1968">
        <v>2371</v>
      </c>
      <c r="E66" s="1978">
        <f>'Expenditures 15-22'!K328</f>
        <v>0</v>
      </c>
      <c r="F66" s="1973"/>
      <c r="G66" s="2032"/>
      <c r="H66" s="2033"/>
      <c r="I66" s="2033"/>
      <c r="J66" s="2033"/>
      <c r="K66" s="2033"/>
      <c r="L66" s="2033"/>
      <c r="M66" s="2033"/>
      <c r="N66" s="1976">
        <f t="shared" si="4"/>
        <v>0</v>
      </c>
    </row>
    <row r="67" spans="1:14" ht="24.75" customHeight="1" x14ac:dyDescent="0.2">
      <c r="A67" s="2472" t="s">
        <v>2042</v>
      </c>
      <c r="B67" s="2473"/>
      <c r="C67" s="2473"/>
      <c r="D67" s="1970">
        <v>2372</v>
      </c>
      <c r="E67" s="1979">
        <f>'Expenditures 15-22'!K329</f>
        <v>0</v>
      </c>
      <c r="F67" s="1973"/>
      <c r="G67" s="2034"/>
      <c r="H67" s="2035"/>
      <c r="I67" s="2035"/>
      <c r="J67" s="2035"/>
      <c r="K67" s="2035"/>
      <c r="L67" s="2035"/>
      <c r="M67" s="2035"/>
      <c r="N67" s="1976">
        <f t="shared" si="4"/>
        <v>0</v>
      </c>
    </row>
    <row r="68" spans="1:14" x14ac:dyDescent="0.2">
      <c r="A68" s="2474" t="s">
        <v>1153</v>
      </c>
      <c r="B68" s="2475"/>
      <c r="C68" s="2475"/>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D7" sqref="D7"/>
    </sheetView>
  </sheetViews>
  <sheetFormatPr defaultColWidth="9.140625" defaultRowHeight="12.75" x14ac:dyDescent="0.2"/>
  <cols>
    <col min="1" max="1" width="3" style="307" customWidth="1"/>
    <col min="2" max="2" width="109.140625" style="307" customWidth="1"/>
    <col min="3" max="3" width="3.140625" style="307" customWidth="1"/>
    <col min="4" max="4" width="12" style="307" bestFit="1" customWidth="1"/>
    <col min="5" max="16384" width="9.140625" style="307"/>
  </cols>
  <sheetData>
    <row r="2" spans="1:4" x14ac:dyDescent="0.2">
      <c r="A2" s="366" t="s">
        <v>256</v>
      </c>
    </row>
    <row r="3" spans="1:4" x14ac:dyDescent="0.2">
      <c r="A3" s="307" t="s">
        <v>257</v>
      </c>
    </row>
    <row r="5" spans="1:4" x14ac:dyDescent="0.2">
      <c r="A5" s="847">
        <v>1</v>
      </c>
      <c r="B5" s="307" t="s">
        <v>2066</v>
      </c>
      <c r="D5" s="2039">
        <v>132125</v>
      </c>
    </row>
    <row r="6" spans="1:4" x14ac:dyDescent="0.2">
      <c r="A6" s="847"/>
      <c r="D6" s="2039"/>
    </row>
    <row r="7" spans="1:4" x14ac:dyDescent="0.2">
      <c r="A7" s="847">
        <v>2</v>
      </c>
      <c r="B7" s="307" t="s">
        <v>2067</v>
      </c>
      <c r="D7" s="2040">
        <v>89231</v>
      </c>
    </row>
    <row r="8" spans="1:4" x14ac:dyDescent="0.2">
      <c r="A8" s="847"/>
    </row>
    <row r="9" spans="1:4" x14ac:dyDescent="0.2">
      <c r="A9" s="848"/>
    </row>
    <row r="10" spans="1:4" x14ac:dyDescent="0.2">
      <c r="A10" s="848"/>
    </row>
    <row r="11" spans="1:4" x14ac:dyDescent="0.2">
      <c r="A11" s="848"/>
    </row>
    <row r="12" spans="1:4" x14ac:dyDescent="0.2">
      <c r="A12" s="848"/>
    </row>
    <row r="13" spans="1:4" x14ac:dyDescent="0.2">
      <c r="A13" s="848"/>
    </row>
    <row r="14" spans="1:4" x14ac:dyDescent="0.2">
      <c r="A14" s="848"/>
    </row>
    <row r="15" spans="1:4" x14ac:dyDescent="0.2">
      <c r="A15" s="848"/>
    </row>
    <row r="16" spans="1:4"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Macon Piatt Special Education</v>
      </c>
    </row>
    <row r="65" spans="2:2" x14ac:dyDescent="0.2">
      <c r="B65" s="849">
        <f>COVER!A13</f>
        <v>39055061061</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70" t="s">
        <v>1597</v>
      </c>
    </row>
    <row r="23" spans="1:5" x14ac:dyDescent="0.2">
      <c r="A23" s="163"/>
      <c r="B23" s="157" t="s">
        <v>1828</v>
      </c>
      <c r="D23" s="162" t="s">
        <v>632</v>
      </c>
      <c r="E23" s="1470"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2" t="s">
        <v>1058</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686</v>
      </c>
      <c r="B40" s="2159"/>
      <c r="C40" s="2159"/>
      <c r="D40" s="2159"/>
      <c r="E40" s="2159"/>
    </row>
    <row r="41" spans="1:5" x14ac:dyDescent="0.2">
      <c r="A41" s="2160" t="s">
        <v>1594</v>
      </c>
      <c r="B41" s="2160"/>
      <c r="C41" s="2160"/>
      <c r="D41" s="2160"/>
      <c r="E41" s="2160"/>
    </row>
    <row r="42" spans="1:5" ht="12.75" customHeight="1" x14ac:dyDescent="0.2">
      <c r="A42" s="2161" t="s">
        <v>1015</v>
      </c>
      <c r="B42" s="2161"/>
      <c r="C42" s="2161"/>
      <c r="D42" s="2161"/>
      <c r="E42" s="216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6" t="s">
        <v>1668</v>
      </c>
      <c r="B18" s="2476"/>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4</xdr:row>
                <xdr:rowOff>0</xdr:rowOff>
              </from>
              <to>
                <xdr:col>1</xdr:col>
                <xdr:colOff>1019175</xdr:colOff>
                <xdr:row>9</xdr:row>
                <xdr:rowOff>47625</xdr:rowOff>
              </to>
            </anchor>
          </objectPr>
        </oleObject>
      </mc:Choice>
      <mc:Fallback>
        <oleObject progId="Acrobat Document" dvAspect="DVASPECT_ICON" shapeId="5632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7" t="s">
        <v>1672</v>
      </c>
      <c r="B1" s="2478"/>
      <c r="C1" s="2478"/>
      <c r="D1" s="2478"/>
      <c r="E1" s="2478"/>
      <c r="F1" s="2479"/>
    </row>
    <row r="2" spans="1:8" ht="45" customHeight="1" x14ac:dyDescent="0.2">
      <c r="A2" s="24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8"/>
      <c r="C2" s="2488"/>
      <c r="D2" s="2488"/>
      <c r="E2" s="2488"/>
      <c r="F2" s="2489"/>
      <c r="G2" s="853"/>
      <c r="H2" s="853"/>
    </row>
    <row r="3" spans="1:8" ht="57" customHeight="1" x14ac:dyDescent="0.2">
      <c r="A3" s="2490" t="s">
        <v>1972</v>
      </c>
      <c r="B3" s="2491"/>
      <c r="C3" s="2491"/>
      <c r="D3" s="2491"/>
      <c r="E3" s="2491"/>
      <c r="F3" s="2492"/>
      <c r="G3" s="853"/>
      <c r="H3" s="853"/>
    </row>
    <row r="4" spans="1:8" ht="14.25" customHeight="1" x14ac:dyDescent="0.2">
      <c r="A4" s="24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7"/>
      <c r="C4" s="2497"/>
      <c r="D4" s="2497"/>
      <c r="E4" s="2497"/>
      <c r="F4" s="2498"/>
      <c r="G4" s="853"/>
      <c r="H4" s="853"/>
    </row>
    <row r="5" spans="1:8" ht="14.25" customHeight="1" x14ac:dyDescent="0.2">
      <c r="A5" s="24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0"/>
      <c r="C5" s="2500"/>
      <c r="D5" s="2500"/>
      <c r="E5" s="2500"/>
      <c r="F5" s="2501"/>
      <c r="G5" s="853"/>
      <c r="H5" s="853"/>
    </row>
    <row r="6" spans="1:8" s="854" customFormat="1" ht="41.25" customHeight="1" x14ac:dyDescent="0.2">
      <c r="A6" s="2493" t="s">
        <v>1673</v>
      </c>
      <c r="B6" s="2494"/>
      <c r="C6" s="2494"/>
      <c r="D6" s="2494"/>
      <c r="E6" s="2494"/>
      <c r="F6" s="2495"/>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18252322</v>
      </c>
      <c r="C8" s="1813">
        <f>'Acct Summary 7-8'!D8</f>
        <v>0</v>
      </c>
      <c r="D8" s="1813">
        <f>'Acct Summary 7-8'!F8</f>
        <v>0</v>
      </c>
      <c r="E8" s="1813">
        <f>'Acct Summary 7-8'!I8</f>
        <v>0</v>
      </c>
      <c r="F8" s="1813">
        <f>SUM(B8:E8)</f>
        <v>18252322</v>
      </c>
    </row>
    <row r="9" spans="1:8" s="858" customFormat="1" ht="14.25" customHeight="1" thickBot="1" x14ac:dyDescent="0.25">
      <c r="A9" s="857" t="s">
        <v>1355</v>
      </c>
      <c r="B9" s="1814">
        <f>'Acct Summary 7-8'!C17</f>
        <v>17224128</v>
      </c>
      <c r="C9" s="1814">
        <f>'Acct Summary 7-8'!D17</f>
        <v>0</v>
      </c>
      <c r="D9" s="1814">
        <f>'Acct Summary 7-8'!F17</f>
        <v>0</v>
      </c>
      <c r="E9" s="1813"/>
      <c r="F9" s="1813">
        <f>SUM(B9:E9)</f>
        <v>17224128</v>
      </c>
    </row>
    <row r="10" spans="1:8" s="858" customFormat="1" ht="14.25" thickTop="1" thickBot="1" x14ac:dyDescent="0.25">
      <c r="A10" s="859" t="s">
        <v>1356</v>
      </c>
      <c r="B10" s="1815">
        <f>(B8-B9)</f>
        <v>1028194</v>
      </c>
      <c r="C10" s="1815">
        <f>(C8-C9)</f>
        <v>0</v>
      </c>
      <c r="D10" s="1815">
        <f>(D8-D9)</f>
        <v>0</v>
      </c>
      <c r="E10" s="1814">
        <f>(E8-E9)</f>
        <v>0</v>
      </c>
      <c r="F10" s="1816">
        <f>SUM(F8-F9)</f>
        <v>1028194</v>
      </c>
    </row>
    <row r="11" spans="1:8" s="858" customFormat="1" ht="14.25" thickTop="1" thickBot="1" x14ac:dyDescent="0.25">
      <c r="A11" s="860" t="s">
        <v>1903</v>
      </c>
      <c r="B11" s="1817">
        <f>'Acct Summary 7-8'!C81</f>
        <v>5042708</v>
      </c>
      <c r="C11" s="1817">
        <f>'Acct Summary 7-8'!D81</f>
        <v>0</v>
      </c>
      <c r="D11" s="1817">
        <f>'Acct Summary 7-8'!F81</f>
        <v>0</v>
      </c>
      <c r="E11" s="1817">
        <f>'Acct Summary 7-8'!I81</f>
        <v>0</v>
      </c>
      <c r="F11" s="1818">
        <f>SUM(B11:E11)</f>
        <v>5042708</v>
      </c>
    </row>
    <row r="12" spans="1:8" ht="16.5" customHeight="1" thickTop="1" x14ac:dyDescent="0.2">
      <c r="A12" s="861"/>
      <c r="B12" s="862"/>
      <c r="C12" s="2481" t="str">
        <f>IF(AND(F10&lt;0,F11&gt;=0,ABS(F10*3)&gt;ABS(F11)),A16,IF(AND(F10&lt;0,F11&gt;0,ABS(F10*3)&lt;=ABS(F11)),A17,IF(AND(F10&lt;0,F11&lt;0),A16,IF(F11=0,A19,A18))))</f>
        <v>Balanced - no deficit reduction plan is required.</v>
      </c>
      <c r="D12" s="2482"/>
      <c r="E12" s="2482"/>
      <c r="F12" s="2483"/>
    </row>
    <row r="13" spans="1:8" ht="19.5" customHeight="1" x14ac:dyDescent="0.2">
      <c r="A13" s="863"/>
      <c r="B13" s="864"/>
      <c r="C13" s="2481"/>
      <c r="D13" s="2482"/>
      <c r="E13" s="2482"/>
      <c r="F13" s="2483"/>
      <c r="H13" s="853"/>
    </row>
    <row r="14" spans="1:8" ht="19.5" customHeight="1" x14ac:dyDescent="0.2">
      <c r="A14" s="863"/>
      <c r="B14" s="864"/>
      <c r="C14" s="2481"/>
      <c r="D14" s="2482"/>
      <c r="E14" s="2482"/>
      <c r="F14" s="2483"/>
      <c r="H14" s="853"/>
    </row>
    <row r="15" spans="1:8" ht="17.25" customHeight="1" x14ac:dyDescent="0.2">
      <c r="A15" s="863"/>
      <c r="B15" s="864"/>
      <c r="C15" s="2484"/>
      <c r="D15" s="2485"/>
      <c r="E15" s="2485"/>
      <c r="F15" s="2486"/>
      <c r="H15" s="853"/>
    </row>
    <row r="16" spans="1:8" s="288" customFormat="1" ht="51.75" hidden="1" customHeight="1" x14ac:dyDescent="0.2">
      <c r="A16" s="2480" t="s">
        <v>1669</v>
      </c>
      <c r="B16" s="2480"/>
      <c r="C16" s="2480"/>
      <c r="D16" s="2480"/>
      <c r="E16" s="2480"/>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2" t="s">
        <v>660</v>
      </c>
      <c r="B3" s="2503"/>
      <c r="C3" s="2503"/>
      <c r="D3" s="2504"/>
    </row>
    <row r="4" spans="1:4" x14ac:dyDescent="0.2">
      <c r="A4" s="931" t="s">
        <v>1674</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3" t="s">
        <v>1490</v>
      </c>
      <c r="D7" s="2514"/>
    </row>
    <row r="8" spans="1:4" s="542" customFormat="1" ht="12.75" x14ac:dyDescent="0.2">
      <c r="A8" s="917"/>
      <c r="B8" s="872"/>
      <c r="C8" s="875" t="s">
        <v>1489</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5" t="s">
        <v>1001</v>
      </c>
      <c r="B15" s="2506"/>
      <c r="C15" s="2506"/>
      <c r="D15" s="2507"/>
    </row>
    <row r="16" spans="1:4" s="542" customFormat="1" ht="24" customHeight="1" x14ac:dyDescent="0.2">
      <c r="A16" s="2508" t="s">
        <v>658</v>
      </c>
      <c r="B16" s="2509"/>
      <c r="C16" s="2509"/>
      <c r="D16" s="2510"/>
    </row>
    <row r="17" spans="1:10" s="542" customFormat="1" ht="12.75" customHeight="1" x14ac:dyDescent="0.2">
      <c r="A17" s="935" t="s">
        <v>1675</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7" t="s">
        <v>311</v>
      </c>
      <c r="D21" s="2518"/>
    </row>
    <row r="22" spans="1:10" ht="12.75" x14ac:dyDescent="0.2">
      <c r="A22" s="918"/>
      <c r="B22" s="919">
        <v>2</v>
      </c>
      <c r="C22" s="2515" t="s">
        <v>1510</v>
      </c>
      <c r="D22" s="2516"/>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9" t="s">
        <v>533</v>
      </c>
      <c r="D43" s="2520"/>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1" t="s">
        <v>779</v>
      </c>
      <c r="D56" s="2512"/>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1" t="s">
        <v>1677</v>
      </c>
      <c r="D70" s="2512"/>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39055061061</v>
      </c>
      <c r="E2" s="1542">
        <v>2020</v>
      </c>
      <c r="F2" s="1542">
        <v>1</v>
      </c>
      <c r="G2" s="1899">
        <v>101000300</v>
      </c>
    </row>
    <row r="3" spans="1:7" ht="15" x14ac:dyDescent="0.25">
      <c r="A3" t="s">
        <v>950</v>
      </c>
      <c r="B3" s="135" t="str">
        <f>COVER!A15</f>
        <v>Macon-Piatt</v>
      </c>
      <c r="E3" s="1830" t="s">
        <v>1971</v>
      </c>
      <c r="F3" s="1830" t="s">
        <v>1970</v>
      </c>
      <c r="G3" s="1899">
        <v>101000400</v>
      </c>
    </row>
    <row r="4" spans="1:7" ht="15" x14ac:dyDescent="0.25">
      <c r="A4" t="s">
        <v>1000</v>
      </c>
      <c r="B4" s="135" t="str">
        <f>COVER!A17</f>
        <v xml:space="preserve"> Macon Piatt Special Education</v>
      </c>
      <c r="E4" s="1828">
        <v>44119</v>
      </c>
      <c r="F4" s="1829">
        <v>44151</v>
      </c>
      <c r="G4" s="1899">
        <v>101000600</v>
      </c>
    </row>
    <row r="5" spans="1:7" ht="15" x14ac:dyDescent="0.25">
      <c r="A5" t="s">
        <v>699</v>
      </c>
      <c r="B5" s="135" t="str">
        <f>COVER!A38</f>
        <v>Dr. Paul Fregeau</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1529</v>
      </c>
      <c r="B12" s="135" t="str">
        <f>IF(COVER!J29="x","Yes",IF(COVER!L29="X","No",0))</f>
        <v>No</v>
      </c>
      <c r="G12" s="1899">
        <v>202100600</v>
      </c>
    </row>
    <row r="13" spans="1:7" ht="15" x14ac:dyDescent="0.25">
      <c r="A13" s="1" t="s">
        <v>1530</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066-003844</v>
      </c>
      <c r="G15" s="1899">
        <v>402100400</v>
      </c>
    </row>
    <row r="16" spans="1:7" ht="15" x14ac:dyDescent="0.25">
      <c r="A16" t="s">
        <v>419</v>
      </c>
      <c r="B16" s="135" t="str">
        <f>COVER!T13</f>
        <v>BKD, LLP</v>
      </c>
      <c r="G16" s="1899">
        <v>402100600</v>
      </c>
    </row>
    <row r="17" spans="1:7" ht="15" x14ac:dyDescent="0.25">
      <c r="A17" t="s">
        <v>878</v>
      </c>
      <c r="B17" s="135" t="str">
        <f>COVER!T15</f>
        <v>Heather Powell</v>
      </c>
      <c r="G17" s="1899">
        <v>402100800</v>
      </c>
    </row>
    <row r="18" spans="1:7" ht="15" x14ac:dyDescent="0.25">
      <c r="A18" t="s">
        <v>1142</v>
      </c>
      <c r="B18" s="135" t="str">
        <f>COVER!T17</f>
        <v>225 N Water Street</v>
      </c>
      <c r="G18" s="1899">
        <v>102200300</v>
      </c>
    </row>
    <row r="19" spans="1:7" ht="15" x14ac:dyDescent="0.25">
      <c r="A19" t="s">
        <v>880</v>
      </c>
      <c r="B19" s="135" t="str">
        <f>COVER!T25</f>
        <v>hpowell@bkd.com</v>
      </c>
      <c r="G19" s="1899">
        <v>102200400</v>
      </c>
    </row>
    <row r="20" spans="1:7" ht="15" x14ac:dyDescent="0.25">
      <c r="A20" t="s">
        <v>881</v>
      </c>
      <c r="B20" s="135" t="str">
        <f>COVER!T19</f>
        <v>Decatur</v>
      </c>
      <c r="G20" s="1899">
        <v>102200600</v>
      </c>
    </row>
    <row r="21" spans="1:7" ht="15" x14ac:dyDescent="0.25">
      <c r="A21" t="s">
        <v>476</v>
      </c>
      <c r="B21" s="135" t="str">
        <f>COVER!X19</f>
        <v>IL</v>
      </c>
      <c r="G21" s="1899">
        <v>102200800</v>
      </c>
    </row>
    <row r="22" spans="1:7" ht="15" x14ac:dyDescent="0.25">
      <c r="A22" t="s">
        <v>882</v>
      </c>
      <c r="B22" s="135">
        <f>COVER!Z19</f>
        <v>62523</v>
      </c>
      <c r="G22" s="1899">
        <v>102300300</v>
      </c>
    </row>
    <row r="23" spans="1:7" ht="15" x14ac:dyDescent="0.25">
      <c r="A23" t="s">
        <v>1144</v>
      </c>
      <c r="B23" s="135" t="str">
        <f>COVER!T21</f>
        <v>317-429-2411</v>
      </c>
      <c r="G23" s="1899">
        <v>102300400</v>
      </c>
    </row>
    <row r="24" spans="1:7" ht="15" x14ac:dyDescent="0.25">
      <c r="A24" t="s">
        <v>1143</v>
      </c>
      <c r="B24" s="135">
        <f>COVER!Y21</f>
        <v>0</v>
      </c>
      <c r="G24" s="1899">
        <v>102300600</v>
      </c>
    </row>
    <row r="25" spans="1:7" ht="15" x14ac:dyDescent="0.25">
      <c r="A25" t="s">
        <v>756</v>
      </c>
      <c r="B25" s="135">
        <f>COVER!B34</f>
        <v>0</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0</v>
      </c>
      <c r="G49" s="1899">
        <v>102540800</v>
      </c>
    </row>
    <row r="50" spans="1:7" ht="15" x14ac:dyDescent="0.25">
      <c r="A50" s="1" t="s">
        <v>1466</v>
      </c>
      <c r="B50" s="146">
        <f>'Aud Quest 2'!H53</f>
        <v>0</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5042288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5042708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4491151</v>
      </c>
      <c r="D92" s="2" t="str">
        <f t="shared" si="0"/>
        <v>Error?</v>
      </c>
      <c r="G92" s="1899">
        <v>102640600</v>
      </c>
    </row>
    <row r="93" spans="1:7" ht="15" x14ac:dyDescent="0.25">
      <c r="A93" s="5">
        <v>32</v>
      </c>
      <c r="B93" s="1832">
        <f>'Assets-Liab 5-6'!C41</f>
        <v>5042708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43068</v>
      </c>
      <c r="D274" s="2" t="str">
        <f t="shared" si="3"/>
        <v>Error?</v>
      </c>
    </row>
    <row r="275" spans="1:4" x14ac:dyDescent="0.2">
      <c r="A275" s="5">
        <v>214</v>
      </c>
      <c r="B275" s="1832">
        <f>'Assets-Liab 5-6'!M18</f>
        <v>0</v>
      </c>
      <c r="D275" s="2" t="str">
        <f t="shared" si="3"/>
        <v>Error?</v>
      </c>
    </row>
    <row r="276" spans="1:4" x14ac:dyDescent="0.2">
      <c r="A276" s="5">
        <v>215</v>
      </c>
      <c r="B276" s="1832">
        <f>'Assets-Liab 5-6'!M19</f>
        <v>2332071</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2375139</v>
      </c>
      <c r="C279" s="2" t="s">
        <v>569</v>
      </c>
      <c r="D279" s="2" t="str">
        <f t="shared" si="3"/>
        <v>Error?</v>
      </c>
    </row>
    <row r="280" spans="1:4" x14ac:dyDescent="0.2">
      <c r="A280" s="5">
        <v>219</v>
      </c>
      <c r="B280" s="1832">
        <f>'Assets-Liab 5-6'!M40</f>
        <v>2375139</v>
      </c>
      <c r="D280" s="2" t="str">
        <f t="shared" si="3"/>
        <v>Error?</v>
      </c>
    </row>
    <row r="281" spans="1:4" x14ac:dyDescent="0.2">
      <c r="A281" s="5">
        <v>220</v>
      </c>
      <c r="B281" s="1832">
        <f>'Assets-Liab 5-6'!M41</f>
        <v>2375139</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12639</v>
      </c>
      <c r="D719" s="2" t="str">
        <f t="shared" si="10"/>
        <v>Error?</v>
      </c>
    </row>
    <row r="720" spans="1:4" x14ac:dyDescent="0.2">
      <c r="A720" s="5">
        <v>659</v>
      </c>
      <c r="B720" s="1832">
        <f>'Expenditures 15-22'!C33</f>
        <v>7476978</v>
      </c>
      <c r="C720" s="2" t="s">
        <v>569</v>
      </c>
      <c r="D720" s="2" t="str">
        <f t="shared" si="10"/>
        <v>Error?</v>
      </c>
    </row>
    <row r="721" spans="1:4" x14ac:dyDescent="0.2">
      <c r="A721" s="5">
        <v>660</v>
      </c>
      <c r="B721" s="1832">
        <f>'Expenditures 15-22'!C36</f>
        <v>352157</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768033</v>
      </c>
      <c r="D723" s="2" t="str">
        <f t="shared" si="10"/>
        <v>Error?</v>
      </c>
    </row>
    <row r="724" spans="1:4" x14ac:dyDescent="0.2">
      <c r="A724" s="5">
        <v>663</v>
      </c>
      <c r="B724" s="1832">
        <f>'Expenditures 15-22'!C39</f>
        <v>511035</v>
      </c>
      <c r="D724" s="2" t="str">
        <f t="shared" si="10"/>
        <v>Error?</v>
      </c>
    </row>
    <row r="725" spans="1:4" x14ac:dyDescent="0.2">
      <c r="A725" s="5">
        <v>664</v>
      </c>
      <c r="B725" s="1832">
        <f>'Expenditures 15-22'!C40</f>
        <v>73047</v>
      </c>
      <c r="D725" s="2" t="str">
        <f t="shared" si="10"/>
        <v>Error?</v>
      </c>
    </row>
    <row r="726" spans="1:4" x14ac:dyDescent="0.2">
      <c r="A726" s="5">
        <v>665</v>
      </c>
      <c r="B726" s="1832">
        <f>'Expenditures 15-22'!C41</f>
        <v>77998</v>
      </c>
      <c r="D726" s="2" t="str">
        <f t="shared" si="10"/>
        <v>Error?</v>
      </c>
    </row>
    <row r="727" spans="1:4" x14ac:dyDescent="0.2">
      <c r="A727" s="5">
        <v>666</v>
      </c>
      <c r="B727" s="1832">
        <f>'Expenditures 15-22'!C42</f>
        <v>1782270</v>
      </c>
      <c r="C727" s="2" t="s">
        <v>569</v>
      </c>
      <c r="D727" s="2" t="str">
        <f t="shared" si="10"/>
        <v>Error?</v>
      </c>
    </row>
    <row r="728" spans="1:4" x14ac:dyDescent="0.2">
      <c r="A728" s="5">
        <v>667</v>
      </c>
      <c r="B728" s="1832">
        <f>'Expenditures 15-22'!C44</f>
        <v>207605</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207605</v>
      </c>
      <c r="C731" s="2" t="s">
        <v>569</v>
      </c>
      <c r="D731" s="2" t="str">
        <f t="shared" si="10"/>
        <v>Error?</v>
      </c>
    </row>
    <row r="732" spans="1:4" x14ac:dyDescent="0.2">
      <c r="A732" s="5">
        <v>671</v>
      </c>
      <c r="B732" s="1832">
        <f>'Expenditures 15-22'!C49</f>
        <v>301040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1327162</v>
      </c>
      <c r="C734" s="2" t="s">
        <v>569</v>
      </c>
      <c r="D734" s="2" t="str">
        <f t="shared" si="10"/>
        <v>Error?</v>
      </c>
    </row>
    <row r="735" spans="1:4" x14ac:dyDescent="0.2">
      <c r="A735" s="5">
        <v>674</v>
      </c>
      <c r="B735" s="1832">
        <f>'Expenditures 15-22'!C55</f>
        <v>96851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96851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12486</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12486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58762</v>
      </c>
      <c r="D751" s="2" t="str">
        <f t="shared" si="10"/>
        <v>Error?</v>
      </c>
    </row>
    <row r="752" spans="1:4" x14ac:dyDescent="0.2">
      <c r="A752" s="10">
        <v>691</v>
      </c>
      <c r="B752" s="1832"/>
      <c r="D752" s="2" t="str">
        <f t="shared" si="10"/>
        <v>OK</v>
      </c>
    </row>
    <row r="753" spans="1:4" x14ac:dyDescent="0.2">
      <c r="A753" s="5">
        <v>692</v>
      </c>
      <c r="B753" s="1832">
        <f>'Expenditures 15-22'!C72</f>
        <v>58762</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3485136</v>
      </c>
      <c r="C755" s="2" t="s">
        <v>569</v>
      </c>
      <c r="D755" s="2" t="str">
        <f t="shared" si="10"/>
        <v>Error?</v>
      </c>
    </row>
    <row r="756" spans="1:4" x14ac:dyDescent="0.2">
      <c r="A756" s="5">
        <v>695</v>
      </c>
      <c r="B756" s="1832">
        <f>'Expenditures 15-22'!C75</f>
        <v>104881</v>
      </c>
      <c r="D756" s="2" t="str">
        <f t="shared" si="10"/>
        <v>Error?</v>
      </c>
    </row>
    <row r="757" spans="1:4" x14ac:dyDescent="0.2">
      <c r="A757" s="5">
        <v>696</v>
      </c>
      <c r="B757" s="1832">
        <f>'Expenditures 15-22'!C114</f>
        <v>11066995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369</v>
      </c>
      <c r="D777" s="2" t="str">
        <f t="shared" si="11"/>
        <v>Error?</v>
      </c>
    </row>
    <row r="778" spans="1:4" x14ac:dyDescent="0.2">
      <c r="A778" s="5">
        <v>717</v>
      </c>
      <c r="B778" s="1832">
        <f>'Expenditures 15-22'!D33</f>
        <v>3090926</v>
      </c>
      <c r="C778" s="2" t="s">
        <v>569</v>
      </c>
      <c r="D778" s="2" t="str">
        <f t="shared" si="11"/>
        <v>Error?</v>
      </c>
    </row>
    <row r="779" spans="1:4" x14ac:dyDescent="0.2">
      <c r="A779" s="5">
        <v>718</v>
      </c>
      <c r="B779" s="1832">
        <f>'Expenditures 15-22'!D36</f>
        <v>111633</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343168</v>
      </c>
      <c r="D781" s="2" t="str">
        <f t="shared" si="11"/>
        <v>Error?</v>
      </c>
    </row>
    <row r="782" spans="1:4" x14ac:dyDescent="0.2">
      <c r="A782" s="5">
        <v>721</v>
      </c>
      <c r="B782" s="1832">
        <f>'Expenditures 15-22'!D39</f>
        <v>144457</v>
      </c>
      <c r="D782" s="2" t="str">
        <f t="shared" si="11"/>
        <v>Error?</v>
      </c>
    </row>
    <row r="783" spans="1:4" x14ac:dyDescent="0.2">
      <c r="A783" s="5">
        <v>722</v>
      </c>
      <c r="B783" s="1832">
        <f>'Expenditures 15-22'!D40</f>
        <v>14071</v>
      </c>
      <c r="D783" s="2" t="str">
        <f t="shared" si="11"/>
        <v>Error?</v>
      </c>
    </row>
    <row r="784" spans="1:4" x14ac:dyDescent="0.2">
      <c r="A784" s="5">
        <v>723</v>
      </c>
      <c r="B784" s="1832">
        <f>'Expenditures 15-22'!D41</f>
        <v>10934</v>
      </c>
      <c r="D784" s="2" t="str">
        <f t="shared" si="11"/>
        <v>Error?</v>
      </c>
    </row>
    <row r="785" spans="1:4" x14ac:dyDescent="0.2">
      <c r="A785" s="5">
        <v>724</v>
      </c>
      <c r="B785" s="1832">
        <f>'Expenditures 15-22'!D42</f>
        <v>624263</v>
      </c>
      <c r="C785" s="2" t="s">
        <v>569</v>
      </c>
      <c r="D785" s="2" t="str">
        <f t="shared" si="11"/>
        <v>Error?</v>
      </c>
    </row>
    <row r="786" spans="1:4" x14ac:dyDescent="0.2">
      <c r="A786" s="5">
        <v>725</v>
      </c>
      <c r="B786" s="1832">
        <f>'Expenditures 15-22'!D44</f>
        <v>72562</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72562</v>
      </c>
      <c r="C789" s="2" t="s">
        <v>569</v>
      </c>
      <c r="D789" s="2" t="str">
        <f t="shared" si="11"/>
        <v>Error?</v>
      </c>
    </row>
    <row r="790" spans="1:4" x14ac:dyDescent="0.2">
      <c r="A790" s="5">
        <v>729</v>
      </c>
      <c r="B790" s="1832">
        <f>'Expenditures 15-22'!D49</f>
        <v>119245</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441285</v>
      </c>
      <c r="C792" s="2" t="s">
        <v>569</v>
      </c>
      <c r="D792" s="2" t="str">
        <f t="shared" si="11"/>
        <v>Error?</v>
      </c>
    </row>
    <row r="793" spans="1:4" x14ac:dyDescent="0.2">
      <c r="A793" s="5">
        <v>732</v>
      </c>
      <c r="B793" s="1832">
        <f>'Expenditures 15-22'!D55</f>
        <v>12117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12117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4231</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4231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18319</v>
      </c>
      <c r="D809" s="2" t="str">
        <f t="shared" si="11"/>
        <v>Error?</v>
      </c>
    </row>
    <row r="810" spans="1:4" x14ac:dyDescent="0.2">
      <c r="A810" s="10">
        <v>749</v>
      </c>
      <c r="B810" s="1832"/>
      <c r="D810" s="2" t="str">
        <f t="shared" si="11"/>
        <v>OK</v>
      </c>
    </row>
    <row r="811" spans="1:4" x14ac:dyDescent="0.2">
      <c r="A811" s="5">
        <v>750</v>
      </c>
      <c r="B811" s="1832">
        <f>'Expenditures 15-22'!D72</f>
        <v>18319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1172777</v>
      </c>
      <c r="C813" s="2" t="s">
        <v>569</v>
      </c>
      <c r="D813" s="2" t="str">
        <f t="shared" si="11"/>
        <v>Error?</v>
      </c>
    </row>
    <row r="814" spans="1:4" x14ac:dyDescent="0.2">
      <c r="A814" s="5">
        <v>753</v>
      </c>
      <c r="B814" s="1832">
        <f>'Expenditures 15-22'!D75</f>
        <v>22789</v>
      </c>
      <c r="D814" s="2" t="str">
        <f t="shared" si="11"/>
        <v>Error?</v>
      </c>
    </row>
    <row r="815" spans="1:4" x14ac:dyDescent="0.2">
      <c r="A815" s="5">
        <v>754</v>
      </c>
      <c r="B815" s="1832">
        <f>'Expenditures 15-22'!D114</f>
        <v>4286492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66466</v>
      </c>
      <c r="C836" s="2" t="s">
        <v>569</v>
      </c>
      <c r="D836" s="2" t="str">
        <f t="shared" si="12"/>
        <v>Error?</v>
      </c>
    </row>
    <row r="837" spans="1:4" x14ac:dyDescent="0.2">
      <c r="A837" s="5">
        <v>776</v>
      </c>
      <c r="B837" s="1832">
        <f>'Expenditures 15-22'!E36</f>
        <v>834</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8579</v>
      </c>
      <c r="D839" s="2" t="str">
        <f t="shared" si="12"/>
        <v>Error?</v>
      </c>
    </row>
    <row r="840" spans="1:4" x14ac:dyDescent="0.2">
      <c r="A840" s="5">
        <v>779</v>
      </c>
      <c r="B840" s="1832">
        <f>'Expenditures 15-22'!E39</f>
        <v>6487</v>
      </c>
      <c r="D840" s="2" t="str">
        <f t="shared" si="12"/>
        <v>Error?</v>
      </c>
    </row>
    <row r="841" spans="1:4" x14ac:dyDescent="0.2">
      <c r="A841" s="5">
        <v>780</v>
      </c>
      <c r="B841" s="1832">
        <f>'Expenditures 15-22'!E40</f>
        <v>4178</v>
      </c>
      <c r="D841" s="2" t="str">
        <f t="shared" si="12"/>
        <v>Error?</v>
      </c>
    </row>
    <row r="842" spans="1:4" x14ac:dyDescent="0.2">
      <c r="A842" s="5">
        <v>781</v>
      </c>
      <c r="B842" s="1832">
        <f>'Expenditures 15-22'!E41</f>
        <v>299</v>
      </c>
      <c r="D842" s="2" t="str">
        <f t="shared" si="12"/>
        <v>Error?</v>
      </c>
    </row>
    <row r="843" spans="1:4" x14ac:dyDescent="0.2">
      <c r="A843" s="5">
        <v>782</v>
      </c>
      <c r="B843" s="1832">
        <f>'Expenditures 15-22'!E42</f>
        <v>20377</v>
      </c>
      <c r="C843" s="2" t="s">
        <v>569</v>
      </c>
      <c r="D843" s="2" t="str">
        <f t="shared" si="12"/>
        <v>Error?</v>
      </c>
    </row>
    <row r="844" spans="1:4" x14ac:dyDescent="0.2">
      <c r="A844" s="5">
        <v>783</v>
      </c>
      <c r="B844" s="1832">
        <f>'Expenditures 15-22'!E44</f>
        <v>40406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40406</v>
      </c>
      <c r="C847" s="2" t="s">
        <v>569</v>
      </c>
      <c r="D847" s="2" t="str">
        <f t="shared" si="12"/>
        <v>Error?</v>
      </c>
    </row>
    <row r="848" spans="1:4" x14ac:dyDescent="0.2">
      <c r="A848" s="5">
        <v>787</v>
      </c>
      <c r="B848" s="1832">
        <f>'Expenditures 15-22'!E49</f>
        <v>82005</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221125</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180289</v>
      </c>
      <c r="D855" s="2" t="str">
        <f t="shared" si="12"/>
        <v>Error?</v>
      </c>
    </row>
    <row r="856" spans="1:4" x14ac:dyDescent="0.2">
      <c r="A856" s="5">
        <v>795</v>
      </c>
      <c r="B856" s="1832">
        <f>'Expenditures 15-22'!E61</f>
        <v>324396</v>
      </c>
      <c r="D856" s="2" t="str">
        <f t="shared" si="12"/>
        <v>Error?</v>
      </c>
    </row>
    <row r="857" spans="1:4" x14ac:dyDescent="0.2">
      <c r="A857" s="5">
        <v>796</v>
      </c>
      <c r="B857" s="1832">
        <f>'Expenditures 15-22'!E62</f>
        <v>4846</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509531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349</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1650</v>
      </c>
      <c r="D867" s="2" t="str">
        <f t="shared" si="12"/>
        <v>Error?</v>
      </c>
    </row>
    <row r="868" spans="1:4" x14ac:dyDescent="0.2">
      <c r="A868" s="10">
        <v>807</v>
      </c>
      <c r="B868" s="1832"/>
      <c r="D868" s="2" t="str">
        <f t="shared" si="12"/>
        <v>OK</v>
      </c>
    </row>
    <row r="869" spans="1:4" x14ac:dyDescent="0.2">
      <c r="A869" s="5">
        <v>808</v>
      </c>
      <c r="B869" s="1832">
        <f>'Expenditures 15-22'!E72</f>
        <v>1999</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793438</v>
      </c>
      <c r="C871" s="2" t="s">
        <v>569</v>
      </c>
      <c r="D871" s="2" t="str">
        <f t="shared" si="12"/>
        <v>Error?</v>
      </c>
    </row>
    <row r="872" spans="1:4" x14ac:dyDescent="0.2">
      <c r="A872" s="5">
        <v>811</v>
      </c>
      <c r="B872" s="1832">
        <f>'Expenditures 15-22'!E75</f>
        <v>732</v>
      </c>
      <c r="D872" s="2" t="str">
        <f t="shared" si="12"/>
        <v>Error?</v>
      </c>
    </row>
    <row r="873" spans="1:4" x14ac:dyDescent="0.2">
      <c r="A873" s="5">
        <v>812</v>
      </c>
      <c r="B873" s="1832">
        <f>'Expenditures 15-22'!E114</f>
        <v>905713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43045</v>
      </c>
      <c r="C894" s="2" t="s">
        <v>569</v>
      </c>
      <c r="D894" s="2" t="str">
        <f t="shared" si="12"/>
        <v>Error?</v>
      </c>
    </row>
    <row r="895" spans="1:4" x14ac:dyDescent="0.2">
      <c r="A895" s="5">
        <v>834</v>
      </c>
      <c r="B895" s="1832">
        <f>'Expenditures 15-22'!F36</f>
        <v>6049</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1793</v>
      </c>
      <c r="D897" s="2" t="str">
        <f t="shared" si="13"/>
        <v>Error?</v>
      </c>
    </row>
    <row r="898" spans="1:4" x14ac:dyDescent="0.2">
      <c r="A898" s="5">
        <v>837</v>
      </c>
      <c r="B898" s="1832">
        <f>'Expenditures 15-22'!F39</f>
        <v>11164</v>
      </c>
      <c r="D898" s="2" t="str">
        <f t="shared" si="13"/>
        <v>Error?</v>
      </c>
    </row>
    <row r="899" spans="1:4" x14ac:dyDescent="0.2">
      <c r="A899" s="5">
        <v>838</v>
      </c>
      <c r="B899" s="1832">
        <f>'Expenditures 15-22'!F40</f>
        <v>5129</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24135</v>
      </c>
      <c r="C901" s="2" t="s">
        <v>569</v>
      </c>
      <c r="D901" s="2" t="str">
        <f t="shared" si="13"/>
        <v>Error?</v>
      </c>
    </row>
    <row r="902" spans="1:4" x14ac:dyDescent="0.2">
      <c r="A902" s="5">
        <v>841</v>
      </c>
      <c r="B902" s="1832">
        <f>'Expenditures 15-22'!F44</f>
        <v>1422</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1422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2922</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13872</v>
      </c>
      <c r="D914" s="2" t="str">
        <f t="shared" si="13"/>
        <v>Error?</v>
      </c>
    </row>
    <row r="915" spans="1:4" x14ac:dyDescent="0.2">
      <c r="A915" s="5">
        <v>854</v>
      </c>
      <c r="B915" s="1832">
        <f>'Expenditures 15-22'!F62</f>
        <v>1509</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15381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7899</v>
      </c>
      <c r="D925" s="2" t="str">
        <f t="shared" si="13"/>
        <v>Error?</v>
      </c>
    </row>
    <row r="926" spans="1:4" x14ac:dyDescent="0.2">
      <c r="A926" s="10">
        <v>865</v>
      </c>
      <c r="B926" s="1832"/>
      <c r="D926" s="2" t="str">
        <f t="shared" si="13"/>
        <v>OK</v>
      </c>
    </row>
    <row r="927" spans="1:4" x14ac:dyDescent="0.2">
      <c r="A927" s="5">
        <v>866</v>
      </c>
      <c r="B927" s="1832">
        <f>'Expenditures 15-22'!F72</f>
        <v>7899</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51759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94804</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10540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10540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10540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10540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766964</v>
      </c>
      <c r="C1010" s="2" t="s">
        <v>569</v>
      </c>
      <c r="D1010" s="2" t="str">
        <f t="shared" si="14"/>
        <v>Error?</v>
      </c>
    </row>
    <row r="1011" spans="1:4" x14ac:dyDescent="0.2">
      <c r="A1011" s="5">
        <v>950</v>
      </c>
      <c r="B1011" s="1832">
        <f>'Expenditures 15-22'!H36</f>
        <v>40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505</v>
      </c>
      <c r="D1013" s="2" t="str">
        <f t="shared" si="14"/>
        <v>Error?</v>
      </c>
    </row>
    <row r="1014" spans="1:4" x14ac:dyDescent="0.2">
      <c r="A1014" s="5">
        <v>953</v>
      </c>
      <c r="B1014" s="1832">
        <f>'Expenditures 15-22'!H39</f>
        <v>125</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670</v>
      </c>
      <c r="C1017" s="2" t="s">
        <v>569</v>
      </c>
      <c r="D1017" s="2" t="str">
        <f t="shared" si="14"/>
        <v>Error?</v>
      </c>
    </row>
    <row r="1018" spans="1:4" x14ac:dyDescent="0.2">
      <c r="A1018" s="5">
        <v>957</v>
      </c>
      <c r="B1018" s="1832">
        <f>'Expenditures 15-22'!H44</f>
        <v>450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450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6063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7183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72364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846511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13008</v>
      </c>
      <c r="C1107" s="2" t="s">
        <v>569</v>
      </c>
      <c r="D1107" s="2" t="str">
        <f t="shared" si="16"/>
        <v>Error?</v>
      </c>
    </row>
    <row r="1108" spans="1:4" x14ac:dyDescent="0.2">
      <c r="A1108" s="5">
        <v>1047</v>
      </c>
      <c r="B1108" s="1832">
        <f>'Expenditures 15-22'!K33</f>
        <v>11450193</v>
      </c>
      <c r="C1108" s="2" t="s">
        <v>569</v>
      </c>
      <c r="D1108" s="2" t="str">
        <f t="shared" si="16"/>
        <v>Error?</v>
      </c>
    </row>
    <row r="1109" spans="1:4" x14ac:dyDescent="0.2">
      <c r="A1109" s="5">
        <v>1048</v>
      </c>
      <c r="B1109" s="1832">
        <f>'Expenditures 15-22'!K36</f>
        <v>470713</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1123736</v>
      </c>
      <c r="C1111" s="2" t="s">
        <v>569</v>
      </c>
      <c r="D1111" s="2" t="str">
        <f t="shared" si="16"/>
        <v>Error?</v>
      </c>
    </row>
    <row r="1112" spans="1:4" x14ac:dyDescent="0.2">
      <c r="A1112" s="5">
        <v>1051</v>
      </c>
      <c r="B1112" s="1832">
        <f>'Expenditures 15-22'!K39</f>
        <v>675775</v>
      </c>
      <c r="C1112" s="2" t="s">
        <v>569</v>
      </c>
      <c r="D1112" s="2" t="str">
        <f t="shared" si="16"/>
        <v>Error?</v>
      </c>
    </row>
    <row r="1113" spans="1:4" x14ac:dyDescent="0.2">
      <c r="A1113" s="5">
        <v>1052</v>
      </c>
      <c r="B1113" s="1832">
        <f>'Expenditures 15-22'!K40</f>
        <v>109963</v>
      </c>
      <c r="C1113" s="2" t="s">
        <v>569</v>
      </c>
      <c r="D1113" s="2" t="str">
        <f t="shared" si="16"/>
        <v>Error?</v>
      </c>
    </row>
    <row r="1114" spans="1:4" x14ac:dyDescent="0.2">
      <c r="A1114" s="5">
        <v>1053</v>
      </c>
      <c r="B1114" s="1832">
        <f>'Expenditures 15-22'!K41</f>
        <v>89231</v>
      </c>
      <c r="C1114" s="2" t="s">
        <v>569</v>
      </c>
      <c r="D1114" s="2" t="str">
        <f t="shared" si="16"/>
        <v>Error?</v>
      </c>
    </row>
    <row r="1115" spans="1:4" x14ac:dyDescent="0.2">
      <c r="A1115" s="5">
        <v>1054</v>
      </c>
      <c r="B1115" s="1832">
        <f>'Expenditures 15-22'!K42</f>
        <v>2469418</v>
      </c>
      <c r="C1115" s="2" t="s">
        <v>569</v>
      </c>
      <c r="D1115" s="2" t="str">
        <f t="shared" si="16"/>
        <v>Error?</v>
      </c>
    </row>
    <row r="1116" spans="1:4" x14ac:dyDescent="0.2">
      <c r="A1116" s="5">
        <v>1055</v>
      </c>
      <c r="B1116" s="1832">
        <f>'Expenditures 15-22'!K44</f>
        <v>322445</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322445</v>
      </c>
      <c r="C1119" s="2" t="s">
        <v>569</v>
      </c>
      <c r="D1119" s="2" t="str">
        <f t="shared" si="16"/>
        <v>Error?</v>
      </c>
    </row>
    <row r="1120" spans="1:4" x14ac:dyDescent="0.2">
      <c r="A1120" s="5">
        <v>1059</v>
      </c>
      <c r="B1120" s="1832">
        <f>'Expenditures 15-22'!K49</f>
        <v>502290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1998653</v>
      </c>
      <c r="C1122" s="2" t="s">
        <v>569</v>
      </c>
      <c r="D1122" s="2" t="str">
        <f t="shared" si="16"/>
        <v>Error?</v>
      </c>
    </row>
    <row r="1123" spans="1:4" x14ac:dyDescent="0.2">
      <c r="A1123" s="5">
        <v>1062</v>
      </c>
      <c r="B1123" s="1832">
        <f>'Expenditures 15-22'!K55</f>
        <v>108968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108968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180289</v>
      </c>
      <c r="C1127" s="2" t="s">
        <v>569</v>
      </c>
      <c r="D1127" s="2" t="str">
        <f t="shared" si="16"/>
        <v>Error?</v>
      </c>
    </row>
    <row r="1128" spans="1:4" x14ac:dyDescent="0.2">
      <c r="A1128" s="5">
        <v>1067</v>
      </c>
      <c r="B1128" s="1832">
        <f>'Expenditures 15-22'!K61</f>
        <v>354985</v>
      </c>
      <c r="C1128" s="2" t="s">
        <v>569</v>
      </c>
      <c r="D1128" s="2" t="str">
        <f t="shared" si="16"/>
        <v>Error?</v>
      </c>
    </row>
    <row r="1129" spans="1:4" x14ac:dyDescent="0.2">
      <c r="A1129" s="5">
        <v>1068</v>
      </c>
      <c r="B1129" s="1832">
        <f>'Expenditures 15-22'!K62</f>
        <v>6355</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541629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349</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86630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86979</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5528092</v>
      </c>
      <c r="C1143" s="2" t="s">
        <v>569</v>
      </c>
      <c r="D1143" s="2" t="str">
        <f t="shared" si="16"/>
        <v>Error?</v>
      </c>
    </row>
    <row r="1144" spans="1:4" x14ac:dyDescent="0.2">
      <c r="A1144" s="5">
        <v>1083</v>
      </c>
      <c r="B1144" s="1832">
        <f>'Expenditures 15-22'!K75</f>
        <v>128402</v>
      </c>
      <c r="C1144" s="2" t="s">
        <v>569</v>
      </c>
      <c r="D1144" s="2" t="str">
        <f t="shared" si="16"/>
        <v>Error?</v>
      </c>
    </row>
    <row r="1145" spans="1:4" x14ac:dyDescent="0.2">
      <c r="A1145" s="5">
        <v>1084</v>
      </c>
      <c r="B1145" s="1832">
        <f>'Expenditures 15-22'!K102</f>
        <v>117441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17224128</v>
      </c>
      <c r="C1152" s="2" t="s">
        <v>569</v>
      </c>
      <c r="D1152" s="2" t="str">
        <f t="shared" si="17"/>
        <v>Error?</v>
      </c>
    </row>
    <row r="1153" spans="1:4" x14ac:dyDescent="0.2">
      <c r="A1153" s="5">
        <v>1092</v>
      </c>
      <c r="B1153" s="1832">
        <f>'Expenditures 15-22'!K115</f>
        <v>1028194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4010874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5042708</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43068</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2115110</v>
      </c>
      <c r="D2011" s="2" t="str">
        <f t="shared" si="30"/>
        <v>Error?</v>
      </c>
    </row>
    <row r="2012" spans="1:4" x14ac:dyDescent="0.2">
      <c r="A2012" s="5">
        <v>1951</v>
      </c>
      <c r="B2012" s="1832">
        <f>'Cap Outlay Deprec 26'!C13</f>
        <v>216961</v>
      </c>
      <c r="D2012" s="2" t="str">
        <f t="shared" si="30"/>
        <v>Error?</v>
      </c>
    </row>
    <row r="2013" spans="1:4" x14ac:dyDescent="0.2">
      <c r="A2013" s="5">
        <v>1952</v>
      </c>
      <c r="B2013" s="1832">
        <f>'Cap Outlay Deprec 26'!C16</f>
        <v>2375139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43068</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2115110</v>
      </c>
      <c r="C2029" s="2" t="s">
        <v>569</v>
      </c>
      <c r="D2029" s="2" t="str">
        <f t="shared" si="30"/>
        <v>Error?</v>
      </c>
    </row>
    <row r="2030" spans="1:4" x14ac:dyDescent="0.2">
      <c r="A2030" s="5">
        <v>1969</v>
      </c>
      <c r="B2030" s="1832">
        <f>'Cap Outlay Deprec 26'!F13</f>
        <v>216961</v>
      </c>
      <c r="C2030" s="2" t="s">
        <v>569</v>
      </c>
      <c r="D2030" s="2" t="str">
        <f t="shared" si="30"/>
        <v>Error?</v>
      </c>
    </row>
    <row r="2031" spans="1:4" x14ac:dyDescent="0.2">
      <c r="A2031" s="5">
        <v>1970</v>
      </c>
      <c r="B2031" s="1832">
        <f>'Cap Outlay Deprec 26'!F16</f>
        <v>2375139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11193</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2115110</v>
      </c>
      <c r="D2035" s="2" t="str">
        <f t="shared" si="30"/>
        <v>Error?</v>
      </c>
    </row>
    <row r="2036" spans="1:4" x14ac:dyDescent="0.2">
      <c r="A2036" s="5">
        <v>1975</v>
      </c>
      <c r="B2036" s="1832">
        <f>'Cap Outlay Deprec 26'!H13</f>
        <v>202728</v>
      </c>
      <c r="D2036" s="2" t="str">
        <f t="shared" si="30"/>
        <v>Error?</v>
      </c>
    </row>
    <row r="2037" spans="1:4" x14ac:dyDescent="0.2">
      <c r="A2037" s="5">
        <v>1976</v>
      </c>
      <c r="B2037" s="1832">
        <f>'Cap Outlay Deprec 26'!H16</f>
        <v>2329031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861</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8580</v>
      </c>
      <c r="D2042" s="2" t="str">
        <f t="shared" si="30"/>
        <v>Error?</v>
      </c>
    </row>
    <row r="2043" spans="1:4" x14ac:dyDescent="0.2">
      <c r="A2043" s="5">
        <v>1982</v>
      </c>
      <c r="B2043" s="1832">
        <f>'Cap Outlay Deprec 26'!I16</f>
        <v>9441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12054</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2115110</v>
      </c>
      <c r="C2053" s="2" t="s">
        <v>569</v>
      </c>
      <c r="D2053" s="2" t="str">
        <f t="shared" si="31"/>
        <v>Error?</v>
      </c>
    </row>
    <row r="2054" spans="1:4" x14ac:dyDescent="0.2">
      <c r="A2054" s="5">
        <v>1993</v>
      </c>
      <c r="B2054" s="1832">
        <f>'Cap Outlay Deprec 26'!K13</f>
        <v>211308</v>
      </c>
      <c r="C2054" s="2" t="s">
        <v>569</v>
      </c>
      <c r="D2054" s="2" t="str">
        <f t="shared" si="31"/>
        <v>Error?</v>
      </c>
    </row>
    <row r="2055" spans="1:4" x14ac:dyDescent="0.2">
      <c r="A2055" s="5">
        <v>1994</v>
      </c>
      <c r="B2055" s="1832">
        <f>'Cap Outlay Deprec 26'!K16</f>
        <v>2338472</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31014</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5653</v>
      </c>
      <c r="C2060" s="2" t="s">
        <v>569</v>
      </c>
      <c r="D2060" s="2" t="str">
        <f t="shared" si="31"/>
        <v>Error?</v>
      </c>
    </row>
    <row r="2061" spans="1:4" x14ac:dyDescent="0.2">
      <c r="A2061" s="5">
        <v>2000</v>
      </c>
      <c r="B2061" s="1832">
        <f>'Cap Outlay Deprec 26'!L16</f>
        <v>36667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45077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551557</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15759359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1402401</v>
      </c>
      <c r="C2553" s="2" t="s">
        <v>569</v>
      </c>
      <c r="D2553" s="2" t="str">
        <f t="shared" si="38"/>
        <v>Error?</v>
      </c>
    </row>
    <row r="2554" spans="1:4" x14ac:dyDescent="0.2">
      <c r="A2554" s="5">
        <v>2493</v>
      </c>
      <c r="B2554" s="1832">
        <f>'Acct Summary 7-8'!C7</f>
        <v>1017748</v>
      </c>
      <c r="C2554" s="2" t="s">
        <v>569</v>
      </c>
      <c r="D2554" s="2" t="str">
        <f t="shared" si="38"/>
        <v>Error?</v>
      </c>
    </row>
    <row r="2555" spans="1:4" x14ac:dyDescent="0.2">
      <c r="A2555" s="5">
        <v>2494</v>
      </c>
      <c r="B2555" s="1832">
        <f>'Acct Summary 7-8'!C8</f>
        <v>18252322</v>
      </c>
      <c r="C2555" s="2" t="s">
        <v>569</v>
      </c>
      <c r="D2555" s="2" t="str">
        <f t="shared" si="38"/>
        <v>Error?</v>
      </c>
    </row>
    <row r="2556" spans="1:4" x14ac:dyDescent="0.2">
      <c r="A2556" s="5">
        <v>2495</v>
      </c>
      <c r="B2556" s="1832">
        <f>'Acct Summary 7-8'!C12</f>
        <v>11450193</v>
      </c>
      <c r="C2556" s="2" t="s">
        <v>569</v>
      </c>
      <c r="D2556" s="2" t="str">
        <f t="shared" si="38"/>
        <v>Error?</v>
      </c>
    </row>
    <row r="2557" spans="1:4" x14ac:dyDescent="0.2">
      <c r="A2557" s="5">
        <v>2496</v>
      </c>
      <c r="B2557" s="1832">
        <f>'Acct Summary 7-8'!C13</f>
        <v>5528092</v>
      </c>
      <c r="C2557" s="2" t="s">
        <v>569</v>
      </c>
      <c r="D2557" s="2" t="str">
        <f t="shared" si="38"/>
        <v>Error?</v>
      </c>
    </row>
    <row r="2558" spans="1:4" x14ac:dyDescent="0.2">
      <c r="A2558" s="5">
        <v>2497</v>
      </c>
      <c r="B2558" s="1832">
        <f>'Acct Summary 7-8'!C14</f>
        <v>128402</v>
      </c>
      <c r="C2558" s="2" t="s">
        <v>569</v>
      </c>
      <c r="D2558" s="2" t="str">
        <f t="shared" si="38"/>
        <v>Error?</v>
      </c>
    </row>
    <row r="2559" spans="1:4" x14ac:dyDescent="0.2">
      <c r="A2559" s="5">
        <v>2498</v>
      </c>
      <c r="B2559" s="1832">
        <f>'Acct Summary 7-8'!C15</f>
        <v>117441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17224128</v>
      </c>
      <c r="C2561" s="2" t="s">
        <v>569</v>
      </c>
      <c r="D2561" s="2" t="str">
        <f t="shared" si="39"/>
        <v>Error?</v>
      </c>
    </row>
    <row r="2562" spans="1:4" x14ac:dyDescent="0.2">
      <c r="A2562" s="5">
        <v>2501</v>
      </c>
      <c r="B2562" s="1832">
        <f>'Acct Summary 7-8'!C20</f>
        <v>1028194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1026122</v>
      </c>
      <c r="D2718" s="2" t="str">
        <f t="shared" si="41"/>
        <v>Error?</v>
      </c>
    </row>
    <row r="2719" spans="1:4" x14ac:dyDescent="0.2">
      <c r="A2719" s="5">
        <v>2658</v>
      </c>
      <c r="B2719" s="1832">
        <f>'Expenditures 15-22'!D51</f>
        <v>322040</v>
      </c>
      <c r="D2719" s="2" t="str">
        <f t="shared" si="41"/>
        <v>Error?</v>
      </c>
    </row>
    <row r="2720" spans="1:4" x14ac:dyDescent="0.2">
      <c r="A2720" s="5">
        <v>2659</v>
      </c>
      <c r="B2720" s="1832">
        <f>'Expenditures 15-22'!E51</f>
        <v>139120</v>
      </c>
      <c r="D2720" s="2" t="str">
        <f t="shared" si="41"/>
        <v>Error?</v>
      </c>
    </row>
    <row r="2721" spans="1:4" x14ac:dyDescent="0.2">
      <c r="A2721" s="5">
        <v>2660</v>
      </c>
      <c r="B2721" s="1832">
        <f>'Expenditures 15-22'!F51</f>
        <v>2922</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6063</v>
      </c>
      <c r="D2723" s="2" t="str">
        <f t="shared" si="41"/>
        <v>Error?</v>
      </c>
    </row>
    <row r="2724" spans="1:4" x14ac:dyDescent="0.2">
      <c r="A2724" s="5">
        <v>2663</v>
      </c>
      <c r="B2724" s="1832">
        <f>'Expenditures 15-22'!K51</f>
        <v>1496363</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45077</v>
      </c>
      <c r="C2789" s="2" t="s">
        <v>569</v>
      </c>
      <c r="D2789" s="2" t="str">
        <f t="shared" si="42"/>
        <v>Error?</v>
      </c>
    </row>
    <row r="2790" spans="1:4" x14ac:dyDescent="0.2">
      <c r="A2790" s="5">
        <v>2729</v>
      </c>
      <c r="B2790" s="1832">
        <f>'Expenditures 15-22'!E102</f>
        <v>45077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718</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843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843</v>
      </c>
      <c r="D2914" s="2" t="str">
        <f t="shared" si="44"/>
        <v>Error?</v>
      </c>
    </row>
    <row r="2915" spans="1:4" x14ac:dyDescent="0.2">
      <c r="A2915" s="10">
        <v>2854</v>
      </c>
      <c r="B2915" s="1832"/>
      <c r="D2915" s="2" t="str">
        <f t="shared" si="44"/>
        <v>OK</v>
      </c>
    </row>
    <row r="2916" spans="1:4" x14ac:dyDescent="0.2">
      <c r="A2916" s="5">
        <v>2855</v>
      </c>
      <c r="B2916" s="1832">
        <f>'Assets-Liab 5-6'!L34</f>
        <v>843</v>
      </c>
      <c r="C2916" s="2" t="s">
        <v>569</v>
      </c>
      <c r="D2916" s="2" t="str">
        <f t="shared" si="44"/>
        <v>Error?</v>
      </c>
    </row>
    <row r="2917" spans="1:4" x14ac:dyDescent="0.2">
      <c r="A2917" s="5">
        <v>2856</v>
      </c>
      <c r="B2917" s="1832">
        <f>'Assets-Liab 5-6'!L41</f>
        <v>843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45077</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45077</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3640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3640</v>
      </c>
      <c r="C3232" s="2" t="s">
        <v>569</v>
      </c>
      <c r="D3232" s="2" t="str">
        <f t="shared" si="49"/>
        <v>Error?</v>
      </c>
    </row>
    <row r="3233" spans="1:4" x14ac:dyDescent="0.2">
      <c r="A3233" s="5">
        <v>3172</v>
      </c>
      <c r="B3233" s="1832">
        <f>'Acct Summary 7-8'!C78</f>
        <v>1031834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7464339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3090557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66466</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43045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766964</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11437185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72814</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420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3640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936071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19188393</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936071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18160199</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5042708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100181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713052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132125</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15468377</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15468377</v>
      </c>
      <c r="C5087" s="2" t="s">
        <v>569</v>
      </c>
      <c r="D5087" s="2" t="str">
        <f t="shared" si="78"/>
        <v>Error?</v>
      </c>
    </row>
    <row r="5088" spans="1:4" x14ac:dyDescent="0.2">
      <c r="A5088" s="5">
        <v>5027</v>
      </c>
      <c r="B5088" s="1832">
        <f>'Revenues 9-14'!C65</f>
        <v>51431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51431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239551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239551</v>
      </c>
      <c r="C5120" s="2" t="s">
        <v>569</v>
      </c>
      <c r="D5120" s="2" t="str">
        <f t="shared" si="79"/>
        <v>Error?</v>
      </c>
    </row>
    <row r="5121" spans="1:4" x14ac:dyDescent="0.2">
      <c r="A5121" s="5">
        <v>5060</v>
      </c>
      <c r="B5121" s="1832">
        <f>'Revenues 9-14'!C109</f>
        <v>15759359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72814</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72814</v>
      </c>
      <c r="C5125" s="2" t="s">
        <v>569</v>
      </c>
      <c r="D5125" s="2" t="str">
        <f t="shared" si="79"/>
        <v>Error?</v>
      </c>
    </row>
    <row r="5126" spans="1:4" x14ac:dyDescent="0.2">
      <c r="A5126" s="5">
        <v>5065</v>
      </c>
      <c r="B5126" s="1832">
        <f>'Revenues 9-14'!C117</f>
        <v>1402401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1402401</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1402401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24870</v>
      </c>
      <c r="D5278" s="2" t="str">
        <f t="shared" si="81"/>
        <v>Error?</v>
      </c>
    </row>
    <row r="5279" spans="1:4" x14ac:dyDescent="0.2">
      <c r="A5279" s="5">
        <v>5218</v>
      </c>
      <c r="B5279" s="1832">
        <f>'Revenues 9-14'!C214</f>
        <v>47520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72390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1017748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1017748</v>
      </c>
      <c r="C5326" s="2" t="s">
        <v>569</v>
      </c>
      <c r="D5326" s="2" t="str">
        <f t="shared" si="82"/>
        <v>Error?</v>
      </c>
    </row>
    <row r="5327" spans="1:5" x14ac:dyDescent="0.2">
      <c r="A5327" s="5">
        <v>5266</v>
      </c>
      <c r="B5327" s="1832">
        <f>'Revenues 9-14'!C268</f>
        <v>18252322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1031834</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0.20461902612643842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5814</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5814</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1658</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2507</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2998</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7163</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96</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96</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7163</v>
      </c>
      <c r="D6977" s="2" t="str">
        <f t="shared" si="108"/>
        <v>Error?</v>
      </c>
    </row>
    <row r="6978" spans="1:4" x14ac:dyDescent="0.2">
      <c r="A6978">
        <v>6917</v>
      </c>
      <c r="B6978" s="1832">
        <f>'Expenditures 15-22'!J74</f>
        <v>96</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72364</v>
      </c>
      <c r="D6998" s="2" t="str">
        <f t="shared" si="108"/>
        <v>Error?</v>
      </c>
    </row>
    <row r="6999" spans="1:4" x14ac:dyDescent="0.2">
      <c r="A6999">
        <v>6938</v>
      </c>
      <c r="B6999" s="1832">
        <f>'Expenditures 15-22'!K94</f>
        <v>72364</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72364</v>
      </c>
      <c r="D7012" s="2" t="str">
        <f t="shared" si="108"/>
        <v>Error?</v>
      </c>
    </row>
    <row r="7013" spans="1:4" x14ac:dyDescent="0.2">
      <c r="A7013">
        <v>6952</v>
      </c>
      <c r="B7013" s="1832">
        <f>'Expenditures 15-22'!K100</f>
        <v>72364</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12977</v>
      </c>
      <c r="D7020" s="2" t="str">
        <f t="shared" si="108"/>
        <v>Error?</v>
      </c>
    </row>
    <row r="7021" spans="1:4" x14ac:dyDescent="0.2">
      <c r="A7021">
        <v>6960</v>
      </c>
      <c r="B7021" s="1832">
        <f>'Expenditures 15-22'!J114</f>
        <v>96</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12977</v>
      </c>
      <c r="D7624" s="2" t="str">
        <f t="shared" si="124"/>
        <v>Error?</v>
      </c>
      <c r="E7624" s="2" t="s">
        <v>19</v>
      </c>
    </row>
    <row r="7625" spans="1:5" x14ac:dyDescent="0.2">
      <c r="A7625">
        <f t="shared" si="123"/>
        <v>7564</v>
      </c>
      <c r="B7625" s="1832">
        <f>'Cap Outlay Deprec 26'!I17</f>
        <v>1297.7</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10738.7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1997</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17224128</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13008</v>
      </c>
      <c r="D7830" s="2" t="str">
        <f t="shared" si="129"/>
        <v>Error?</v>
      </c>
      <c r="E7830" s="4" t="s">
        <v>1998</v>
      </c>
    </row>
    <row r="7831" spans="1:5" x14ac:dyDescent="0.2">
      <c r="A7831">
        <v>7770</v>
      </c>
      <c r="B7831" s="1832">
        <f>'PCTC-OEPP 27-28'!F52</f>
        <v>128402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282368</v>
      </c>
      <c r="D7834" s="2" t="str">
        <f t="shared" si="129"/>
        <v>Error?</v>
      </c>
      <c r="E7834" s="4" t="s">
        <v>1998</v>
      </c>
    </row>
    <row r="7835" spans="1:5" x14ac:dyDescent="0.2">
      <c r="A7835">
        <v>7774</v>
      </c>
      <c r="B7835" s="1832">
        <f>'PCTC-OEPP 27-28'!F78</f>
        <v>16941760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24870</v>
      </c>
      <c r="D7861" s="2" t="str">
        <f t="shared" si="129"/>
        <v>Error?</v>
      </c>
      <c r="E7861" s="4" t="s">
        <v>1998</v>
      </c>
    </row>
    <row r="7862" spans="1:5" x14ac:dyDescent="0.2">
      <c r="A7862">
        <v>7801</v>
      </c>
      <c r="B7862" s="1832">
        <f>'PCTC-OEPP 27-28'!F130</f>
        <v>47520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100181</v>
      </c>
      <c r="D7874" s="2" t="str">
        <f t="shared" si="129"/>
        <v>Error?</v>
      </c>
      <c r="E7874" s="4" t="s">
        <v>1998</v>
      </c>
    </row>
    <row r="7875" spans="1:5" x14ac:dyDescent="0.2">
      <c r="A7875">
        <v>7814</v>
      </c>
      <c r="B7875" s="1832">
        <f>'PCTC-OEPP 27-28'!F170</f>
        <v>713052</v>
      </c>
      <c r="D7875" s="2" t="str">
        <f t="shared" si="129"/>
        <v>Error?</v>
      </c>
      <c r="E7875" s="4" t="s">
        <v>1998</v>
      </c>
    </row>
    <row r="7876" spans="1:5" x14ac:dyDescent="0.2">
      <c r="A7876">
        <v>7815</v>
      </c>
      <c r="B7876" s="1832">
        <f>'PCTC-OEPP 27-28'!F171</f>
        <v>132125</v>
      </c>
      <c r="D7876" s="2" t="str">
        <f t="shared" si="129"/>
        <v>Error?</v>
      </c>
      <c r="E7876" s="4" t="s">
        <v>1998</v>
      </c>
    </row>
    <row r="7877" spans="1:5" x14ac:dyDescent="0.2">
      <c r="A7877">
        <v>7816</v>
      </c>
      <c r="B7877" s="1832">
        <f>'PCTC-OEPP 27-28'!F175</f>
        <v>1017748</v>
      </c>
      <c r="D7877" s="2" t="str">
        <f t="shared" si="129"/>
        <v>Error?</v>
      </c>
      <c r="E7877" s="4" t="s">
        <v>1998</v>
      </c>
    </row>
    <row r="7878" spans="1:5" x14ac:dyDescent="0.2">
      <c r="A7878">
        <v>7817</v>
      </c>
      <c r="B7878" s="1832">
        <f>'PCTC-OEPP 27-28'!F176</f>
        <v>15924012</v>
      </c>
      <c r="D7878" s="2" t="str">
        <f t="shared" si="129"/>
        <v>Error?</v>
      </c>
      <c r="E7878" s="4" t="s">
        <v>1998</v>
      </c>
    </row>
    <row r="7879" spans="1:5" x14ac:dyDescent="0.2">
      <c r="A7879">
        <v>7818</v>
      </c>
      <c r="B7879" s="1832">
        <f>'PCTC-OEPP 27-28'!F178</f>
        <v>15934750.699999999</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1" t="s">
        <v>1183</v>
      </c>
      <c r="B2" s="2521"/>
      <c r="C2" s="2521"/>
      <c r="D2" s="2521"/>
      <c r="E2" s="2521"/>
      <c r="F2" s="2521"/>
      <c r="G2" s="2521"/>
      <c r="H2" s="2521"/>
      <c r="I2" s="2521"/>
      <c r="J2" s="2521"/>
      <c r="K2" s="2521"/>
      <c r="L2" s="2521"/>
    </row>
    <row r="3" spans="1:29" ht="13.5" customHeight="1" x14ac:dyDescent="0.2">
      <c r="A3" s="2553" t="s">
        <v>1182</v>
      </c>
      <c r="B3" s="2553"/>
      <c r="C3" s="2553"/>
      <c r="D3" s="2553"/>
      <c r="E3" s="2553"/>
      <c r="F3" s="2553"/>
      <c r="G3" s="2553"/>
      <c r="H3" s="2553"/>
      <c r="I3" s="2553"/>
      <c r="J3" s="2553"/>
      <c r="K3" s="2553"/>
      <c r="L3" s="2553"/>
    </row>
    <row r="4" spans="1:29" ht="13.5" customHeight="1" x14ac:dyDescent="0.2">
      <c r="A4" s="2542" t="str">
        <f>"Year Ending June 30, "&amp;'AFR20'!E2</f>
        <v>Year Ending June 30, 2020</v>
      </c>
      <c r="B4" s="2543"/>
      <c r="C4" s="2543"/>
      <c r="D4" s="2543"/>
      <c r="E4" s="2543"/>
      <c r="F4" s="2543"/>
      <c r="G4" s="2543"/>
      <c r="H4" s="2543"/>
      <c r="I4" s="2543"/>
      <c r="J4" s="2543"/>
      <c r="K4" s="2543"/>
      <c r="L4" s="254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4" t="str">
        <f>COVER!A17</f>
        <v xml:space="preserve"> Macon Piatt Special Education</v>
      </c>
      <c r="B7" s="2545"/>
      <c r="C7" s="2545"/>
      <c r="D7" s="2546"/>
      <c r="E7" s="2547">
        <f>COVER!A13</f>
        <v>39055061061</v>
      </c>
      <c r="F7" s="2548"/>
      <c r="G7" s="2554" t="str">
        <f>COVER!T23</f>
        <v>066-003844</v>
      </c>
      <c r="H7" s="2555"/>
      <c r="I7" s="2555"/>
      <c r="J7" s="2555"/>
      <c r="K7" s="2555"/>
      <c r="L7" s="2556"/>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7"/>
      <c r="B9" s="2558"/>
      <c r="C9" s="2558"/>
      <c r="D9" s="2558"/>
      <c r="E9" s="2558"/>
      <c r="F9" s="2559"/>
      <c r="G9" s="2527" t="str">
        <f>COVER!T13</f>
        <v>BKD, LLP</v>
      </c>
      <c r="H9" s="2560"/>
      <c r="I9" s="2560"/>
      <c r="J9" s="2560"/>
      <c r="K9" s="2560"/>
      <c r="L9" s="2561"/>
    </row>
    <row r="10" spans="1:29" ht="13.5" customHeight="1" x14ac:dyDescent="0.2">
      <c r="A10" s="2533" t="str">
        <f>COVER!A38</f>
        <v>Dr. Paul Fregeau</v>
      </c>
      <c r="B10" s="2534"/>
      <c r="C10" s="2534"/>
      <c r="D10" s="2534"/>
      <c r="E10" s="2534"/>
      <c r="F10" s="2535"/>
      <c r="G10" s="2527" t="str">
        <f>COVER!T17</f>
        <v>225 N Water Street</v>
      </c>
      <c r="H10" s="2528"/>
      <c r="I10" s="2528"/>
      <c r="J10" s="2528"/>
      <c r="K10" s="2528"/>
      <c r="L10" s="2529"/>
    </row>
    <row r="11" spans="1:29" ht="13.5" customHeight="1" x14ac:dyDescent="0.2">
      <c r="A11" s="963" t="s">
        <v>1505</v>
      </c>
      <c r="B11" s="964"/>
      <c r="C11" s="965"/>
      <c r="D11" s="970"/>
      <c r="E11" s="965"/>
      <c r="F11" s="969"/>
      <c r="G11" s="2527" t="str">
        <f>COVER!T19</f>
        <v>Decatur</v>
      </c>
      <c r="H11" s="2528"/>
      <c r="I11" s="2528"/>
      <c r="J11" s="2528"/>
      <c r="K11" s="2528"/>
      <c r="L11" s="2529"/>
    </row>
    <row r="12" spans="1:29" ht="13.5" customHeight="1" x14ac:dyDescent="0.2">
      <c r="A12" s="2536" t="s">
        <v>1504</v>
      </c>
      <c r="B12" s="2537"/>
      <c r="C12" s="2537"/>
      <c r="D12" s="2537"/>
      <c r="E12" s="2537"/>
      <c r="F12" s="2538"/>
      <c r="G12" s="2530"/>
      <c r="H12" s="2531"/>
      <c r="I12" s="2531"/>
      <c r="J12" s="2531"/>
      <c r="K12" s="2531"/>
      <c r="L12" s="2532"/>
    </row>
    <row r="13" spans="1:29" ht="13.5" customHeight="1" x14ac:dyDescent="0.2">
      <c r="A13" s="2527"/>
      <c r="B13" s="2528"/>
      <c r="C13" s="2528"/>
      <c r="D13" s="2528"/>
      <c r="E13" s="2528"/>
      <c r="F13" s="2529"/>
      <c r="G13" s="2522" t="s">
        <v>1506</v>
      </c>
      <c r="H13" s="2523"/>
      <c r="I13" s="2539" t="str">
        <f>COVER!T25</f>
        <v>hpowell@bkd.com</v>
      </c>
      <c r="J13" s="2540"/>
      <c r="K13" s="2540"/>
      <c r="L13" s="2541"/>
    </row>
    <row r="14" spans="1:29" ht="13.5" customHeight="1" x14ac:dyDescent="0.2">
      <c r="A14" s="2527" t="str">
        <f>COVER!A19</f>
        <v>335 East Cerro Gordo Street</v>
      </c>
      <c r="B14" s="2528"/>
      <c r="C14" s="2528"/>
      <c r="D14" s="2528"/>
      <c r="E14" s="2528"/>
      <c r="F14" s="2529"/>
      <c r="G14" s="974" t="s">
        <v>1177</v>
      </c>
      <c r="H14" s="972"/>
      <c r="I14" s="972"/>
      <c r="J14" s="972"/>
      <c r="K14" s="972"/>
      <c r="L14" s="973"/>
    </row>
    <row r="15" spans="1:29" ht="13.5" customHeight="1" x14ac:dyDescent="0.2">
      <c r="A15" s="2527" t="str">
        <f>COVER!A21</f>
        <v xml:space="preserve">Decatur </v>
      </c>
      <c r="B15" s="2528"/>
      <c r="C15" s="2528"/>
      <c r="D15" s="2528"/>
      <c r="E15" s="2528"/>
      <c r="F15" s="2529"/>
      <c r="G15" s="2524" t="str">
        <f>COVER!T15</f>
        <v>Heather Powell</v>
      </c>
      <c r="H15" s="2525"/>
      <c r="I15" s="2525"/>
      <c r="J15" s="2525"/>
      <c r="K15" s="2525"/>
      <c r="L15" s="2526"/>
    </row>
    <row r="16" spans="1:29" ht="12.2" customHeight="1" x14ac:dyDescent="0.2">
      <c r="A16" s="2550">
        <f>COVER!A25</f>
        <v>62523</v>
      </c>
      <c r="B16" s="2551"/>
      <c r="C16" s="2551"/>
      <c r="D16" s="2551"/>
      <c r="E16" s="2551"/>
      <c r="F16" s="2552"/>
      <c r="G16" s="2562"/>
      <c r="H16" s="2563"/>
      <c r="I16" s="2563"/>
      <c r="J16" s="2563"/>
      <c r="K16" s="2563"/>
      <c r="L16" s="2564"/>
    </row>
    <row r="17" spans="1:13" ht="12.2" customHeight="1" x14ac:dyDescent="0.2">
      <c r="A17" s="2565"/>
      <c r="B17" s="2551"/>
      <c r="C17" s="2551"/>
      <c r="D17" s="2551"/>
      <c r="E17" s="2551"/>
      <c r="F17" s="2552"/>
      <c r="G17" s="974" t="s">
        <v>1176</v>
      </c>
      <c r="H17" s="972"/>
      <c r="I17" s="972"/>
      <c r="J17" s="972"/>
      <c r="K17" s="976" t="s">
        <v>1175</v>
      </c>
      <c r="L17" s="969"/>
      <c r="M17" s="962"/>
    </row>
    <row r="18" spans="1:13" ht="12.2" customHeight="1" x14ac:dyDescent="0.2">
      <c r="A18" s="2533"/>
      <c r="B18" s="2534"/>
      <c r="C18" s="2534"/>
      <c r="D18" s="2534"/>
      <c r="E18" s="2534"/>
      <c r="F18" s="2535"/>
      <c r="G18" s="2544" t="str">
        <f>COVER!T21</f>
        <v>317-429-2411</v>
      </c>
      <c r="H18" s="2545"/>
      <c r="I18" s="2545"/>
      <c r="J18" s="2545"/>
      <c r="K18" s="2544" t="str">
        <f>COVER!X21</f>
        <v>217-429-6109</v>
      </c>
      <c r="L18" s="254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4"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6" t="str">
        <f>'Single Audit Cover'!A7</f>
        <v xml:space="preserve"> Macon Piatt Special Education</v>
      </c>
      <c r="B1" s="2567"/>
      <c r="C1" s="2567"/>
      <c r="D1" s="2567"/>
    </row>
    <row r="2" spans="1:11" s="991" customFormat="1" ht="12.75" x14ac:dyDescent="0.2">
      <c r="A2" s="2568">
        <f>'Single Audit Cover'!E7</f>
        <v>39055061061</v>
      </c>
      <c r="B2" s="2569"/>
      <c r="C2" s="2569"/>
      <c r="D2" s="2569"/>
    </row>
    <row r="3" spans="1:11" s="991" customFormat="1" ht="12.75" x14ac:dyDescent="0.2">
      <c r="A3" s="2566" t="s">
        <v>1499</v>
      </c>
      <c r="B3" s="2567"/>
      <c r="C3" s="2567"/>
      <c r="D3" s="2567"/>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1969</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1" t="str">
        <f>'Single Audit Cover'!A7</f>
        <v xml:space="preserve"> Macon Piatt Special Education</v>
      </c>
      <c r="B1" s="2571"/>
      <c r="C1" s="2571"/>
      <c r="D1" s="2571"/>
      <c r="E1" s="2571"/>
    </row>
    <row r="2" spans="1:5" x14ac:dyDescent="0.2">
      <c r="A2" s="2572">
        <f>'Single Audit Cover'!E7</f>
        <v>39055061061</v>
      </c>
      <c r="B2" s="2572"/>
      <c r="C2" s="2572"/>
      <c r="D2" s="2572"/>
      <c r="E2" s="2572"/>
    </row>
    <row r="3" spans="1:5" ht="4.5" customHeight="1" x14ac:dyDescent="0.2"/>
    <row r="4" spans="1:5" x14ac:dyDescent="0.2">
      <c r="A4" s="2571" t="s">
        <v>1236</v>
      </c>
      <c r="B4" s="2571"/>
      <c r="C4" s="2571"/>
      <c r="D4" s="2571"/>
      <c r="E4" s="2571"/>
    </row>
    <row r="5" spans="1:5" x14ac:dyDescent="0.2">
      <c r="A5" s="2574" t="str">
        <f>'Single Audit Cover'!A4</f>
        <v>Year Ending June 30, 2020</v>
      </c>
      <c r="B5" s="2574"/>
      <c r="C5" s="2574"/>
      <c r="D5" s="2574"/>
      <c r="E5" s="2574"/>
    </row>
    <row r="6" spans="1:5" x14ac:dyDescent="0.2">
      <c r="A6" s="2571" t="s">
        <v>1235</v>
      </c>
      <c r="B6" s="2571"/>
      <c r="C6" s="2571"/>
      <c r="D6" s="2571"/>
      <c r="E6" s="2571"/>
    </row>
    <row r="8" spans="1:5" x14ac:dyDescent="0.2">
      <c r="A8" s="1036" t="s">
        <v>1234</v>
      </c>
    </row>
    <row r="10" spans="1:5" x14ac:dyDescent="0.2">
      <c r="A10" s="1037" t="s">
        <v>1233</v>
      </c>
      <c r="B10" s="1038" t="s">
        <v>1232</v>
      </c>
      <c r="C10" s="1038"/>
      <c r="D10" s="1039">
        <f>SUM('Acct Summary 7-8'!C7:K7)</f>
        <v>1017748</v>
      </c>
    </row>
    <row r="11" spans="1:5" ht="18" customHeight="1" x14ac:dyDescent="0.2">
      <c r="A11" s="1037" t="s">
        <v>1231</v>
      </c>
      <c r="B11" s="1038"/>
      <c r="C11" s="1038"/>
    </row>
    <row r="12" spans="1:5" x14ac:dyDescent="0.2">
      <c r="A12" s="1037" t="s">
        <v>1230</v>
      </c>
      <c r="B12" s="1038" t="s">
        <v>1229</v>
      </c>
      <c r="C12" s="1038"/>
      <c r="D12" s="1040">
        <f>SUM('Revenues 9-14'!C112:D112,'Revenues 9-14'!F112:G112)</f>
        <v>72814</v>
      </c>
    </row>
    <row r="13" spans="1:5" x14ac:dyDescent="0.2">
      <c r="A13" s="1037" t="s">
        <v>1228</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1227</v>
      </c>
      <c r="C17" s="1038"/>
      <c r="D17" s="1040">
        <f>-SUM('Revenues 9-14'!C264:D264,'Revenues 9-14'!F264:G264)</f>
        <v>-713052</v>
      </c>
    </row>
    <row r="19" spans="1:4" ht="13.5" thickBot="1" x14ac:dyDescent="0.25">
      <c r="A19" s="1041" t="s">
        <v>1226</v>
      </c>
      <c r="D19" s="1042">
        <f>SUM(D10:D17)</f>
        <v>377510</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3"/>
      <c r="B24" s="2573"/>
      <c r="D24" s="1044"/>
    </row>
    <row r="25" spans="1:4" x14ac:dyDescent="0.2">
      <c r="A25" s="2570"/>
      <c r="B25" s="2570"/>
      <c r="D25" s="1044"/>
    </row>
    <row r="26" spans="1:4" x14ac:dyDescent="0.2">
      <c r="A26" s="2570"/>
      <c r="B26" s="2570"/>
      <c r="D26" s="1044"/>
    </row>
    <row r="27" spans="1:4" x14ac:dyDescent="0.2">
      <c r="A27" s="2570"/>
      <c r="B27" s="2570"/>
      <c r="D27" s="1044"/>
    </row>
    <row r="28" spans="1:4" x14ac:dyDescent="0.2">
      <c r="A28" s="2570"/>
      <c r="B28" s="2570"/>
      <c r="D28" s="1044"/>
    </row>
    <row r="29" spans="1:4" x14ac:dyDescent="0.2">
      <c r="A29" s="2570"/>
      <c r="B29" s="2570"/>
      <c r="D29" s="1044"/>
    </row>
    <row r="30" spans="1:4" x14ac:dyDescent="0.2">
      <c r="A30" s="2570"/>
      <c r="B30" s="2570"/>
      <c r="D30" s="1044"/>
    </row>
    <row r="32" spans="1:4" x14ac:dyDescent="0.2">
      <c r="A32" s="1036" t="s">
        <v>1224</v>
      </c>
      <c r="D32" s="1039">
        <f>SUM(D19:D30)</f>
        <v>377510</v>
      </c>
    </row>
    <row r="33" spans="1:4" x14ac:dyDescent="0.2">
      <c r="D33" s="1045"/>
    </row>
    <row r="34" spans="1:4" x14ac:dyDescent="0.2">
      <c r="A34" s="295" t="s">
        <v>1223</v>
      </c>
    </row>
    <row r="35" spans="1:4" x14ac:dyDescent="0.2">
      <c r="A35" s="295" t="s">
        <v>1222</v>
      </c>
      <c r="B35" s="1034" t="s">
        <v>1221</v>
      </c>
      <c r="D35" s="1046">
        <v>377510</v>
      </c>
    </row>
    <row r="37" spans="1:4" x14ac:dyDescent="0.2">
      <c r="A37" s="1036" t="s">
        <v>1220</v>
      </c>
    </row>
    <row r="39" spans="1:4" ht="13.35" customHeight="1" x14ac:dyDescent="0.2">
      <c r="A39" s="1043" t="s">
        <v>1219</v>
      </c>
    </row>
    <row r="40" spans="1:4" x14ac:dyDescent="0.2">
      <c r="A40" s="2570"/>
      <c r="B40" s="2570"/>
      <c r="D40" s="1044"/>
    </row>
    <row r="41" spans="1:4" x14ac:dyDescent="0.2">
      <c r="A41" s="2570"/>
      <c r="B41" s="2570"/>
      <c r="D41" s="1047"/>
    </row>
    <row r="42" spans="1:4" x14ac:dyDescent="0.2">
      <c r="A42" s="2570"/>
      <c r="B42" s="2570"/>
      <c r="D42" s="1047"/>
    </row>
    <row r="43" spans="1:4" x14ac:dyDescent="0.2">
      <c r="A43" s="2570"/>
      <c r="B43" s="2570"/>
      <c r="D43" s="1047"/>
    </row>
    <row r="44" spans="1:4" x14ac:dyDescent="0.2">
      <c r="A44" s="2570"/>
      <c r="B44" s="2570"/>
      <c r="D44" s="1047"/>
    </row>
    <row r="45" spans="1:4" x14ac:dyDescent="0.2">
      <c r="A45" s="2570"/>
      <c r="B45" s="2570"/>
      <c r="D45" s="1047"/>
    </row>
    <row r="47" spans="1:4" x14ac:dyDescent="0.2">
      <c r="B47" s="1048" t="s">
        <v>1218</v>
      </c>
      <c r="C47" s="1048"/>
      <c r="D47" s="1049">
        <f>SUM(D35:D45)</f>
        <v>377510</v>
      </c>
    </row>
    <row r="49" spans="2:4" x14ac:dyDescent="0.2">
      <c r="B49" s="1048" t="s">
        <v>1217</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3"/>
  <sheetViews>
    <sheetView showGridLines="0" topLeftCell="A8" zoomScaleNormal="100" workbookViewId="0">
      <selection activeCell="J15" sqref="J15"/>
    </sheetView>
  </sheetViews>
  <sheetFormatPr defaultColWidth="33.5703125" defaultRowHeight="12.75" x14ac:dyDescent="0.2"/>
  <cols>
    <col min="1" max="1" width="0.140625" style="295" customWidth="1"/>
    <col min="2" max="2" width="37.1406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Macon Piatt Special Education</v>
      </c>
      <c r="C1" s="2575"/>
      <c r="D1" s="2575"/>
      <c r="E1" s="2575"/>
      <c r="F1" s="2575"/>
      <c r="G1" s="2575"/>
      <c r="H1" s="2575"/>
      <c r="I1" s="2575"/>
      <c r="J1" s="2575"/>
      <c r="K1" s="2575"/>
      <c r="L1" s="2575"/>
      <c r="M1" s="2575"/>
    </row>
    <row r="2" spans="2:14" ht="15" x14ac:dyDescent="0.2">
      <c r="B2" s="2576">
        <f>'Single Audit Cover'!E7</f>
        <v>39055061061</v>
      </c>
      <c r="C2" s="2576"/>
      <c r="D2" s="2576"/>
      <c r="E2" s="2576"/>
      <c r="F2" s="2576"/>
      <c r="G2" s="2576"/>
      <c r="H2" s="2576"/>
      <c r="I2" s="2576"/>
      <c r="J2" s="2576"/>
      <c r="K2" s="2576"/>
      <c r="L2" s="2576"/>
      <c r="M2" s="2576"/>
      <c r="N2" s="1078"/>
    </row>
    <row r="3" spans="2:14" ht="15" x14ac:dyDescent="0.2">
      <c r="B3" s="2577" t="s">
        <v>1210</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6"/>
      <c r="J5" s="1916"/>
    </row>
    <row r="6" spans="2:14" x14ac:dyDescent="0.2">
      <c r="B6" s="1079"/>
      <c r="C6" s="1080"/>
      <c r="D6" s="1081" t="s">
        <v>1256</v>
      </c>
      <c r="E6" s="1082" t="s">
        <v>524</v>
      </c>
      <c r="F6" s="1083"/>
      <c r="G6" s="1084" t="s">
        <v>1711</v>
      </c>
      <c r="H6" s="1082"/>
      <c r="I6" s="1082"/>
      <c r="J6" s="1917"/>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1568</v>
      </c>
      <c r="I9" s="1915"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2068</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28" si="0">+G12+I12+K12</f>
        <v>0</v>
      </c>
      <c r="M12" s="1826"/>
    </row>
    <row r="13" spans="2:14" ht="20.100000000000001" customHeight="1" x14ac:dyDescent="0.2">
      <c r="B13" s="1113" t="s">
        <v>2088</v>
      </c>
      <c r="C13" s="1824" t="s">
        <v>2089</v>
      </c>
      <c r="D13" s="1825" t="s">
        <v>2090</v>
      </c>
      <c r="E13" s="1826">
        <v>177378</v>
      </c>
      <c r="F13" s="1826">
        <v>2492</v>
      </c>
      <c r="G13" s="1826">
        <v>179870</v>
      </c>
      <c r="H13" s="1826">
        <v>179870</v>
      </c>
      <c r="I13" s="1826"/>
      <c r="J13" s="1826"/>
      <c r="K13" s="1826"/>
      <c r="L13" s="1823">
        <f>G13+I13+K13</f>
        <v>179870</v>
      </c>
      <c r="M13" s="1826">
        <v>203231</v>
      </c>
    </row>
    <row r="14" spans="2:14" ht="20.100000000000001" customHeight="1" x14ac:dyDescent="0.2">
      <c r="B14" s="1113"/>
      <c r="C14" s="1824"/>
      <c r="D14" s="1825"/>
      <c r="E14" s="1826"/>
      <c r="F14" s="1826"/>
      <c r="G14" s="1826"/>
      <c r="H14" s="1826"/>
      <c r="I14" s="1826"/>
      <c r="J14" s="1826"/>
      <c r="K14" s="1826"/>
      <c r="L14" s="1823"/>
      <c r="M14" s="1826"/>
    </row>
    <row r="15" spans="2:14" ht="20.100000000000001" customHeight="1" x14ac:dyDescent="0.2">
      <c r="B15" s="1113" t="s">
        <v>2070</v>
      </c>
      <c r="C15" s="1824" t="s">
        <v>2071</v>
      </c>
      <c r="D15" s="1825" t="s">
        <v>2072</v>
      </c>
      <c r="E15" s="1826">
        <v>4643098</v>
      </c>
      <c r="F15" s="1826">
        <v>95192</v>
      </c>
      <c r="G15" s="1826">
        <v>4738290</v>
      </c>
      <c r="H15" s="1826">
        <v>3491812</v>
      </c>
      <c r="I15" s="1826"/>
      <c r="J15" s="1826"/>
      <c r="K15" s="1826"/>
      <c r="L15" s="1823">
        <f t="shared" si="0"/>
        <v>4738290</v>
      </c>
      <c r="M15" s="1826">
        <v>5085569</v>
      </c>
    </row>
    <row r="16" spans="2:14" ht="20.100000000000001" customHeight="1" x14ac:dyDescent="0.2">
      <c r="B16" s="1113"/>
      <c r="C16" s="1824"/>
      <c r="D16" s="1825"/>
      <c r="E16" s="2036"/>
      <c r="F16" s="2036"/>
      <c r="G16" s="2036"/>
      <c r="H16" s="2036"/>
      <c r="I16" s="2036"/>
      <c r="J16" s="2036"/>
      <c r="K16" s="2036"/>
      <c r="L16" s="2037"/>
      <c r="M16" s="2036"/>
    </row>
    <row r="17" spans="2:14" ht="20.100000000000001" customHeight="1" x14ac:dyDescent="0.2">
      <c r="B17" s="1113" t="s">
        <v>2091</v>
      </c>
      <c r="C17" s="1824"/>
      <c r="D17" s="2044"/>
      <c r="E17" s="2045"/>
      <c r="F17" s="2045"/>
      <c r="G17" s="2045"/>
      <c r="H17" s="2045"/>
      <c r="I17" s="2045"/>
      <c r="J17" s="2045"/>
      <c r="K17" s="2045"/>
      <c r="L17" s="2045"/>
      <c r="M17" s="2045"/>
    </row>
    <row r="18" spans="2:14" ht="20.100000000000001" customHeight="1" x14ac:dyDescent="0.2">
      <c r="B18" s="1113" t="s">
        <v>2073</v>
      </c>
      <c r="C18" s="1824" t="s">
        <v>2071</v>
      </c>
      <c r="D18" s="1825" t="s">
        <v>2074</v>
      </c>
      <c r="E18" s="1823">
        <v>114480</v>
      </c>
      <c r="F18" s="1823">
        <v>47520</v>
      </c>
      <c r="G18" s="1823">
        <v>162000</v>
      </c>
      <c r="H18" s="1823"/>
      <c r="I18" s="1823"/>
      <c r="J18" s="1823"/>
      <c r="K18" s="1823"/>
      <c r="L18" s="1823">
        <f t="shared" si="0"/>
        <v>162000</v>
      </c>
      <c r="M18" s="1823" t="s">
        <v>2075</v>
      </c>
    </row>
    <row r="19" spans="2:14" ht="20.100000000000001" customHeight="1" x14ac:dyDescent="0.2">
      <c r="B19" s="1113"/>
      <c r="C19" s="1824"/>
      <c r="D19" s="1825"/>
      <c r="E19" s="2036"/>
      <c r="F19" s="2036"/>
      <c r="G19" s="2036"/>
      <c r="H19" s="2036"/>
      <c r="I19" s="2036"/>
      <c r="J19" s="2036"/>
      <c r="K19" s="2036"/>
      <c r="L19" s="2037">
        <f t="shared" si="0"/>
        <v>0</v>
      </c>
      <c r="M19" s="2036"/>
    </row>
    <row r="20" spans="2:14" ht="20.100000000000001" customHeight="1" x14ac:dyDescent="0.2">
      <c r="B20" s="1113" t="s">
        <v>2076</v>
      </c>
      <c r="C20" s="1824"/>
      <c r="D20" s="1825"/>
      <c r="E20" s="2038">
        <f>E13+E15+E18</f>
        <v>4934956</v>
      </c>
      <c r="F20" s="2038">
        <f>F13+F15+F18</f>
        <v>145204</v>
      </c>
      <c r="G20" s="2038">
        <f>G13+G15+G18</f>
        <v>5080160</v>
      </c>
      <c r="H20" s="2038">
        <f>H13+H15</f>
        <v>3671682</v>
      </c>
      <c r="I20" s="2038"/>
      <c r="J20" s="2038"/>
      <c r="K20" s="2038"/>
      <c r="L20" s="2038">
        <f t="shared" si="0"/>
        <v>5080160</v>
      </c>
      <c r="M20" s="2038"/>
    </row>
    <row r="21" spans="2:14" ht="20.100000000000001" customHeight="1" x14ac:dyDescent="0.2">
      <c r="B21" s="1113"/>
      <c r="C21" s="1824"/>
      <c r="D21" s="1825"/>
      <c r="E21" s="1823"/>
      <c r="F21" s="1823"/>
      <c r="G21" s="1823"/>
      <c r="H21" s="1823"/>
      <c r="I21" s="1823"/>
      <c r="J21" s="1823"/>
      <c r="K21" s="1823"/>
      <c r="L21" s="1823">
        <f t="shared" si="0"/>
        <v>0</v>
      </c>
      <c r="M21" s="1823"/>
    </row>
    <row r="22" spans="2:14" ht="20.100000000000001" customHeight="1" x14ac:dyDescent="0.2">
      <c r="B22" s="1113" t="s">
        <v>2078</v>
      </c>
      <c r="C22" s="1824"/>
      <c r="D22" s="1825"/>
      <c r="E22" s="1826"/>
      <c r="F22" s="1826"/>
      <c r="G22" s="1826"/>
      <c r="H22" s="1826"/>
      <c r="I22" s="1826"/>
      <c r="J22" s="1826"/>
      <c r="K22" s="1826"/>
      <c r="L22" s="1823">
        <f t="shared" si="0"/>
        <v>0</v>
      </c>
      <c r="M22" s="1826"/>
    </row>
    <row r="23" spans="2:14" ht="20.100000000000001" customHeight="1" x14ac:dyDescent="0.2">
      <c r="B23" s="1113" t="s">
        <v>2077</v>
      </c>
      <c r="C23" s="1824">
        <v>84.126000000000005</v>
      </c>
      <c r="D23" s="1825" t="s">
        <v>2079</v>
      </c>
      <c r="E23" s="1826">
        <v>123880</v>
      </c>
      <c r="F23" s="1826">
        <v>31993</v>
      </c>
      <c r="G23" s="1826">
        <v>91887</v>
      </c>
      <c r="H23" s="1826"/>
      <c r="I23" s="1826"/>
      <c r="J23" s="1826"/>
      <c r="K23" s="1826"/>
      <c r="L23" s="1823">
        <f t="shared" si="0"/>
        <v>91887</v>
      </c>
      <c r="M23" s="1826">
        <v>123880</v>
      </c>
    </row>
    <row r="24" spans="2:14" ht="20.100000000000001" customHeight="1" x14ac:dyDescent="0.2">
      <c r="B24" s="1113"/>
      <c r="C24" s="1824"/>
      <c r="D24" s="2041" t="s">
        <v>2092</v>
      </c>
      <c r="E24" s="2036"/>
      <c r="F24" s="2036">
        <v>100132</v>
      </c>
      <c r="G24" s="2036"/>
      <c r="H24" s="2036"/>
      <c r="I24" s="2036">
        <v>85237</v>
      </c>
      <c r="J24" s="2036"/>
      <c r="K24" s="2036"/>
      <c r="L24" s="2037">
        <f t="shared" si="0"/>
        <v>85237</v>
      </c>
      <c r="M24" s="2042">
        <v>135976</v>
      </c>
    </row>
    <row r="25" spans="2:14" ht="20.100000000000001" customHeight="1" x14ac:dyDescent="0.2">
      <c r="B25" s="1113"/>
      <c r="C25" s="1824"/>
      <c r="D25" s="1825"/>
      <c r="E25" s="2038"/>
      <c r="F25" s="2038"/>
      <c r="G25" s="2038"/>
      <c r="H25" s="2038"/>
      <c r="I25" s="2038"/>
      <c r="J25" s="2038"/>
      <c r="K25" s="2038"/>
      <c r="L25" s="2038">
        <f t="shared" si="0"/>
        <v>0</v>
      </c>
      <c r="M25" s="2038"/>
    </row>
    <row r="26" spans="2:14" ht="20.100000000000001" customHeight="1" x14ac:dyDescent="0.2">
      <c r="B26" s="1113" t="s">
        <v>2080</v>
      </c>
      <c r="C26" s="1824"/>
      <c r="D26" s="1825"/>
      <c r="E26" s="2038">
        <f>E20+E23</f>
        <v>5058836</v>
      </c>
      <c r="F26" s="2038">
        <f>F20+F23+F24</f>
        <v>277329</v>
      </c>
      <c r="G26" s="2038">
        <f>G20+G23</f>
        <v>5172047</v>
      </c>
      <c r="H26" s="2038">
        <f>H20</f>
        <v>3671682</v>
      </c>
      <c r="I26" s="2038">
        <f>I24</f>
        <v>85237</v>
      </c>
      <c r="J26" s="2038"/>
      <c r="K26" s="2038"/>
      <c r="L26" s="2038">
        <f t="shared" si="0"/>
        <v>5257284</v>
      </c>
      <c r="M26" s="2038"/>
    </row>
    <row r="27" spans="2:14" ht="20.100000000000001" customHeight="1" x14ac:dyDescent="0.2">
      <c r="B27" s="1113"/>
      <c r="C27" s="1824"/>
      <c r="D27" s="1825"/>
      <c r="E27" s="2037"/>
      <c r="F27" s="2037"/>
      <c r="G27" s="2037"/>
      <c r="H27" s="2037"/>
      <c r="I27" s="2037"/>
      <c r="J27" s="2037"/>
      <c r="K27" s="2037"/>
      <c r="L27" s="2037">
        <f t="shared" si="0"/>
        <v>0</v>
      </c>
      <c r="M27" s="2037"/>
    </row>
    <row r="28" spans="2:14" ht="20.100000000000001" customHeight="1" x14ac:dyDescent="0.2">
      <c r="B28" s="1113"/>
      <c r="C28" s="1824"/>
      <c r="D28" s="1825"/>
      <c r="E28" s="2038"/>
      <c r="F28" s="2038"/>
      <c r="G28" s="2038"/>
      <c r="H28" s="2038"/>
      <c r="I28" s="2038"/>
      <c r="J28" s="2038"/>
      <c r="K28" s="2038"/>
      <c r="L28" s="2038">
        <f t="shared" si="0"/>
        <v>0</v>
      </c>
      <c r="M28" s="2038"/>
      <c r="N28" s="1114"/>
    </row>
    <row r="29" spans="2:14" ht="12.75" customHeight="1" x14ac:dyDescent="0.2">
      <c r="B29" s="1115"/>
      <c r="C29" s="1116"/>
      <c r="D29" s="1117"/>
      <c r="E29" s="1118"/>
      <c r="F29" s="1118"/>
      <c r="G29" s="1118"/>
      <c r="H29" s="1118"/>
      <c r="I29" s="1118"/>
      <c r="J29" s="1118"/>
      <c r="K29" s="1118"/>
      <c r="L29" s="1118"/>
      <c r="M29" s="1118"/>
      <c r="N29" s="1114"/>
    </row>
    <row r="30" spans="2:14" x14ac:dyDescent="0.2">
      <c r="B30" s="1033"/>
      <c r="C30" s="1119"/>
      <c r="D30" s="1120"/>
      <c r="E30" s="1033"/>
      <c r="F30" s="1033"/>
      <c r="G30" s="1026"/>
      <c r="H30" s="1026"/>
      <c r="I30" s="1026"/>
      <c r="J30" s="1026"/>
      <c r="K30" s="1026"/>
      <c r="L30" s="1026"/>
      <c r="M30" s="1033"/>
      <c r="N30" s="1114"/>
    </row>
    <row r="31" spans="2:14" ht="13.5" customHeight="1" x14ac:dyDescent="0.2">
      <c r="B31" s="1058" t="s">
        <v>1714</v>
      </c>
      <c r="C31" s="1119"/>
      <c r="D31" s="1120"/>
      <c r="E31" s="1033"/>
      <c r="F31" s="1033"/>
      <c r="G31" s="1026"/>
      <c r="H31" s="1026"/>
      <c r="I31" s="1026"/>
      <c r="J31" s="1026"/>
      <c r="K31" s="1026"/>
      <c r="L31" s="1026"/>
      <c r="M31" s="1033"/>
      <c r="N31" s="1114"/>
    </row>
    <row r="32" spans="2:14" ht="8.25" customHeight="1" x14ac:dyDescent="0.2">
      <c r="B32" s="1058"/>
      <c r="C32" s="1119"/>
      <c r="D32" s="1120"/>
      <c r="E32" s="1033"/>
      <c r="F32" s="1033"/>
      <c r="G32" s="1026"/>
      <c r="H32" s="1026"/>
      <c r="I32" s="1026"/>
      <c r="J32" s="1026"/>
      <c r="K32" s="1026"/>
      <c r="L32" s="1026"/>
      <c r="M32" s="1033"/>
      <c r="N32" s="1114"/>
    </row>
    <row r="33" spans="2:13" x14ac:dyDescent="0.2">
      <c r="B33" s="1121" t="s">
        <v>1812</v>
      </c>
      <c r="C33" s="1122"/>
      <c r="D33" s="1123"/>
      <c r="E33" s="1124"/>
      <c r="F33" s="1124"/>
      <c r="G33" s="1124"/>
      <c r="H33" s="1124"/>
      <c r="I33" s="295"/>
      <c r="J33" s="295"/>
    </row>
    <row r="34" spans="2:13" x14ac:dyDescent="0.2">
      <c r="B34" s="1053"/>
      <c r="C34" s="1125"/>
      <c r="D34" s="1126"/>
      <c r="E34" s="1054"/>
      <c r="F34" s="1054"/>
      <c r="G34" s="295"/>
      <c r="H34" s="295"/>
      <c r="I34" s="295"/>
      <c r="J34" s="295"/>
    </row>
    <row r="35" spans="2:13" ht="13.5" customHeight="1" x14ac:dyDescent="0.2">
      <c r="B35" s="1052" t="s">
        <v>1237</v>
      </c>
      <c r="G35" s="295"/>
      <c r="H35" s="295"/>
      <c r="I35" s="295"/>
      <c r="J35" s="295"/>
    </row>
    <row r="36" spans="2:13" ht="13.5" customHeight="1" x14ac:dyDescent="0.2">
      <c r="B36" s="1129"/>
      <c r="C36" s="1130"/>
      <c r="D36" s="1131"/>
      <c r="E36" s="1073"/>
      <c r="F36" s="1073"/>
      <c r="G36" s="1073"/>
      <c r="H36" s="1073"/>
      <c r="I36" s="1073"/>
      <c r="J36" s="1073"/>
      <c r="K36" s="1132"/>
      <c r="L36" s="1132"/>
      <c r="M36" s="1073"/>
    </row>
    <row r="37" spans="2:13" ht="9.6" customHeight="1" x14ac:dyDescent="0.2">
      <c r="B37" s="1133"/>
      <c r="G37" s="295"/>
      <c r="H37" s="295"/>
      <c r="I37" s="295"/>
      <c r="J37" s="295"/>
    </row>
    <row r="38" spans="2:13" ht="11.25" customHeight="1" x14ac:dyDescent="0.2">
      <c r="B38" s="1134" t="s">
        <v>1715</v>
      </c>
      <c r="C38" s="1135"/>
      <c r="D38" s="1135"/>
      <c r="E38" s="1135"/>
      <c r="F38" s="1135"/>
      <c r="G38" s="1135"/>
      <c r="H38" s="1135"/>
      <c r="I38" s="1136"/>
      <c r="J38" s="1136"/>
      <c r="K38" s="1136"/>
      <c r="L38" s="1136"/>
      <c r="M38" s="1136"/>
    </row>
    <row r="39" spans="2:13" ht="11.25" customHeight="1" x14ac:dyDescent="0.2">
      <c r="B39" s="1137" t="s">
        <v>1570</v>
      </c>
      <c r="C39" s="1136"/>
      <c r="D39" s="1136"/>
      <c r="E39" s="1136"/>
      <c r="F39" s="1136"/>
      <c r="G39" s="1136"/>
      <c r="H39" s="1136"/>
      <c r="I39" s="1136"/>
      <c r="J39" s="1136"/>
      <c r="K39" s="1136"/>
      <c r="L39" s="1136"/>
      <c r="M39" s="1136"/>
    </row>
    <row r="40" spans="2:13" ht="3.95" customHeight="1" x14ac:dyDescent="0.2">
      <c r="B40" s="1137"/>
      <c r="C40" s="1136"/>
      <c r="D40" s="1136"/>
      <c r="E40" s="1136"/>
      <c r="F40" s="1136"/>
      <c r="G40" s="1136"/>
      <c r="H40" s="1136"/>
      <c r="I40" s="1136"/>
      <c r="J40" s="1136"/>
      <c r="K40" s="1136"/>
      <c r="L40" s="1136"/>
      <c r="M40" s="1136"/>
    </row>
    <row r="41" spans="2:13" ht="11.25" customHeight="1" x14ac:dyDescent="0.2">
      <c r="B41" s="1134" t="s">
        <v>1716</v>
      </c>
      <c r="C41" s="1136"/>
      <c r="D41" s="1136"/>
      <c r="E41" s="1136"/>
      <c r="F41" s="1136"/>
      <c r="G41" s="1136"/>
      <c r="H41" s="1136"/>
      <c r="I41" s="1136"/>
      <c r="J41" s="1136"/>
      <c r="K41" s="1136"/>
      <c r="L41" s="1136"/>
      <c r="M41" s="1136"/>
    </row>
    <row r="42" spans="2:13" ht="11.25" customHeight="1" x14ac:dyDescent="0.2">
      <c r="B42" s="1076" t="s">
        <v>1571</v>
      </c>
      <c r="C42" s="1138"/>
      <c r="D42" s="1139"/>
      <c r="E42" s="1076"/>
      <c r="F42" s="1076"/>
      <c r="G42" s="1076"/>
      <c r="H42" s="1076"/>
      <c r="I42" s="1076"/>
      <c r="J42" s="1076"/>
      <c r="K42" s="1140"/>
      <c r="L42" s="1140"/>
      <c r="M42" s="1076"/>
    </row>
    <row r="43" spans="2:13" ht="3.95" customHeight="1" x14ac:dyDescent="0.2">
      <c r="B43" s="1076"/>
      <c r="C43" s="1138"/>
      <c r="D43" s="1139"/>
      <c r="E43" s="1076"/>
      <c r="F43" s="1076"/>
      <c r="G43" s="1076"/>
      <c r="H43" s="1076"/>
      <c r="I43" s="1076"/>
      <c r="J43" s="1076"/>
      <c r="K43" s="1140"/>
      <c r="L43" s="1140"/>
      <c r="M43" s="1076"/>
    </row>
    <row r="44" spans="2:13" ht="11.25" customHeight="1" x14ac:dyDescent="0.2">
      <c r="B44" s="1141" t="s">
        <v>1717</v>
      </c>
      <c r="C44" s="1138"/>
      <c r="D44" s="1139"/>
      <c r="E44" s="1076"/>
      <c r="F44" s="1076"/>
      <c r="G44" s="1076"/>
      <c r="H44" s="1076"/>
      <c r="I44" s="1076"/>
      <c r="J44" s="1076"/>
      <c r="K44" s="1140"/>
      <c r="L44" s="1140"/>
      <c r="M44" s="1076"/>
    </row>
    <row r="45" spans="2:13" ht="3.95" customHeight="1" x14ac:dyDescent="0.2">
      <c r="B45" s="1141"/>
      <c r="C45" s="1138"/>
      <c r="D45" s="1139"/>
      <c r="E45" s="1076"/>
      <c r="F45" s="1076"/>
      <c r="G45" s="1076"/>
      <c r="H45" s="1076"/>
      <c r="I45" s="1076"/>
      <c r="J45" s="1076"/>
      <c r="K45" s="1140"/>
      <c r="L45" s="1140"/>
      <c r="M45" s="1076"/>
    </row>
    <row r="46" spans="2:13" ht="11.25" customHeight="1" x14ac:dyDescent="0.2">
      <c r="B46" s="1142" t="s">
        <v>1718</v>
      </c>
      <c r="C46" s="1138"/>
      <c r="D46" s="1139"/>
      <c r="E46" s="1076"/>
      <c r="F46" s="1076"/>
      <c r="G46" s="1076"/>
      <c r="H46" s="1076"/>
      <c r="I46" s="1076"/>
      <c r="J46" s="1076"/>
      <c r="K46" s="1140"/>
      <c r="L46" s="1140"/>
      <c r="M46" s="1076"/>
    </row>
    <row r="47" spans="2:13" ht="11.25" customHeight="1" x14ac:dyDescent="0.2">
      <c r="B47" s="1076" t="s">
        <v>1572</v>
      </c>
      <c r="G47" s="295"/>
      <c r="H47" s="295"/>
      <c r="I47" s="295"/>
      <c r="J47" s="295"/>
    </row>
    <row r="48" spans="2:13" ht="11.1" customHeight="1" x14ac:dyDescent="0.2">
      <c r="B48" s="1076"/>
      <c r="G48" s="295"/>
      <c r="H48" s="295"/>
      <c r="I48" s="295"/>
      <c r="J48" s="295"/>
    </row>
    <row r="49" spans="2:13" ht="11.1" customHeight="1" x14ac:dyDescent="0.2">
      <c r="B49" s="1076"/>
      <c r="G49" s="295"/>
      <c r="H49" s="295"/>
      <c r="I49" s="295"/>
      <c r="J49" s="295"/>
    </row>
    <row r="50" spans="2:13" ht="13.5" customHeight="1" x14ac:dyDescent="0.2">
      <c r="M50" s="1143"/>
    </row>
    <row r="51" spans="2:13" ht="13.5" customHeight="1" x14ac:dyDescent="0.2">
      <c r="M51" s="1143"/>
    </row>
    <row r="52" spans="2:13" ht="13.5" customHeight="1" x14ac:dyDescent="0.2">
      <c r="M52" s="1143"/>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D8C6-CF47-456C-A1E4-2B4C5CC3B4E8}">
  <dimension ref="B1:N152"/>
  <sheetViews>
    <sheetView showGridLines="0" topLeftCell="C3" zoomScaleNormal="100" workbookViewId="0">
      <selection activeCell="I20" sqref="I20"/>
    </sheetView>
  </sheetViews>
  <sheetFormatPr defaultColWidth="33.5703125" defaultRowHeight="12.75" x14ac:dyDescent="0.2"/>
  <cols>
    <col min="1" max="1" width="0.140625" style="295" customWidth="1"/>
    <col min="2" max="2" width="37.1406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3" t="str">
        <f>'Single Audit Cover'!A7</f>
        <v xml:space="preserve"> Macon Piatt Special Education</v>
      </c>
      <c r="C1" s="2575"/>
      <c r="D1" s="2575"/>
      <c r="E1" s="2575"/>
      <c r="F1" s="2575"/>
      <c r="G1" s="2575"/>
      <c r="H1" s="2575"/>
      <c r="I1" s="2575"/>
      <c r="J1" s="2575"/>
      <c r="K1" s="2575"/>
      <c r="L1" s="2575"/>
      <c r="M1" s="2575"/>
    </row>
    <row r="2" spans="2:14" ht="15" x14ac:dyDescent="0.2">
      <c r="B2" s="2576">
        <f>'Single Audit Cover'!E7</f>
        <v>39055061061</v>
      </c>
      <c r="C2" s="2576"/>
      <c r="D2" s="2576"/>
      <c r="E2" s="2576"/>
      <c r="F2" s="2576"/>
      <c r="G2" s="2576"/>
      <c r="H2" s="2576"/>
      <c r="I2" s="2576"/>
      <c r="J2" s="2576"/>
      <c r="K2" s="2576"/>
      <c r="L2" s="2576"/>
      <c r="M2" s="2576"/>
      <c r="N2" s="1078"/>
    </row>
    <row r="3" spans="2:14" ht="15" x14ac:dyDescent="0.2">
      <c r="B3" s="2577" t="s">
        <v>1210</v>
      </c>
      <c r="C3" s="2577"/>
      <c r="D3" s="2577"/>
      <c r="E3" s="2577"/>
      <c r="F3" s="2577"/>
      <c r="G3" s="2577"/>
      <c r="H3" s="2577"/>
      <c r="I3" s="2577"/>
      <c r="J3" s="2577"/>
      <c r="K3" s="2577"/>
      <c r="L3" s="2577"/>
      <c r="M3" s="2577"/>
      <c r="N3" s="1078"/>
    </row>
    <row r="4" spans="2:14" ht="15" x14ac:dyDescent="0.2">
      <c r="B4" s="2578" t="str">
        <f>'Single Audit Cover'!A4</f>
        <v>Year Ending June 30, 2020</v>
      </c>
      <c r="C4" s="2578"/>
      <c r="D4" s="2578"/>
      <c r="E4" s="2578"/>
      <c r="F4" s="2578"/>
      <c r="G4" s="2578"/>
      <c r="H4" s="2578"/>
      <c r="I4" s="2578"/>
      <c r="J4" s="2578"/>
      <c r="K4" s="2578"/>
      <c r="L4" s="2578"/>
      <c r="M4" s="2578"/>
      <c r="N4" s="1078"/>
    </row>
    <row r="5" spans="2:14" x14ac:dyDescent="0.2">
      <c r="H5" s="1916"/>
      <c r="J5" s="1916"/>
    </row>
    <row r="6" spans="2:14" x14ac:dyDescent="0.2">
      <c r="B6" s="1079"/>
      <c r="C6" s="1080"/>
      <c r="D6" s="1081" t="s">
        <v>1256</v>
      </c>
      <c r="E6" s="1082" t="s">
        <v>524</v>
      </c>
      <c r="F6" s="1083"/>
      <c r="G6" s="1084" t="s">
        <v>1711</v>
      </c>
      <c r="H6" s="1082"/>
      <c r="I6" s="1082"/>
      <c r="J6" s="1917"/>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1568</v>
      </c>
      <c r="I9" s="1915"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2081</v>
      </c>
      <c r="C11" s="1821"/>
      <c r="D11" s="1822"/>
      <c r="E11" s="1823"/>
      <c r="F11" s="1823"/>
      <c r="G11" s="1823"/>
      <c r="H11" s="1823"/>
      <c r="I11" s="1823"/>
      <c r="J11" s="1823"/>
      <c r="K11" s="1823"/>
      <c r="L11" s="1823">
        <f>+G11+I11+K11</f>
        <v>0</v>
      </c>
      <c r="M11" s="1823"/>
    </row>
    <row r="12" spans="2:14" ht="20.100000000000001" customHeight="1" x14ac:dyDescent="0.2">
      <c r="B12" s="1113" t="s">
        <v>2082</v>
      </c>
      <c r="C12" s="1824"/>
      <c r="D12" s="1825"/>
      <c r="E12" s="1826"/>
      <c r="F12" s="1826"/>
      <c r="G12" s="1826"/>
      <c r="H12" s="1826"/>
      <c r="I12" s="1826"/>
      <c r="J12" s="1826"/>
      <c r="K12" s="1826"/>
      <c r="L12" s="1823">
        <f t="shared" ref="L12:L27" si="0">+G12+I12+K12</f>
        <v>0</v>
      </c>
      <c r="M12" s="1826"/>
    </row>
    <row r="13" spans="2:14" ht="20.100000000000001" customHeight="1" x14ac:dyDescent="0.2">
      <c r="B13" s="1113" t="s">
        <v>2083</v>
      </c>
      <c r="C13" s="1824">
        <v>93.778000000000006</v>
      </c>
      <c r="D13" s="1825" t="s">
        <v>2084</v>
      </c>
      <c r="E13" s="1826">
        <v>73035</v>
      </c>
      <c r="F13" s="1826"/>
      <c r="G13" s="1826">
        <v>73035</v>
      </c>
      <c r="H13" s="1826"/>
      <c r="I13" s="1826"/>
      <c r="J13" s="1826"/>
      <c r="K13" s="1826"/>
      <c r="L13" s="1823">
        <f t="shared" si="0"/>
        <v>73035</v>
      </c>
      <c r="M13" s="1826" t="s">
        <v>2075</v>
      </c>
    </row>
    <row r="14" spans="2:14" ht="20.100000000000001" customHeight="1" x14ac:dyDescent="0.2">
      <c r="B14" s="1113"/>
      <c r="C14" s="1824"/>
      <c r="D14" s="1825" t="s">
        <v>2085</v>
      </c>
      <c r="E14" s="2036"/>
      <c r="F14" s="2036">
        <v>100181</v>
      </c>
      <c r="G14" s="2036"/>
      <c r="H14" s="2036"/>
      <c r="I14" s="2036">
        <v>100181</v>
      </c>
      <c r="J14" s="2036"/>
      <c r="K14" s="2036"/>
      <c r="L14" s="2037">
        <f t="shared" si="0"/>
        <v>100181</v>
      </c>
      <c r="M14" s="2036" t="s">
        <v>2075</v>
      </c>
    </row>
    <row r="15" spans="2:14" ht="20.100000000000001" customHeight="1" x14ac:dyDescent="0.2">
      <c r="B15" s="1113"/>
      <c r="C15" s="1824"/>
      <c r="D15" s="1825"/>
      <c r="E15" s="2038"/>
      <c r="F15" s="2038"/>
      <c r="G15" s="2038"/>
      <c r="H15" s="2038"/>
      <c r="I15" s="2038"/>
      <c r="J15" s="2038"/>
      <c r="K15" s="2038"/>
      <c r="L15" s="2038">
        <f t="shared" si="0"/>
        <v>0</v>
      </c>
      <c r="M15" s="2038"/>
    </row>
    <row r="16" spans="2:14" ht="20.100000000000001" customHeight="1" x14ac:dyDescent="0.2">
      <c r="B16" s="1113" t="s">
        <v>2086</v>
      </c>
      <c r="C16" s="1824"/>
      <c r="D16" s="1825"/>
      <c r="E16" s="1823">
        <f>E13</f>
        <v>73035</v>
      </c>
      <c r="F16" s="1823">
        <f>F14</f>
        <v>100181</v>
      </c>
      <c r="G16" s="1823">
        <f>G13</f>
        <v>73035</v>
      </c>
      <c r="H16" s="1823"/>
      <c r="I16" s="1823">
        <f>I14</f>
        <v>100181</v>
      </c>
      <c r="J16" s="1823"/>
      <c r="K16" s="1823"/>
      <c r="L16" s="1823">
        <f t="shared" si="0"/>
        <v>173216</v>
      </c>
      <c r="M16" s="1823"/>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2036"/>
      <c r="F18" s="2036"/>
      <c r="G18" s="2036"/>
      <c r="H18" s="2036"/>
      <c r="I18" s="2036"/>
      <c r="J18" s="2036"/>
      <c r="K18" s="2036"/>
      <c r="L18" s="2037">
        <f t="shared" si="0"/>
        <v>0</v>
      </c>
      <c r="M18" s="2036"/>
    </row>
    <row r="19" spans="2:14" ht="20.100000000000001" customHeight="1" x14ac:dyDescent="0.2">
      <c r="B19" s="1113" t="s">
        <v>2087</v>
      </c>
      <c r="C19" s="1824"/>
      <c r="D19" s="1825"/>
      <c r="E19" s="2038">
        <f>E16+' SEFA'!E26</f>
        <v>5131871</v>
      </c>
      <c r="F19" s="2038">
        <f>F16+' SEFA'!F26</f>
        <v>377510</v>
      </c>
      <c r="G19" s="2038">
        <f>G16+' SEFA'!G26</f>
        <v>5245082</v>
      </c>
      <c r="H19" s="2038">
        <f>' SEFA'!H26</f>
        <v>3671682</v>
      </c>
      <c r="I19" s="2038">
        <f>I16+' SEFA'!I26</f>
        <v>185418</v>
      </c>
      <c r="J19" s="2038"/>
      <c r="K19" s="2038"/>
      <c r="L19" s="2038">
        <f t="shared" si="0"/>
        <v>5430500</v>
      </c>
      <c r="M19" s="2038"/>
    </row>
    <row r="20" spans="2:14" ht="20.100000000000001" customHeight="1" x14ac:dyDescent="0.2">
      <c r="B20" s="1113"/>
      <c r="C20" s="1824"/>
      <c r="D20" s="1825"/>
      <c r="E20" s="1823"/>
      <c r="F20" s="1823"/>
      <c r="G20" s="1823"/>
      <c r="H20" s="1823"/>
      <c r="I20" s="1823"/>
      <c r="J20" s="1823"/>
      <c r="K20" s="1823"/>
      <c r="L20" s="1823">
        <f t="shared" si="0"/>
        <v>0</v>
      </c>
      <c r="M20" s="1823"/>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2041"/>
      <c r="E23" s="2036"/>
      <c r="F23" s="2036"/>
      <c r="G23" s="2036"/>
      <c r="H23" s="2036"/>
      <c r="I23" s="2036"/>
      <c r="J23" s="2036"/>
      <c r="K23" s="2036"/>
      <c r="L23" s="2037">
        <f t="shared" si="0"/>
        <v>0</v>
      </c>
      <c r="M23" s="2036"/>
    </row>
    <row r="24" spans="2:14" ht="20.100000000000001" customHeight="1" x14ac:dyDescent="0.2">
      <c r="B24" s="1113"/>
      <c r="C24" s="1824"/>
      <c r="D24" s="1825"/>
      <c r="E24" s="2038"/>
      <c r="F24" s="2038"/>
      <c r="G24" s="2038"/>
      <c r="H24" s="2038"/>
      <c r="I24" s="2038"/>
      <c r="J24" s="2038"/>
      <c r="K24" s="2038"/>
      <c r="L24" s="2038">
        <f t="shared" si="0"/>
        <v>0</v>
      </c>
      <c r="M24" s="2038"/>
    </row>
    <row r="25" spans="2:14" ht="20.100000000000001" customHeight="1" x14ac:dyDescent="0.2">
      <c r="B25" s="1113"/>
      <c r="C25" s="1824"/>
      <c r="D25" s="1825"/>
      <c r="E25" s="2038"/>
      <c r="F25" s="2038"/>
      <c r="G25" s="2038"/>
      <c r="H25" s="2038"/>
      <c r="I25" s="2038"/>
      <c r="J25" s="2038"/>
      <c r="K25" s="2038"/>
      <c r="L25" s="2038">
        <f t="shared" si="0"/>
        <v>0</v>
      </c>
      <c r="M25" s="2038"/>
    </row>
    <row r="26" spans="2:14" ht="20.100000000000001" customHeight="1" x14ac:dyDescent="0.2">
      <c r="B26" s="1113"/>
      <c r="C26" s="1824"/>
      <c r="D26" s="1825"/>
      <c r="E26" s="2037"/>
      <c r="F26" s="2037"/>
      <c r="G26" s="2037"/>
      <c r="H26" s="2037"/>
      <c r="I26" s="2037"/>
      <c r="J26" s="2037"/>
      <c r="K26" s="2037"/>
      <c r="L26" s="2037">
        <f t="shared" si="0"/>
        <v>0</v>
      </c>
      <c r="M26" s="2037"/>
    </row>
    <row r="27" spans="2:14" ht="20.100000000000001" customHeight="1" x14ac:dyDescent="0.2">
      <c r="B27" s="1113"/>
      <c r="C27" s="1824"/>
      <c r="D27" s="1825"/>
      <c r="E27" s="2038"/>
      <c r="F27" s="2038"/>
      <c r="G27" s="2038"/>
      <c r="H27" s="2038"/>
      <c r="I27" s="2038"/>
      <c r="J27" s="2038"/>
      <c r="K27" s="2038"/>
      <c r="L27" s="2038">
        <f t="shared" si="0"/>
        <v>0</v>
      </c>
      <c r="M27" s="2038"/>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1160</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7" t="s">
        <v>1619</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1314</v>
      </c>
      <c r="B70" s="2180"/>
      <c r="C70" s="2180"/>
      <c r="D70" s="2180"/>
      <c r="E70" s="2181"/>
      <c r="F70" s="2181"/>
      <c r="G70" s="2181"/>
      <c r="H70" s="2181"/>
      <c r="I70" s="218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1311</v>
      </c>
      <c r="B83" s="2182"/>
      <c r="C83" s="2182"/>
      <c r="D83" s="218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3" t="s">
        <v>1989</v>
      </c>
      <c r="B85" s="2193"/>
      <c r="C85" s="2193"/>
      <c r="D85" s="2194"/>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5" t="s">
        <v>1989</v>
      </c>
      <c r="B88" s="2196"/>
      <c r="C88" s="2196"/>
      <c r="D88" s="2197"/>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2057</v>
      </c>
      <c r="D114" s="217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1321</v>
      </c>
      <c r="D117" s="2175"/>
      <c r="E117" s="2176"/>
      <c r="F117" s="2176"/>
      <c r="G117" s="2176"/>
      <c r="H117" s="217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33" sqref="A3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8" t="str">
        <f>'Single Audit Cover'!A7</f>
        <v xml:space="preserve"> Macon Piatt Special Education</v>
      </c>
      <c r="B1" s="2588"/>
      <c r="C1" s="2588"/>
      <c r="D1" s="2588"/>
      <c r="E1" s="2588"/>
      <c r="F1" s="2588"/>
    </row>
    <row r="2" spans="1:7" ht="13.5" customHeight="1" x14ac:dyDescent="0.2">
      <c r="A2" s="2576">
        <f>'Single Audit Cover'!E7</f>
        <v>39055061061</v>
      </c>
      <c r="B2" s="2576"/>
      <c r="C2" s="2576"/>
      <c r="D2" s="2576"/>
      <c r="E2" s="2576"/>
      <c r="F2" s="2576"/>
      <c r="G2" s="1051"/>
    </row>
    <row r="3" spans="1:7" ht="15.75" customHeight="1" x14ac:dyDescent="0.2">
      <c r="A3" s="2589" t="s">
        <v>1262</v>
      </c>
      <c r="B3" s="2589"/>
      <c r="C3" s="2589"/>
      <c r="D3" s="2589"/>
      <c r="E3" s="2589"/>
      <c r="F3" s="2589"/>
    </row>
    <row r="4" spans="1:7" ht="13.5" customHeight="1" x14ac:dyDescent="0.2">
      <c r="A4" s="2590" t="str">
        <f>'Single Audit Cover'!A4</f>
        <v>Year Ending June 30, 2020</v>
      </c>
      <c r="B4" s="2590"/>
      <c r="C4" s="2590"/>
      <c r="D4" s="2590"/>
      <c r="E4" s="2590"/>
      <c r="F4" s="2590"/>
    </row>
    <row r="5" spans="1:7" ht="8.25" customHeight="1" x14ac:dyDescent="0.2">
      <c r="C5" s="295"/>
      <c r="D5" s="295"/>
    </row>
    <row r="6" spans="1:7" ht="13.5" customHeight="1" x14ac:dyDescent="0.2">
      <c r="A6" s="1052" t="s">
        <v>1708</v>
      </c>
      <c r="C6" s="295"/>
      <c r="D6" s="295"/>
    </row>
    <row r="7" spans="1:7" ht="60.95" customHeight="1" x14ac:dyDescent="0.2">
      <c r="A7" s="2587" t="s">
        <v>2094</v>
      </c>
      <c r="B7" s="2587"/>
      <c r="C7" s="2587"/>
      <c r="D7" s="2587"/>
      <c r="E7" s="2587"/>
      <c r="F7" s="2587"/>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2048</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22.5" customHeight="1" x14ac:dyDescent="0.2">
      <c r="A13" s="2587" t="s">
        <v>2095</v>
      </c>
      <c r="B13" s="2587"/>
      <c r="C13" s="2587"/>
      <c r="D13" s="2587"/>
      <c r="E13" s="2587"/>
      <c r="F13" s="2587"/>
    </row>
    <row r="14" spans="1:7" ht="9.75" customHeight="1" x14ac:dyDescent="0.2">
      <c r="C14" s="1036"/>
      <c r="D14" s="1036"/>
    </row>
    <row r="15" spans="1:7" ht="13.5" customHeight="1" x14ac:dyDescent="0.2">
      <c r="C15" s="1476" t="s">
        <v>1261</v>
      </c>
      <c r="D15" s="2585" t="s">
        <v>1260</v>
      </c>
      <c r="E15" s="2585"/>
      <c r="F15" s="2585"/>
    </row>
    <row r="16" spans="1:7" ht="13.5" customHeight="1" x14ac:dyDescent="0.2">
      <c r="A16" s="1058"/>
      <c r="B16" s="1052" t="s">
        <v>1259</v>
      </c>
      <c r="C16" s="1476" t="s">
        <v>1258</v>
      </c>
      <c r="D16" s="2586" t="s">
        <v>1574</v>
      </c>
      <c r="E16" s="2586"/>
      <c r="F16" s="2586"/>
    </row>
    <row r="17" spans="1:6" ht="20.45" customHeight="1" x14ac:dyDescent="0.2">
      <c r="A17" s="1059"/>
      <c r="B17" s="1060"/>
      <c r="C17" s="1061"/>
      <c r="D17" s="2580"/>
      <c r="E17" s="2580"/>
      <c r="F17" s="2580"/>
    </row>
    <row r="18" spans="1:6" ht="20.65" customHeight="1" x14ac:dyDescent="0.2">
      <c r="A18" s="1059"/>
      <c r="B18" s="1060"/>
      <c r="C18" s="1061"/>
      <c r="D18" s="2580"/>
      <c r="E18" s="2580"/>
      <c r="F18" s="2580"/>
    </row>
    <row r="19" spans="1:6" ht="20.65" customHeight="1" x14ac:dyDescent="0.2">
      <c r="A19" s="1059"/>
      <c r="B19" s="1060"/>
      <c r="C19" s="1061"/>
      <c r="D19" s="2580"/>
      <c r="E19" s="2580"/>
      <c r="F19" s="2580"/>
    </row>
    <row r="20" spans="1:6" ht="20.65" customHeight="1" x14ac:dyDescent="0.2">
      <c r="A20" s="1059"/>
      <c r="B20" s="1060"/>
      <c r="C20" s="1061"/>
      <c r="D20" s="2580"/>
      <c r="E20" s="2580"/>
      <c r="F20" s="2580"/>
    </row>
    <row r="21" spans="1:6" ht="20.65" customHeight="1" x14ac:dyDescent="0.2">
      <c r="A21" s="1059"/>
      <c r="B21" s="1060"/>
      <c r="C21" s="1061"/>
      <c r="D21" s="2580"/>
      <c r="E21" s="2580"/>
      <c r="F21" s="2580"/>
    </row>
    <row r="22" spans="1:6" ht="20.65" customHeight="1" x14ac:dyDescent="0.2">
      <c r="A22" s="1059"/>
      <c r="B22" s="1060"/>
      <c r="C22" s="1061"/>
      <c r="D22" s="2580"/>
      <c r="E22" s="2580"/>
      <c r="F22" s="2580"/>
    </row>
    <row r="23" spans="1:6" ht="20.65" customHeight="1" x14ac:dyDescent="0.2">
      <c r="A23" s="1059"/>
      <c r="B23" s="1060"/>
      <c r="C23" s="1061"/>
      <c r="D23" s="2580"/>
      <c r="E23" s="2580"/>
      <c r="F23" s="2580"/>
    </row>
    <row r="24" spans="1:6" ht="20.65" customHeight="1" x14ac:dyDescent="0.2">
      <c r="A24" s="1059"/>
      <c r="B24" s="1060"/>
      <c r="C24" s="1061"/>
      <c r="D24" s="2580"/>
      <c r="E24" s="2580"/>
      <c r="F24" s="2580"/>
    </row>
    <row r="25" spans="1:6" ht="20.65" customHeight="1" x14ac:dyDescent="0.2">
      <c r="A25" s="1059"/>
      <c r="B25" s="1060"/>
      <c r="C25" s="1061"/>
      <c r="D25" s="2580"/>
      <c r="E25" s="2580"/>
      <c r="F25" s="2580"/>
    </row>
    <row r="26" spans="1:6" ht="20.65" customHeight="1" x14ac:dyDescent="0.2">
      <c r="A26" s="1059"/>
      <c r="B26" s="1060"/>
      <c r="C26" s="1061"/>
      <c r="D26" s="2580"/>
      <c r="E26" s="2580"/>
      <c r="F26" s="2580"/>
    </row>
    <row r="27" spans="1:6" ht="20.65" customHeight="1" x14ac:dyDescent="0.2">
      <c r="A27" s="1059"/>
      <c r="B27" s="1060"/>
      <c r="C27" s="1061"/>
      <c r="D27" s="2580"/>
      <c r="E27" s="2580"/>
      <c r="F27" s="2580"/>
    </row>
    <row r="28" spans="1:6" ht="20.65" customHeight="1" x14ac:dyDescent="0.2">
      <c r="A28" s="1059"/>
      <c r="B28" s="1060"/>
      <c r="C28" s="1061"/>
      <c r="D28" s="2580"/>
      <c r="E28" s="2580"/>
      <c r="F28" s="2580"/>
    </row>
    <row r="29" spans="1:6" ht="20.65" customHeight="1" x14ac:dyDescent="0.2">
      <c r="A29" s="1059"/>
      <c r="B29" s="1060"/>
      <c r="C29" s="1061"/>
      <c r="D29" s="2580"/>
      <c r="E29" s="2580"/>
      <c r="F29" s="2580"/>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1" t="s">
        <v>2096</v>
      </c>
      <c r="B32" s="2581"/>
      <c r="C32" s="2581"/>
      <c r="D32" s="2581"/>
      <c r="E32" s="2581"/>
      <c r="F32" s="2581"/>
    </row>
    <row r="33" spans="1:6" ht="13.5" customHeight="1" x14ac:dyDescent="0.2">
      <c r="A33" s="306" t="s">
        <v>1420</v>
      </c>
      <c r="B33" s="306"/>
      <c r="C33" s="1064">
        <v>0</v>
      </c>
      <c r="D33" s="1526"/>
      <c r="E33" s="1062"/>
    </row>
    <row r="34" spans="1:6" ht="13.5" customHeight="1" x14ac:dyDescent="0.2">
      <c r="A34" s="306" t="s">
        <v>1811</v>
      </c>
      <c r="B34" s="306"/>
      <c r="C34" s="1065">
        <v>0</v>
      </c>
      <c r="D34" s="1526" t="s">
        <v>1575</v>
      </c>
      <c r="E34" s="2582">
        <f>+C33+C34</f>
        <v>0</v>
      </c>
      <c r="F34" s="2583"/>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1576</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79" t="s">
        <v>1537</v>
      </c>
      <c r="C51" s="2579"/>
      <c r="D51" s="2579"/>
    </row>
    <row r="52" spans="1:5" ht="14.25" customHeight="1" x14ac:dyDescent="0.2">
      <c r="A52" s="1077"/>
      <c r="B52" s="2579"/>
      <c r="C52" s="2579"/>
      <c r="D52" s="2579"/>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Macon Piatt Special Education</v>
      </c>
      <c r="C1" s="2603"/>
      <c r="D1" s="2603"/>
      <c r="E1" s="2603"/>
      <c r="F1" s="2603"/>
      <c r="G1" s="2603"/>
      <c r="H1" s="2603"/>
      <c r="I1" s="2603"/>
      <c r="J1" s="1178"/>
    </row>
    <row r="2" spans="2:10" s="295" customFormat="1" ht="12.75" customHeight="1" x14ac:dyDescent="0.2">
      <c r="B2" s="2604">
        <f>'Single Audit Cover'!E7</f>
        <v>39055061061</v>
      </c>
      <c r="C2" s="2605"/>
      <c r="D2" s="2605"/>
      <c r="E2" s="2605"/>
      <c r="F2" s="2605"/>
      <c r="G2" s="2605"/>
      <c r="H2" s="2605"/>
      <c r="I2" s="2605"/>
      <c r="J2" s="1178"/>
    </row>
    <row r="3" spans="2:10" s="295" customFormat="1" ht="12.75" customHeight="1" x14ac:dyDescent="0.2">
      <c r="B3" s="2606" t="s">
        <v>1276</v>
      </c>
      <c r="C3" s="2607"/>
      <c r="D3" s="2607"/>
      <c r="E3" s="2607"/>
      <c r="F3" s="2607"/>
      <c r="G3" s="2607"/>
      <c r="H3" s="2607"/>
      <c r="I3" s="2607"/>
      <c r="J3" s="1179"/>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6" t="s">
        <v>1275</v>
      </c>
      <c r="C7" s="2607"/>
      <c r="D7" s="2607"/>
      <c r="E7" s="2607"/>
      <c r="F7" s="2607"/>
      <c r="G7" s="2607"/>
      <c r="H7" s="2607"/>
      <c r="I7" s="2607"/>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8"/>
      <c r="D11" s="2608"/>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9"/>
      <c r="E29" s="2609"/>
      <c r="F29" s="2609"/>
      <c r="G29" s="2609"/>
      <c r="H29" s="2609"/>
      <c r="I29" s="260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0" t="s">
        <v>1728</v>
      </c>
      <c r="D37" s="2611"/>
      <c r="E37" s="2611"/>
      <c r="F37" s="2612"/>
      <c r="G37" s="2610" t="s">
        <v>1578</v>
      </c>
      <c r="H37" s="2611"/>
      <c r="I37" s="2612"/>
    </row>
    <row r="38" spans="2:9" ht="16.5" customHeight="1" x14ac:dyDescent="0.2">
      <c r="B38" s="1200"/>
      <c r="C38" s="2598"/>
      <c r="D38" s="2599"/>
      <c r="E38" s="2599"/>
      <c r="F38" s="2600"/>
      <c r="G38" s="2613"/>
      <c r="H38" s="2614"/>
      <c r="I38" s="2615"/>
    </row>
    <row r="39" spans="2:9" ht="16.5" customHeight="1" x14ac:dyDescent="0.2">
      <c r="B39" s="1200"/>
      <c r="C39" s="2598"/>
      <c r="D39" s="2599"/>
      <c r="E39" s="2599"/>
      <c r="F39" s="2600"/>
      <c r="G39" s="2601"/>
      <c r="H39" s="2601"/>
      <c r="I39" s="2601"/>
    </row>
    <row r="40" spans="2:9" ht="16.5" customHeight="1" x14ac:dyDescent="0.2">
      <c r="B40" s="1200"/>
      <c r="C40" s="2598"/>
      <c r="D40" s="2599"/>
      <c r="E40" s="2599"/>
      <c r="F40" s="2600"/>
      <c r="G40" s="2601"/>
      <c r="H40" s="2601"/>
      <c r="I40" s="2601"/>
    </row>
    <row r="41" spans="2:9" ht="16.5" customHeight="1" x14ac:dyDescent="0.2">
      <c r="B41" s="1200"/>
      <c r="C41" s="2598"/>
      <c r="D41" s="2599"/>
      <c r="E41" s="2599"/>
      <c r="F41" s="2600"/>
      <c r="G41" s="2601"/>
      <c r="H41" s="2601"/>
      <c r="I41" s="2601"/>
    </row>
    <row r="42" spans="2:9" ht="16.5" customHeight="1" x14ac:dyDescent="0.2">
      <c r="B42" s="1200"/>
      <c r="C42" s="2598"/>
      <c r="D42" s="2599"/>
      <c r="E42" s="2599"/>
      <c r="F42" s="2600"/>
      <c r="G42" s="2601"/>
      <c r="H42" s="2601"/>
      <c r="I42" s="2601"/>
    </row>
    <row r="43" spans="2:9" ht="16.5" customHeight="1" x14ac:dyDescent="0.2">
      <c r="B43" s="1200"/>
      <c r="C43" s="2591" t="s">
        <v>1579</v>
      </c>
      <c r="D43" s="2592"/>
      <c r="E43" s="2592"/>
      <c r="F43" s="2593"/>
      <c r="G43" s="2594">
        <f>SUM(G38:I42)</f>
        <v>0</v>
      </c>
      <c r="H43" s="2594"/>
      <c r="I43" s="2594"/>
    </row>
    <row r="44" spans="2:9" ht="12.75" customHeight="1" x14ac:dyDescent="0.2"/>
    <row r="45" spans="2:9" ht="12.75" customHeight="1" x14ac:dyDescent="0.2">
      <c r="B45" s="1918" t="str">
        <f>"Total Federal Expenditures for 7/1/"&amp;MID('AFR20'!E2,3,2)-1&amp;"-6/30/"&amp;MID('AFR20'!E2,3,2)</f>
        <v>Total Federal Expenditures for 7/1/19-6/30/20</v>
      </c>
      <c r="C45" s="1919"/>
      <c r="D45" s="2595">
        <v>0</v>
      </c>
      <c r="E45" s="2596"/>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97"/>
      <c r="F49" s="2597"/>
      <c r="G49" s="2597"/>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1583</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Macon Piatt Special Education</v>
      </c>
      <c r="C1" s="2602"/>
      <c r="D1" s="2602"/>
      <c r="E1" s="2602"/>
      <c r="F1" s="2602"/>
      <c r="G1" s="2602"/>
      <c r="H1" s="2602"/>
      <c r="I1" s="2602"/>
      <c r="J1" s="2602"/>
      <c r="K1" s="2602"/>
      <c r="L1" s="1144"/>
      <c r="M1" s="1144"/>
    </row>
    <row r="2" spans="1:13" ht="12" customHeight="1" x14ac:dyDescent="0.2">
      <c r="B2" s="2604">
        <f>'Single Audit Cover'!E7</f>
        <v>39055061061</v>
      </c>
      <c r="C2" s="2604"/>
      <c r="D2" s="2604"/>
      <c r="E2" s="2604"/>
      <c r="F2" s="2604"/>
      <c r="G2" s="2604"/>
      <c r="H2" s="2604"/>
      <c r="I2" s="2604"/>
      <c r="J2" s="2604"/>
      <c r="K2" s="2604"/>
      <c r="L2" s="1145"/>
      <c r="M2" s="1146"/>
    </row>
    <row r="3" spans="1:13" ht="10.35" customHeight="1" x14ac:dyDescent="0.2">
      <c r="B3" s="2618" t="s">
        <v>1276</v>
      </c>
      <c r="C3" s="2618"/>
      <c r="D3" s="2618"/>
      <c r="E3" s="2618"/>
      <c r="F3" s="2618"/>
      <c r="G3" s="2618"/>
      <c r="H3" s="2618"/>
      <c r="I3" s="2618"/>
      <c r="J3" s="2618"/>
      <c r="K3" s="2618"/>
      <c r="L3" s="1147"/>
      <c r="M3" s="1147"/>
    </row>
    <row r="4" spans="1:13" ht="14.25" customHeight="1" x14ac:dyDescent="0.2">
      <c r="B4" s="2619" t="str">
        <f>'Single Audit Cover'!A4</f>
        <v>Year Ending June 30, 2020</v>
      </c>
      <c r="C4" s="2619"/>
      <c r="D4" s="2619"/>
      <c r="E4" s="2619"/>
      <c r="F4" s="2619"/>
      <c r="G4" s="2619"/>
      <c r="H4" s="2619"/>
      <c r="I4" s="2619"/>
      <c r="J4" s="2619"/>
      <c r="K4" s="2619"/>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9" t="s">
        <v>1287</v>
      </c>
      <c r="C7" s="2619"/>
      <c r="D7" s="2620"/>
      <c r="E7" s="2620"/>
      <c r="F7" s="2620"/>
      <c r="G7" s="2620"/>
      <c r="H7" s="2620"/>
      <c r="I7" s="2620"/>
      <c r="J7" s="2620"/>
      <c r="K7" s="26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7"/>
      <c r="C14" s="2617"/>
      <c r="D14" s="2617"/>
      <c r="E14" s="2617"/>
      <c r="F14" s="2617"/>
      <c r="G14" s="2617"/>
      <c r="H14" s="2617"/>
      <c r="I14" s="2617"/>
      <c r="J14" s="2617"/>
      <c r="K14" s="261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7"/>
      <c r="C17" s="2617"/>
      <c r="D17" s="2617"/>
      <c r="E17" s="2617"/>
      <c r="F17" s="2617"/>
      <c r="G17" s="2617"/>
      <c r="H17" s="2617"/>
      <c r="I17" s="2617"/>
      <c r="J17" s="2617"/>
      <c r="K17" s="2617"/>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1"/>
      <c r="C20" s="2621"/>
      <c r="D20" s="2617"/>
      <c r="E20" s="2617"/>
      <c r="F20" s="2617"/>
      <c r="G20" s="2617"/>
      <c r="H20" s="2617"/>
      <c r="I20" s="2617"/>
      <c r="J20" s="2617"/>
      <c r="K20" s="2617"/>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7"/>
      <c r="C23" s="2617"/>
      <c r="D23" s="2617"/>
      <c r="E23" s="2617"/>
      <c r="F23" s="2617"/>
      <c r="G23" s="2617"/>
      <c r="H23" s="2617"/>
      <c r="I23" s="2617"/>
      <c r="J23" s="2617"/>
      <c r="K23" s="2617"/>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7"/>
      <c r="C26" s="2617"/>
      <c r="D26" s="2617"/>
      <c r="E26" s="2617"/>
      <c r="F26" s="2617"/>
      <c r="G26" s="2617"/>
      <c r="H26" s="2617"/>
      <c r="I26" s="2617"/>
      <c r="J26" s="2617"/>
      <c r="K26" s="2617"/>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6"/>
      <c r="C29" s="2616"/>
      <c r="D29" s="2617"/>
      <c r="E29" s="2617"/>
      <c r="F29" s="2617"/>
      <c r="G29" s="2617"/>
      <c r="H29" s="2617"/>
      <c r="I29" s="2617"/>
      <c r="J29" s="2617"/>
      <c r="K29" s="261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6"/>
      <c r="C32" s="2616"/>
      <c r="D32" s="2617"/>
      <c r="E32" s="2617"/>
      <c r="F32" s="2617"/>
      <c r="G32" s="2617"/>
      <c r="H32" s="2617"/>
      <c r="I32" s="2617"/>
      <c r="J32" s="2617"/>
      <c r="K32" s="261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1277</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28" sqref="I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Macon Piatt Special Education</v>
      </c>
      <c r="C1" s="2625"/>
      <c r="D1" s="2625"/>
      <c r="E1" s="2625"/>
      <c r="F1" s="2625"/>
      <c r="G1" s="2625"/>
      <c r="H1" s="2625"/>
      <c r="I1" s="2625"/>
      <c r="J1" s="2625"/>
      <c r="K1" s="2625"/>
      <c r="L1" s="1221"/>
    </row>
    <row r="2" spans="1:12" ht="12.75" customHeight="1" x14ac:dyDescent="0.2">
      <c r="B2" s="2626">
        <f>'Single Audit Cover'!E7</f>
        <v>39055061061</v>
      </c>
      <c r="C2" s="2626"/>
      <c r="D2" s="2626"/>
      <c r="E2" s="2626"/>
      <c r="F2" s="2626"/>
      <c r="G2" s="2626"/>
      <c r="H2" s="2626"/>
      <c r="I2" s="2626"/>
      <c r="J2" s="2626"/>
      <c r="K2" s="2626"/>
      <c r="L2" s="1222"/>
    </row>
    <row r="3" spans="1:12" ht="12.75" customHeight="1" x14ac:dyDescent="0.2">
      <c r="B3" s="2618" t="s">
        <v>1276</v>
      </c>
      <c r="C3" s="2618"/>
      <c r="D3" s="2618"/>
      <c r="E3" s="2618"/>
      <c r="F3" s="2618"/>
      <c r="G3" s="2618"/>
      <c r="H3" s="2618"/>
      <c r="I3" s="2618"/>
      <c r="J3" s="2618"/>
      <c r="K3" s="2618"/>
      <c r="L3" s="1147"/>
    </row>
    <row r="4" spans="1:12" ht="12.75" customHeight="1" x14ac:dyDescent="0.2">
      <c r="B4" s="2618" t="str">
        <f>'Single Audit Cover'!A4</f>
        <v>Year Ending June 30, 2020</v>
      </c>
      <c r="C4" s="2618"/>
      <c r="D4" s="2618"/>
      <c r="E4" s="2618"/>
      <c r="F4" s="2618"/>
      <c r="G4" s="2618"/>
      <c r="H4" s="2618"/>
      <c r="I4" s="2618"/>
      <c r="J4" s="2618"/>
      <c r="K4" s="2618"/>
      <c r="L4" s="1147"/>
    </row>
    <row r="5" spans="1:12" ht="5.25" customHeight="1" x14ac:dyDescent="0.2">
      <c r="B5" s="1036" t="s">
        <v>1161</v>
      </c>
      <c r="C5" s="1036"/>
      <c r="L5" s="300"/>
    </row>
    <row r="6" spans="1:12" ht="30.75" customHeight="1" x14ac:dyDescent="0.2">
      <c r="A6" s="300"/>
      <c r="B6" s="2627" t="s">
        <v>1299</v>
      </c>
      <c r="C6" s="2627"/>
      <c r="D6" s="2627"/>
      <c r="E6" s="2627"/>
      <c r="F6" s="2627"/>
      <c r="G6" s="2627"/>
      <c r="H6" s="2627"/>
      <c r="I6" s="2627"/>
      <c r="J6" s="2627"/>
      <c r="K6" s="262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9"/>
      <c r="G12" s="2609"/>
      <c r="H12" s="2609"/>
      <c r="I12" s="2609"/>
      <c r="J12" s="2609"/>
      <c r="K12" s="260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2"/>
      <c r="E14" s="2622"/>
      <c r="F14" s="2622"/>
      <c r="H14" s="1230" t="s">
        <v>1294</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3"/>
      <c r="E16" s="2623"/>
      <c r="F16" s="2623"/>
      <c r="G16" s="2623"/>
      <c r="H16" s="2623"/>
      <c r="I16" s="2623"/>
      <c r="J16" s="2623"/>
      <c r="K16" s="2623"/>
      <c r="L16" s="300"/>
    </row>
    <row r="17" spans="2:12" ht="13.5" customHeight="1" x14ac:dyDescent="0.2">
      <c r="B17" s="1156" t="s">
        <v>1292</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7"/>
      <c r="C20" s="2617"/>
      <c r="D20" s="2617"/>
      <c r="E20" s="2617"/>
      <c r="F20" s="2617"/>
      <c r="G20" s="2617"/>
      <c r="H20" s="2617"/>
      <c r="I20" s="2617"/>
      <c r="J20" s="2617"/>
      <c r="K20" s="261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7"/>
      <c r="C23" s="2617"/>
      <c r="D23" s="2617"/>
      <c r="E23" s="2617"/>
      <c r="F23" s="2617"/>
      <c r="G23" s="2617"/>
      <c r="H23" s="2617"/>
      <c r="I23" s="2617"/>
      <c r="J23" s="2617"/>
      <c r="K23" s="261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7"/>
      <c r="C26" s="2617"/>
      <c r="D26" s="2617"/>
      <c r="E26" s="2617"/>
      <c r="F26" s="2617"/>
      <c r="G26" s="2617"/>
      <c r="H26" s="2617"/>
      <c r="I26" s="2617"/>
      <c r="J26" s="2617"/>
      <c r="K26" s="261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7"/>
      <c r="C29" s="2617"/>
      <c r="D29" s="2617"/>
      <c r="E29" s="2617"/>
      <c r="F29" s="2617"/>
      <c r="G29" s="2617"/>
      <c r="H29" s="2617"/>
      <c r="I29" s="2617"/>
      <c r="J29" s="2617"/>
      <c r="K29" s="261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7"/>
      <c r="C32" s="2617"/>
      <c r="D32" s="2617"/>
      <c r="E32" s="2617"/>
      <c r="F32" s="2617"/>
      <c r="G32" s="2617"/>
      <c r="H32" s="2617"/>
      <c r="I32" s="2617"/>
      <c r="J32" s="2617"/>
      <c r="K32" s="261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7"/>
      <c r="C35" s="2617"/>
      <c r="D35" s="2617"/>
      <c r="E35" s="2617"/>
      <c r="F35" s="2617"/>
      <c r="G35" s="2617"/>
      <c r="H35" s="2617"/>
      <c r="I35" s="2617"/>
      <c r="J35" s="2617"/>
      <c r="K35" s="261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7"/>
      <c r="C38" s="2617"/>
      <c r="D38" s="2617"/>
      <c r="E38" s="2617"/>
      <c r="F38" s="2617"/>
      <c r="G38" s="2617"/>
      <c r="H38" s="2617"/>
      <c r="I38" s="2617"/>
      <c r="J38" s="2617"/>
      <c r="K38" s="261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7"/>
      <c r="C41" s="2617"/>
      <c r="D41" s="2617"/>
      <c r="E41" s="2617"/>
      <c r="F41" s="2617"/>
      <c r="G41" s="2617"/>
      <c r="H41" s="2617"/>
      <c r="I41" s="2617"/>
      <c r="J41" s="2617"/>
      <c r="K41" s="261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2" t="str">
        <f>'Single Audit Cover'!A7</f>
        <v xml:space="preserve"> Macon Piatt Special Education</v>
      </c>
      <c r="C1" s="2602"/>
      <c r="D1" s="2602"/>
      <c r="E1" s="1240"/>
    </row>
    <row r="2" spans="2:5" s="1058" customFormat="1" ht="12.75" customHeight="1" x14ac:dyDescent="0.2">
      <c r="B2" s="2604">
        <f>'Single Audit Cover'!E7</f>
        <v>39055061061</v>
      </c>
      <c r="C2" s="2604"/>
      <c r="D2" s="2604"/>
      <c r="E2" s="1241"/>
    </row>
    <row r="3" spans="2:5" ht="12.75" customHeight="1" x14ac:dyDescent="0.2">
      <c r="B3" s="2618" t="s">
        <v>1743</v>
      </c>
      <c r="C3" s="2618"/>
      <c r="D3" s="2618"/>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1744</v>
      </c>
      <c r="C5" s="306"/>
      <c r="D5" s="306"/>
      <c r="E5" s="306"/>
    </row>
    <row r="6" spans="2:5" s="1058" customFormat="1" ht="13.5" customHeight="1" x14ac:dyDescent="0.2">
      <c r="B6" s="1244" t="s">
        <v>1306</v>
      </c>
      <c r="C6" s="1244" t="s">
        <v>1305</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1746</v>
      </c>
    </row>
    <row r="46" spans="2:5" ht="12.2" customHeight="1" x14ac:dyDescent="0.2">
      <c r="B46" s="1254" t="s">
        <v>1747</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18252322</v>
      </c>
      <c r="E16" s="1547"/>
      <c r="F16" s="1546">
        <f>SUM('Acct Summary 7-8'!C17,'Acct Summary 7-8'!D17,'Acct Summary 7-8'!F17)</f>
        <v>17224128</v>
      </c>
      <c r="G16" s="1547"/>
      <c r="H16" s="1546">
        <f>SUM(D16-F16)</f>
        <v>1028194</v>
      </c>
      <c r="I16" s="1548"/>
      <c r="J16" s="1546">
        <f>SUM('Acct Summary 7-8'!C81,'Acct Summary 7-8'!D81,'Acct Summary 7-8'!F81,'Acct Summary 7-8'!I81)</f>
        <v>5042708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1399</v>
      </c>
      <c r="B3" s="2218"/>
      <c r="C3" s="2218"/>
      <c r="D3" s="2218"/>
      <c r="E3" s="2218"/>
      <c r="F3" s="2218"/>
      <c r="G3" s="2218"/>
      <c r="H3" s="2218"/>
      <c r="I3" s="2218"/>
      <c r="J3" s="2218"/>
      <c r="K3" s="2218"/>
      <c r="L3" s="2218"/>
      <c r="M3" s="2218"/>
      <c r="N3" s="2218"/>
      <c r="O3" s="2218"/>
      <c r="P3" s="2218"/>
      <c r="Q3" s="2218"/>
      <c r="R3" s="2218"/>
    </row>
    <row r="4" spans="1:18" x14ac:dyDescent="0.2">
      <c r="A4" s="2219" t="s">
        <v>1540</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Macon Piatt Special Education</v>
      </c>
      <c r="E7" s="368"/>
      <c r="G7" s="247"/>
      <c r="H7" s="364"/>
      <c r="I7" s="364"/>
      <c r="J7" s="364"/>
      <c r="K7" s="364"/>
      <c r="L7" s="307"/>
      <c r="M7" s="307"/>
      <c r="N7" s="307"/>
      <c r="O7" s="307"/>
      <c r="P7" s="307"/>
    </row>
    <row r="8" spans="1:18" ht="12.75" x14ac:dyDescent="0.2">
      <c r="A8" s="307"/>
      <c r="B8" s="307"/>
      <c r="C8" s="366" t="s">
        <v>1117</v>
      </c>
      <c r="D8" s="369">
        <f>COVER!A13</f>
        <v>39055061061</v>
      </c>
      <c r="E8" s="370"/>
      <c r="G8" s="307"/>
      <c r="H8" s="307"/>
      <c r="I8" s="307"/>
      <c r="J8" s="307"/>
      <c r="K8" s="307"/>
      <c r="L8" s="307"/>
      <c r="M8" s="307"/>
      <c r="N8" s="307"/>
      <c r="O8" s="307"/>
      <c r="P8" s="307"/>
    </row>
    <row r="9" spans="1:18" ht="12.75" x14ac:dyDescent="0.2">
      <c r="A9" s="307"/>
      <c r="B9" s="307"/>
      <c r="C9" s="366" t="s">
        <v>708</v>
      </c>
      <c r="D9" s="371" t="str">
        <f>COVER!A15</f>
        <v>Macon-Piatt</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5042708</v>
      </c>
      <c r="I12" s="380"/>
      <c r="J12" s="380"/>
      <c r="K12" s="1559">
        <f>TRUNC((H12/H13*100000),5)/100000</f>
        <v>0.27627761550000002</v>
      </c>
      <c r="L12" s="381"/>
      <c r="M12" s="337" t="s">
        <v>1136</v>
      </c>
      <c r="N12" s="337"/>
      <c r="O12" s="1562">
        <v>0.35</v>
      </c>
      <c r="P12" s="213"/>
      <c r="Q12" s="213"/>
    </row>
    <row r="13" spans="1:18" s="382" customFormat="1" ht="12.75" x14ac:dyDescent="0.2">
      <c r="A13" s="213"/>
      <c r="B13" s="377"/>
      <c r="C13" s="2215" t="s">
        <v>1315</v>
      </c>
      <c r="D13" s="2216"/>
      <c r="E13" s="213"/>
      <c r="F13" s="383" t="s">
        <v>788</v>
      </c>
      <c r="G13" s="378"/>
      <c r="H13" s="1551">
        <f>SUM('Acct Summary 7-8'!C8+'Acct Summary 7-8'!D8+'Acct Summary 7-8'!F8+'Acct Summary 7-8'!I8)+H14</f>
        <v>18252322</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17224128</v>
      </c>
      <c r="I17" s="380"/>
      <c r="J17" s="389"/>
      <c r="K17" s="1559">
        <f>TRUNC((H17/H18*100000),5)/100000</f>
        <v>0.94366777000000002</v>
      </c>
      <c r="L17" s="381"/>
      <c r="M17" s="390" t="s">
        <v>1163</v>
      </c>
      <c r="O17" s="1565" t="str">
        <f>IF(AND(O16="2", J20 &gt; 2),"1",IF(AND(O16 = "1", J20 &gt; 2),"2",IF(AND(O16="1", J20 &gt;1),"1","0")))</f>
        <v>0</v>
      </c>
      <c r="P17" s="213"/>
    </row>
    <row r="18" spans="1:18" s="382" customFormat="1" ht="11.25" x14ac:dyDescent="0.2">
      <c r="A18" s="213"/>
      <c r="B18" s="377"/>
      <c r="C18" s="2215" t="s">
        <v>1308</v>
      </c>
      <c r="D18" s="2216"/>
      <c r="E18" s="213"/>
      <c r="F18" s="391" t="s">
        <v>789</v>
      </c>
      <c r="G18" s="378"/>
      <c r="H18" s="1551">
        <f>SUM('Acct Summary 7-8'!C8+'Acct Summary 7-8'!D8+'Acct Summary 7-8'!F8+'Acct Summary 7-8'!I8)+H19</f>
        <v>18252322</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3</v>
      </c>
      <c r="P23" s="211"/>
      <c r="R23" s="361"/>
    </row>
    <row r="24" spans="1:18" s="382" customFormat="1" ht="11.25" x14ac:dyDescent="0.2">
      <c r="A24" s="213"/>
      <c r="B24" s="377"/>
      <c r="C24" s="2212" t="s">
        <v>1398</v>
      </c>
      <c r="D24" s="2212"/>
      <c r="E24" s="213"/>
      <c r="F24" s="213" t="s">
        <v>442</v>
      </c>
      <c r="G24" s="378"/>
      <c r="H24" s="1551">
        <f>SUM('Assets-Liab 5-6'!C4+'Assets-Liab 5-6'!D4+'Assets-Liab 5-6'!F4+'Assets-Liab 5-6'!I4+'Assets-Liab 5-6'!C5+'Assets-Liab 5-6'!D5+'Assets-Liab 5-6'!F5+'Assets-Liab 5-6'!I5)</f>
        <v>5042708</v>
      </c>
      <c r="I24" s="394"/>
      <c r="J24" s="394"/>
      <c r="K24" s="1555">
        <f>TRUNC(((H24/H25*100000)/100000),2)</f>
        <v>105.39</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47844.800000000003</v>
      </c>
      <c r="I25" s="396"/>
      <c r="J25" s="396"/>
      <c r="K25" s="1558"/>
      <c r="L25" s="213"/>
      <c r="M25" s="337" t="s">
        <v>1137</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1137</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1136</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3"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2" t="s">
        <v>967</v>
      </c>
      <c r="B3" s="2223"/>
      <c r="C3" s="1306"/>
      <c r="D3" s="1307"/>
      <c r="E3" s="1307"/>
      <c r="F3" s="1307"/>
      <c r="G3" s="1307"/>
      <c r="H3" s="1307"/>
      <c r="I3" s="1307"/>
      <c r="J3" s="1307"/>
      <c r="K3" s="1307"/>
      <c r="L3" s="1307"/>
      <c r="M3" s="1308"/>
      <c r="N3" s="1309"/>
    </row>
    <row r="4" spans="1:14" ht="13.5" customHeight="1" x14ac:dyDescent="0.2">
      <c r="A4" s="427" t="s">
        <v>1635</v>
      </c>
      <c r="B4" s="428"/>
      <c r="C4" s="1572">
        <v>420</v>
      </c>
      <c r="D4" s="1573"/>
      <c r="E4" s="1573"/>
      <c r="F4" s="1573"/>
      <c r="G4" s="1573"/>
      <c r="H4" s="1573"/>
      <c r="I4" s="1573"/>
      <c r="J4" s="1574"/>
      <c r="K4" s="1573"/>
      <c r="L4" s="1573">
        <v>125</v>
      </c>
      <c r="M4" s="1575"/>
      <c r="N4" s="1576"/>
    </row>
    <row r="5" spans="1:14" x14ac:dyDescent="0.2">
      <c r="A5" s="427" t="s">
        <v>985</v>
      </c>
      <c r="B5" s="429">
        <v>120</v>
      </c>
      <c r="C5" s="1572">
        <v>5042288</v>
      </c>
      <c r="D5" s="1573"/>
      <c r="E5" s="1573"/>
      <c r="F5" s="1573"/>
      <c r="G5" s="1573"/>
      <c r="H5" s="1573"/>
      <c r="I5" s="1573"/>
      <c r="J5" s="1574"/>
      <c r="K5" s="1577"/>
      <c r="L5" s="1578">
        <f>843-125</f>
        <v>718</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5042708</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843</v>
      </c>
      <c r="M13" s="1575"/>
      <c r="N13" s="1576"/>
    </row>
    <row r="14" spans="1:14" ht="18" customHeight="1" thickTop="1" x14ac:dyDescent="0.2">
      <c r="A14" s="2224" t="s">
        <v>146</v>
      </c>
      <c r="B14" s="2225"/>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43068</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2332071</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2375139</v>
      </c>
      <c r="N23" s="1594">
        <f>SUM(N21:N22)</f>
        <v>0</v>
      </c>
    </row>
    <row r="24" spans="1:14" ht="18" customHeight="1" thickTop="1" x14ac:dyDescent="0.2">
      <c r="A24" s="2226" t="s">
        <v>594</v>
      </c>
      <c r="B24" s="2227"/>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843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843</v>
      </c>
      <c r="M34" s="1575"/>
      <c r="N34" s="1585"/>
    </row>
    <row r="35" spans="1:14" ht="18" customHeight="1" thickTop="1" x14ac:dyDescent="0.2">
      <c r="A35" s="2228" t="s">
        <v>526</v>
      </c>
      <c r="B35" s="2229"/>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551557</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4491151</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2375139</v>
      </c>
      <c r="N40" s="1604"/>
    </row>
    <row r="41" spans="1:14" ht="13.5" customHeight="1" thickBot="1" x14ac:dyDescent="0.25">
      <c r="A41" s="1426" t="s">
        <v>650</v>
      </c>
      <c r="B41" s="1405"/>
      <c r="C41" s="1594">
        <f>(SUM(C34,C37,C38,C39))</f>
        <v>5042708</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843</v>
      </c>
      <c r="M41" s="1594">
        <f>SUM(M40)</f>
        <v>2375139</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75" zoomScaleNormal="75" zoomScaleSheetLayoutView="100" workbookViewId="0">
      <pane ySplit="2" topLeftCell="A24"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0" t="s">
        <v>1167</v>
      </c>
      <c r="B3" s="2251"/>
      <c r="C3" s="1311"/>
      <c r="D3" s="1312"/>
      <c r="E3" s="1312"/>
      <c r="F3" s="1312"/>
      <c r="G3" s="1312"/>
      <c r="H3" s="1312"/>
      <c r="I3" s="1312"/>
      <c r="J3" s="1312"/>
      <c r="K3" s="1313"/>
      <c r="L3" s="446"/>
    </row>
    <row r="4" spans="1:13" ht="15.75" customHeight="1" x14ac:dyDescent="0.2">
      <c r="A4" s="1537" t="s">
        <v>1485</v>
      </c>
      <c r="B4" s="1538">
        <v>1000</v>
      </c>
      <c r="C4" s="1606">
        <f>'Revenues 9-14'!C109</f>
        <v>15759359</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1486</v>
      </c>
      <c r="B5" s="1315">
        <v>2000</v>
      </c>
      <c r="C5" s="1607">
        <f>'Revenues 9-14'!C114</f>
        <v>72814</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1402401</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1017748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18252322</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1637</v>
      </c>
      <c r="B9" s="450">
        <v>3998</v>
      </c>
      <c r="C9" s="1586">
        <v>936071</v>
      </c>
      <c r="D9" s="1613"/>
      <c r="E9" s="1586"/>
      <c r="F9" s="1586"/>
      <c r="G9" s="1614"/>
      <c r="H9" s="1586"/>
      <c r="I9" s="1609" t="s">
        <v>1161</v>
      </c>
      <c r="J9" s="1583"/>
      <c r="K9" s="1586"/>
      <c r="L9" s="325"/>
    </row>
    <row r="10" spans="1:13" s="452" customFormat="1" ht="13.5" thickBot="1" x14ac:dyDescent="0.25">
      <c r="A10" s="1426" t="s">
        <v>1165</v>
      </c>
      <c r="B10" s="1407"/>
      <c r="C10" s="1594">
        <f>SUM(C8:C9)</f>
        <v>19188393</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24" t="s">
        <v>1168</v>
      </c>
      <c r="B11" s="2225"/>
      <c r="C11" s="1602"/>
      <c r="D11" s="1603"/>
      <c r="E11" s="1603"/>
      <c r="F11" s="1603"/>
      <c r="G11" s="1603"/>
      <c r="H11" s="1603"/>
      <c r="I11" s="1603"/>
      <c r="J11" s="1603"/>
      <c r="K11" s="1615"/>
      <c r="L11" s="451"/>
    </row>
    <row r="12" spans="1:13" ht="15.75" customHeight="1" x14ac:dyDescent="0.2">
      <c r="A12" s="1314" t="s">
        <v>453</v>
      </c>
      <c r="B12" s="1316">
        <v>1000</v>
      </c>
      <c r="C12" s="1606">
        <f>'Expenditures 15-22'!K33</f>
        <v>11450193</v>
      </c>
      <c r="D12" s="1616" t="s">
        <v>1161</v>
      </c>
      <c r="E12" s="1575" t="s">
        <v>1161</v>
      </c>
      <c r="F12" s="1575" t="s">
        <v>1161</v>
      </c>
      <c r="G12" s="1606">
        <f>'Expenditures 15-22'!K229</f>
        <v>0</v>
      </c>
      <c r="H12" s="1617"/>
      <c r="I12" s="1575" t="s">
        <v>1161</v>
      </c>
      <c r="J12" s="1575" t="s">
        <v>1161</v>
      </c>
      <c r="K12" s="1617" t="s">
        <v>1161</v>
      </c>
      <c r="L12" s="325"/>
    </row>
    <row r="13" spans="1:13" ht="15.75" customHeight="1" x14ac:dyDescent="0.2">
      <c r="A13" s="1314" t="s">
        <v>454</v>
      </c>
      <c r="B13" s="1316">
        <v>2000</v>
      </c>
      <c r="C13" s="1607">
        <f>'Expenditures 15-22'!K74</f>
        <v>5528092</v>
      </c>
      <c r="D13" s="1607">
        <f>'Expenditures 15-22'!K129</f>
        <v>0</v>
      </c>
      <c r="E13" s="1576" t="s">
        <v>1161</v>
      </c>
      <c r="F13" s="1607">
        <f>'Expenditures 15-22'!K184</f>
        <v>0</v>
      </c>
      <c r="G13" s="1607">
        <f>'Expenditures 15-22'!K279</f>
        <v>0</v>
      </c>
      <c r="H13" s="1607">
        <f>'Expenditures 15-22'!K303</f>
        <v>0</v>
      </c>
      <c r="I13" s="1575" t="s">
        <v>1161</v>
      </c>
      <c r="J13" s="1607">
        <f>'Expenditures 15-22'!K330</f>
        <v>0</v>
      </c>
      <c r="K13" s="1618">
        <f>'Expenditures 15-22'!K352</f>
        <v>0</v>
      </c>
      <c r="L13" s="325"/>
    </row>
    <row r="14" spans="1:13" ht="15.75" customHeight="1" x14ac:dyDescent="0.2">
      <c r="A14" s="1314" t="s">
        <v>446</v>
      </c>
      <c r="B14" s="1316">
        <v>3000</v>
      </c>
      <c r="C14" s="1607">
        <f>'Expenditures 15-22'!K75</f>
        <v>128402</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117441</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17224128</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1638</v>
      </c>
      <c r="B18" s="1431">
        <v>4180</v>
      </c>
      <c r="C18" s="1606">
        <f t="shared" ref="C18:H18" si="3">C9</f>
        <v>936071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18160199</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40" t="s">
        <v>1639</v>
      </c>
      <c r="B20" s="2241"/>
      <c r="C20" s="1622">
        <f>C8-C17</f>
        <v>1028194</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52" t="s">
        <v>591</v>
      </c>
      <c r="B21" s="2253"/>
      <c r="C21" s="1602"/>
      <c r="D21" s="1603"/>
      <c r="E21" s="1603"/>
      <c r="F21" s="1603"/>
      <c r="G21" s="1603"/>
      <c r="H21" s="1603"/>
      <c r="I21" s="1603"/>
      <c r="J21" s="1603"/>
      <c r="K21" s="1615"/>
      <c r="L21" s="453"/>
    </row>
    <row r="22" spans="1:12" ht="15.75" customHeight="1" collapsed="1" x14ac:dyDescent="0.2">
      <c r="A22" s="2248" t="s">
        <v>592</v>
      </c>
      <c r="B22" s="2249"/>
      <c r="C22" s="1582"/>
      <c r="D22" s="1582"/>
      <c r="E22" s="1582"/>
      <c r="F22" s="1582"/>
      <c r="G22" s="1582"/>
      <c r="H22" s="1582"/>
      <c r="I22" s="1582"/>
      <c r="J22" s="1582"/>
      <c r="K22" s="1582"/>
      <c r="L22" s="325"/>
    </row>
    <row r="23" spans="1:12" s="433" customFormat="1" ht="15.75" customHeight="1" x14ac:dyDescent="0.2">
      <c r="A23" s="2244" t="s">
        <v>290</v>
      </c>
      <c r="B23" s="2245"/>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6" t="s">
        <v>974</v>
      </c>
      <c r="B32" s="2247"/>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v>3640</v>
      </c>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4" t="s">
        <v>371</v>
      </c>
      <c r="B44" s="2255"/>
      <c r="C44" s="1624">
        <f>SUM(C24:C43)</f>
        <v>3640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8" t="s">
        <v>108</v>
      </c>
      <c r="B45" s="2249"/>
      <c r="C45" s="1625"/>
      <c r="D45" s="1625"/>
      <c r="E45" s="1625"/>
      <c r="F45" s="1625"/>
      <c r="G45" s="1625"/>
      <c r="H45" s="1625"/>
      <c r="I45" s="1625"/>
      <c r="J45" s="1625"/>
      <c r="K45" s="1625"/>
      <c r="L45" s="325"/>
    </row>
    <row r="46" spans="1:12" s="433" customFormat="1" ht="15.75" customHeight="1" x14ac:dyDescent="0.2">
      <c r="A46" s="2256" t="s">
        <v>109</v>
      </c>
      <c r="B46" s="2257"/>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30" t="s">
        <v>437</v>
      </c>
      <c r="B76" s="2231"/>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2" t="s">
        <v>1169</v>
      </c>
      <c r="B77" s="2233"/>
      <c r="C77" s="1624">
        <f t="shared" ref="C77:K77" si="8">C44-C76</f>
        <v>3640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6" t="s">
        <v>593</v>
      </c>
      <c r="B78" s="2237"/>
      <c r="C78" s="1629">
        <f t="shared" ref="C78:K78" si="9">C20+C77</f>
        <v>1031834</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4010874</v>
      </c>
      <c r="D79" s="1630"/>
      <c r="E79" s="1630"/>
      <c r="F79" s="1630"/>
      <c r="G79" s="1630"/>
      <c r="H79" s="1630"/>
      <c r="I79" s="1630"/>
      <c r="J79" s="1630"/>
      <c r="K79" s="1630"/>
      <c r="L79" s="325"/>
    </row>
    <row r="80" spans="1:12" x14ac:dyDescent="0.2">
      <c r="A80" s="2242" t="s">
        <v>1772</v>
      </c>
      <c r="B80" s="2243"/>
      <c r="C80" s="1574"/>
      <c r="D80" s="1574"/>
      <c r="E80" s="1574"/>
      <c r="F80" s="1574"/>
      <c r="G80" s="1574"/>
      <c r="H80" s="1574"/>
      <c r="I80" s="1574"/>
      <c r="J80" s="1574"/>
      <c r="K80" s="1574"/>
      <c r="L80" s="325"/>
    </row>
    <row r="81" spans="1:12" ht="13.5" thickBot="1" x14ac:dyDescent="0.25">
      <c r="A81" s="2234" t="str">
        <f>"Fund Balances - June 30, "&amp;'AFR20'!E2</f>
        <v>Fund Balances - June 30, 2020</v>
      </c>
      <c r="B81" s="2235"/>
      <c r="C81" s="1594">
        <f>(SUM(C78:C80))</f>
        <v>5042708</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1031834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0.20461902612643842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3" activePane="bottomLeft" state="frozen"/>
      <selection pane="bottomLeft" activeCell="C33" sqref="C3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1779</v>
      </c>
      <c r="B1" s="416"/>
      <c r="C1" s="417" t="s">
        <v>422</v>
      </c>
      <c r="D1" s="417" t="s">
        <v>423</v>
      </c>
      <c r="E1" s="417" t="s">
        <v>424</v>
      </c>
      <c r="F1" s="417" t="s">
        <v>425</v>
      </c>
      <c r="G1" s="417" t="s">
        <v>426</v>
      </c>
      <c r="H1" s="417" t="s">
        <v>427</v>
      </c>
      <c r="I1" s="417" t="s">
        <v>428</v>
      </c>
      <c r="J1" s="417" t="s">
        <v>429</v>
      </c>
      <c r="K1" s="417" t="s">
        <v>751</v>
      </c>
    </row>
    <row r="2" spans="1:12" ht="36" x14ac:dyDescent="0.2">
      <c r="A2" s="223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c r="D5" s="1586"/>
      <c r="E5" s="1573"/>
      <c r="F5" s="1631"/>
      <c r="G5" s="1573"/>
      <c r="H5" s="1573"/>
      <c r="I5" s="1573"/>
      <c r="J5" s="1574"/>
      <c r="K5" s="1573"/>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f>14103327+1020600+6355+338095</f>
        <v>15468377</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15468377</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51431</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51431</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239551</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239551</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15759359</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v>72814</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72814</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1402401</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1402401</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c r="G152" s="1574"/>
      <c r="H152" s="1575"/>
      <c r="I152" s="1575"/>
      <c r="J152" s="1575"/>
      <c r="K152" s="1575"/>
    </row>
    <row r="153" spans="1:11" ht="12.75" customHeight="1" x14ac:dyDescent="0.2">
      <c r="A153" s="427" t="s">
        <v>1050</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8" t="s">
        <v>395</v>
      </c>
      <c r="B169" s="2259"/>
      <c r="C169" s="1658">
        <f t="shared" ref="C169:K169" si="6">SUM(C132,C141,C145,C146:C150,C155,C156:C167,C168)</f>
        <v>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1402401</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0" t="s">
        <v>1478</v>
      </c>
      <c r="B172" s="2261"/>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4" t="s">
        <v>1649</v>
      </c>
      <c r="B175" s="2265"/>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8" t="s">
        <v>1648</v>
      </c>
      <c r="B176" s="2269"/>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6" t="s">
        <v>780</v>
      </c>
      <c r="B181" s="2267"/>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2" t="s">
        <v>1780</v>
      </c>
      <c r="B182" s="2263"/>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24870</v>
      </c>
      <c r="D213" s="1573"/>
      <c r="E213" s="1575"/>
      <c r="F213" s="1573"/>
      <c r="G213" s="1573"/>
      <c r="H213" s="1575"/>
      <c r="I213" s="1575"/>
      <c r="J213" s="1575"/>
      <c r="K213" s="1575"/>
    </row>
    <row r="214" spans="1:11" ht="12.75" customHeight="1" x14ac:dyDescent="0.2">
      <c r="A214" s="427" t="s">
        <v>1047</v>
      </c>
      <c r="B214" s="429">
        <v>4625</v>
      </c>
      <c r="C214" s="1632">
        <v>47520</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72390</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100181</v>
      </c>
      <c r="D263" s="1651"/>
      <c r="E263" s="1575"/>
      <c r="F263" s="1651"/>
      <c r="G263" s="1651"/>
      <c r="H263" s="1575"/>
      <c r="I263" s="1575"/>
      <c r="J263" s="1575"/>
      <c r="K263" s="1575"/>
    </row>
    <row r="264" spans="1:11" ht="12.75" customHeight="1" thickTop="1" thickBot="1" x14ac:dyDescent="0.25">
      <c r="A264" s="427" t="s">
        <v>374</v>
      </c>
      <c r="B264" s="429">
        <v>4992</v>
      </c>
      <c r="C264" s="1650">
        <v>713052</v>
      </c>
      <c r="D264" s="1651"/>
      <c r="E264" s="1575"/>
      <c r="F264" s="1651"/>
      <c r="G264" s="1651"/>
      <c r="H264" s="1575"/>
      <c r="I264" s="1575"/>
      <c r="J264" s="1575"/>
      <c r="K264" s="1575"/>
    </row>
    <row r="265" spans="1:11" s="489" customFormat="1" ht="12.75" customHeight="1" thickTop="1" thickBot="1" x14ac:dyDescent="0.25">
      <c r="A265" s="479" t="s">
        <v>75</v>
      </c>
      <c r="B265" s="475">
        <v>4998</v>
      </c>
      <c r="C265" s="1650">
        <f>132125</f>
        <v>132125</v>
      </c>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1017748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1017748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18252322</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75" zoomScaleNormal="75" workbookViewId="0">
      <pane ySplit="2" topLeftCell="A57" activePane="bottomLeft" state="frozen"/>
      <selection pane="bottomLeft" activeCell="L63" sqref="L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6" t="s">
        <v>294</v>
      </c>
      <c r="B3" s="2277"/>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f>7464336+3</f>
        <v>7464339</v>
      </c>
      <c r="D8" s="1573">
        <v>3090557</v>
      </c>
      <c r="E8" s="1573">
        <v>66466</v>
      </c>
      <c r="F8" s="1573">
        <v>43045</v>
      </c>
      <c r="G8" s="1573"/>
      <c r="H8" s="1573">
        <v>766964</v>
      </c>
      <c r="I8" s="1574">
        <v>5814</v>
      </c>
      <c r="J8" s="1574"/>
      <c r="K8" s="1672">
        <f t="shared" si="0"/>
        <v>11437185</v>
      </c>
      <c r="L8" s="1573">
        <v>11510385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v>12639</v>
      </c>
      <c r="D15" s="1573">
        <v>369</v>
      </c>
      <c r="E15" s="1573"/>
      <c r="F15" s="1573"/>
      <c r="G15" s="1573"/>
      <c r="H15" s="1573"/>
      <c r="I15" s="1574"/>
      <c r="J15" s="1574"/>
      <c r="K15" s="1672">
        <f t="shared" si="0"/>
        <v>13008</v>
      </c>
      <c r="L15" s="1573">
        <v>24932</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7476978</v>
      </c>
      <c r="D33" s="1674">
        <f t="shared" ref="D33:L33" si="1">SUM(D5:D32)</f>
        <v>3090926</v>
      </c>
      <c r="E33" s="1674">
        <f t="shared" si="1"/>
        <v>66466</v>
      </c>
      <c r="F33" s="1674">
        <f t="shared" si="1"/>
        <v>43045</v>
      </c>
      <c r="G33" s="1674">
        <f t="shared" si="1"/>
        <v>0</v>
      </c>
      <c r="H33" s="1674">
        <f t="shared" si="1"/>
        <v>766964</v>
      </c>
      <c r="I33" s="1674">
        <f t="shared" si="1"/>
        <v>5814</v>
      </c>
      <c r="J33" s="1674">
        <f t="shared" si="1"/>
        <v>0</v>
      </c>
      <c r="K33" s="1674">
        <f t="shared" si="1"/>
        <v>11450193</v>
      </c>
      <c r="L33" s="1674">
        <f t="shared" si="1"/>
        <v>11535317</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352157</v>
      </c>
      <c r="D36" s="1586">
        <v>111633</v>
      </c>
      <c r="E36" s="1586">
        <v>834</v>
      </c>
      <c r="F36" s="1586">
        <v>6049</v>
      </c>
      <c r="G36" s="1586"/>
      <c r="H36" s="1586">
        <v>40</v>
      </c>
      <c r="I36" s="1574"/>
      <c r="J36" s="1574"/>
      <c r="K36" s="1672">
        <f t="shared" ref="K36:K41" si="2">SUM(C36:J36)</f>
        <v>470713</v>
      </c>
      <c r="L36" s="1573">
        <v>493968</v>
      </c>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v>768033</v>
      </c>
      <c r="D38" s="1573">
        <v>343168</v>
      </c>
      <c r="E38" s="1573">
        <v>8579</v>
      </c>
      <c r="F38" s="1573">
        <v>1793</v>
      </c>
      <c r="G38" s="1573"/>
      <c r="H38" s="1573">
        <v>505</v>
      </c>
      <c r="I38" s="1574">
        <v>1658</v>
      </c>
      <c r="J38" s="1574"/>
      <c r="K38" s="1672">
        <f t="shared" si="2"/>
        <v>1123736</v>
      </c>
      <c r="L38" s="1573">
        <v>1226862</v>
      </c>
    </row>
    <row r="39" spans="1:14" x14ac:dyDescent="0.2">
      <c r="A39" s="1274" t="s">
        <v>197</v>
      </c>
      <c r="B39" s="503">
        <v>2140</v>
      </c>
      <c r="C39" s="1573">
        <v>511035</v>
      </c>
      <c r="D39" s="1573">
        <v>144457</v>
      </c>
      <c r="E39" s="1573">
        <v>6487</v>
      </c>
      <c r="F39" s="1573">
        <v>11164</v>
      </c>
      <c r="G39" s="1573"/>
      <c r="H39" s="1573">
        <v>125</v>
      </c>
      <c r="I39" s="1574">
        <v>2507</v>
      </c>
      <c r="J39" s="1574"/>
      <c r="K39" s="1672">
        <f t="shared" si="2"/>
        <v>675775</v>
      </c>
      <c r="L39" s="1573">
        <v>837611</v>
      </c>
    </row>
    <row r="40" spans="1:14" x14ac:dyDescent="0.2">
      <c r="A40" s="1274" t="s">
        <v>198</v>
      </c>
      <c r="B40" s="503">
        <v>2150</v>
      </c>
      <c r="C40" s="1573">
        <v>73047</v>
      </c>
      <c r="D40" s="1573">
        <v>14071</v>
      </c>
      <c r="E40" s="1573">
        <v>4178</v>
      </c>
      <c r="F40" s="1573">
        <v>5129</v>
      </c>
      <c r="G40" s="1573">
        <v>10540</v>
      </c>
      <c r="H40" s="1573"/>
      <c r="I40" s="1574">
        <v>2998</v>
      </c>
      <c r="J40" s="1574"/>
      <c r="K40" s="1672">
        <f t="shared" si="2"/>
        <v>109963</v>
      </c>
      <c r="L40" s="1573">
        <v>143248</v>
      </c>
    </row>
    <row r="41" spans="1:14" x14ac:dyDescent="0.2">
      <c r="A41" s="1274" t="s">
        <v>1653</v>
      </c>
      <c r="B41" s="503">
        <v>2190</v>
      </c>
      <c r="C41" s="1573">
        <v>77998</v>
      </c>
      <c r="D41" s="1573">
        <v>10934</v>
      </c>
      <c r="E41" s="1573">
        <v>299</v>
      </c>
      <c r="F41" s="1573"/>
      <c r="G41" s="1573"/>
      <c r="H41" s="1573"/>
      <c r="I41" s="1574"/>
      <c r="J41" s="1574"/>
      <c r="K41" s="1672">
        <f t="shared" si="2"/>
        <v>89231</v>
      </c>
      <c r="L41" s="1573">
        <v>131846</v>
      </c>
    </row>
    <row r="42" spans="1:14" ht="12.75" customHeight="1" thickBot="1" x14ac:dyDescent="0.25">
      <c r="A42" s="1380" t="s">
        <v>556</v>
      </c>
      <c r="B42" s="1381" t="s">
        <v>711</v>
      </c>
      <c r="C42" s="1674">
        <f>SUM(C36:C41)</f>
        <v>1782270</v>
      </c>
      <c r="D42" s="1674">
        <f t="shared" ref="D42:L42" si="3">SUM(D36:D41)</f>
        <v>624263</v>
      </c>
      <c r="E42" s="1674">
        <f t="shared" si="3"/>
        <v>20377</v>
      </c>
      <c r="F42" s="1674">
        <f t="shared" si="3"/>
        <v>24135</v>
      </c>
      <c r="G42" s="1674">
        <f t="shared" si="3"/>
        <v>10540</v>
      </c>
      <c r="H42" s="1674">
        <f t="shared" si="3"/>
        <v>670</v>
      </c>
      <c r="I42" s="1674">
        <f t="shared" si="3"/>
        <v>7163</v>
      </c>
      <c r="J42" s="1674">
        <f t="shared" si="3"/>
        <v>0</v>
      </c>
      <c r="K42" s="1674">
        <f t="shared" si="3"/>
        <v>2469418</v>
      </c>
      <c r="L42" s="1674">
        <f t="shared" si="3"/>
        <v>2833535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207605</v>
      </c>
      <c r="D44" s="1586">
        <v>72562</v>
      </c>
      <c r="E44" s="1586">
        <v>40406</v>
      </c>
      <c r="F44" s="1586">
        <v>1422</v>
      </c>
      <c r="G44" s="1586"/>
      <c r="H44" s="1586">
        <v>450</v>
      </c>
      <c r="I44" s="1574"/>
      <c r="J44" s="1574"/>
      <c r="K44" s="1678">
        <f>SUM(C44:J44)</f>
        <v>322445</v>
      </c>
      <c r="L44" s="1586">
        <v>373761</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207605</v>
      </c>
      <c r="D47" s="1674">
        <f t="shared" ref="D47:K47" si="4">SUM(D44:D46)</f>
        <v>72562</v>
      </c>
      <c r="E47" s="1674">
        <f t="shared" si="4"/>
        <v>40406</v>
      </c>
      <c r="F47" s="1674">
        <f t="shared" si="4"/>
        <v>1422</v>
      </c>
      <c r="G47" s="1674">
        <f t="shared" si="4"/>
        <v>0</v>
      </c>
      <c r="H47" s="1674">
        <f t="shared" si="4"/>
        <v>450</v>
      </c>
      <c r="I47" s="1674">
        <f t="shared" si="4"/>
        <v>0</v>
      </c>
      <c r="J47" s="1674">
        <f t="shared" si="4"/>
        <v>0</v>
      </c>
      <c r="K47" s="1674">
        <f t="shared" si="4"/>
        <v>322445</v>
      </c>
      <c r="L47" s="1674">
        <f>SUM(L44:L46)</f>
        <v>373761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301040</v>
      </c>
      <c r="D49" s="1586">
        <v>119245</v>
      </c>
      <c r="E49" s="1586">
        <v>82005</v>
      </c>
      <c r="F49" s="1586"/>
      <c r="G49" s="1586"/>
      <c r="H49" s="1586"/>
      <c r="I49" s="1574"/>
      <c r="J49" s="1574"/>
      <c r="K49" s="1678">
        <f>SUM(C49:J49)</f>
        <v>502290</v>
      </c>
      <c r="L49" s="1586">
        <v>562260</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1026122</v>
      </c>
      <c r="D51" s="1573">
        <v>322040</v>
      </c>
      <c r="E51" s="1573">
        <v>139120</v>
      </c>
      <c r="F51" s="1573">
        <v>2922</v>
      </c>
      <c r="G51" s="1573"/>
      <c r="H51" s="1573">
        <v>6063</v>
      </c>
      <c r="I51" s="1574"/>
      <c r="J51" s="1574">
        <v>96</v>
      </c>
      <c r="K51" s="1678">
        <f>SUM(C51:J51)</f>
        <v>1496363</v>
      </c>
      <c r="L51" s="1573">
        <v>1478212</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1327162</v>
      </c>
      <c r="D53" s="1674">
        <f t="shared" ref="D53:L53" si="5">SUM(D49:D52)</f>
        <v>441285</v>
      </c>
      <c r="E53" s="1674">
        <f t="shared" si="5"/>
        <v>221125</v>
      </c>
      <c r="F53" s="1674">
        <f t="shared" si="5"/>
        <v>2922</v>
      </c>
      <c r="G53" s="1674">
        <f t="shared" si="5"/>
        <v>0</v>
      </c>
      <c r="H53" s="1674">
        <f t="shared" si="5"/>
        <v>6063</v>
      </c>
      <c r="I53" s="1674">
        <f t="shared" si="5"/>
        <v>0</v>
      </c>
      <c r="J53" s="1674">
        <f t="shared" si="5"/>
        <v>96</v>
      </c>
      <c r="K53" s="1674">
        <f t="shared" si="5"/>
        <v>1998653</v>
      </c>
      <c r="L53" s="1674">
        <f t="shared" si="5"/>
        <v>2040472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96851</v>
      </c>
      <c r="D55" s="1586">
        <v>12117</v>
      </c>
      <c r="E55" s="1586"/>
      <c r="F55" s="1586"/>
      <c r="G55" s="1586"/>
      <c r="H55" s="1586"/>
      <c r="I55" s="1574"/>
      <c r="J55" s="1574"/>
      <c r="K55" s="1678">
        <f>SUM(C55:J55)</f>
        <v>108968</v>
      </c>
      <c r="L55" s="1586">
        <v>98906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96851</v>
      </c>
      <c r="D57" s="1679">
        <f t="shared" ref="D57:K57" si="6">SUM(D55:D56)</f>
        <v>12117</v>
      </c>
      <c r="E57" s="1679">
        <f t="shared" si="6"/>
        <v>0</v>
      </c>
      <c r="F57" s="1679">
        <f t="shared" si="6"/>
        <v>0</v>
      </c>
      <c r="G57" s="1679">
        <f t="shared" si="6"/>
        <v>0</v>
      </c>
      <c r="H57" s="1679">
        <f t="shared" si="6"/>
        <v>0</v>
      </c>
      <c r="I57" s="1679">
        <f t="shared" si="6"/>
        <v>0</v>
      </c>
      <c r="J57" s="1679">
        <f t="shared" si="6"/>
        <v>0</v>
      </c>
      <c r="K57" s="1679">
        <f t="shared" si="6"/>
        <v>108968</v>
      </c>
      <c r="L57" s="1674">
        <f>SUM(L55:L56)</f>
        <v>98906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v>180289</v>
      </c>
      <c r="F60" s="1573"/>
      <c r="G60" s="1573"/>
      <c r="H60" s="1573"/>
      <c r="I60" s="1574"/>
      <c r="J60" s="1574"/>
      <c r="K60" s="1678">
        <f t="shared" si="7"/>
        <v>180289</v>
      </c>
      <c r="L60" s="1573">
        <v>177625</v>
      </c>
      <c r="M60" s="501"/>
      <c r="N60" s="501"/>
    </row>
    <row r="61" spans="1:14" s="321" customFormat="1" x14ac:dyDescent="0.2">
      <c r="A61" s="1274" t="s">
        <v>195</v>
      </c>
      <c r="B61" s="503">
        <v>2540</v>
      </c>
      <c r="C61" s="1573">
        <v>12486</v>
      </c>
      <c r="D61" s="1573">
        <v>4231</v>
      </c>
      <c r="E61" s="1573">
        <f>173+324223</f>
        <v>324396</v>
      </c>
      <c r="F61" s="1573">
        <v>13872</v>
      </c>
      <c r="G61" s="1573"/>
      <c r="H61" s="1573"/>
      <c r="I61" s="1574"/>
      <c r="J61" s="1574"/>
      <c r="K61" s="1678">
        <f t="shared" si="7"/>
        <v>354985</v>
      </c>
      <c r="L61" s="1573">
        <v>385681</v>
      </c>
      <c r="M61" s="501"/>
      <c r="N61" s="501"/>
    </row>
    <row r="62" spans="1:14" s="321" customFormat="1" x14ac:dyDescent="0.2">
      <c r="A62" s="1274" t="s">
        <v>947</v>
      </c>
      <c r="B62" s="503">
        <v>2550</v>
      </c>
      <c r="C62" s="1573"/>
      <c r="D62" s="1573"/>
      <c r="E62" s="1573">
        <v>4846</v>
      </c>
      <c r="F62" s="1573">
        <v>1509</v>
      </c>
      <c r="G62" s="1573"/>
      <c r="H62" s="1573"/>
      <c r="I62" s="1574"/>
      <c r="J62" s="1574"/>
      <c r="K62" s="1678">
        <f t="shared" si="7"/>
        <v>6355</v>
      </c>
      <c r="L62" s="1573">
        <v>26107</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v>500</v>
      </c>
    </row>
    <row r="65" spans="1:14" s="321" customFormat="1" ht="12.75" customHeight="1" thickBot="1" x14ac:dyDescent="0.25">
      <c r="A65" s="1380" t="s">
        <v>714</v>
      </c>
      <c r="B65" s="1381" t="s">
        <v>35</v>
      </c>
      <c r="C65" s="1674">
        <f>SUM(C59:C64)</f>
        <v>12486</v>
      </c>
      <c r="D65" s="1674">
        <f t="shared" ref="D65:L65" si="8">SUM(D59:D64)</f>
        <v>4231</v>
      </c>
      <c r="E65" s="1674">
        <f t="shared" si="8"/>
        <v>509531</v>
      </c>
      <c r="F65" s="1674">
        <f t="shared" si="8"/>
        <v>15381</v>
      </c>
      <c r="G65" s="1674">
        <f t="shared" si="8"/>
        <v>0</v>
      </c>
      <c r="H65" s="1674">
        <f t="shared" si="8"/>
        <v>0</v>
      </c>
      <c r="I65" s="1674">
        <f t="shared" si="8"/>
        <v>0</v>
      </c>
      <c r="J65" s="1674">
        <f t="shared" si="8"/>
        <v>0</v>
      </c>
      <c r="K65" s="1674">
        <f t="shared" si="8"/>
        <v>541629</v>
      </c>
      <c r="L65" s="1674">
        <f t="shared" si="8"/>
        <v>589913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v>349</v>
      </c>
      <c r="F69" s="1573"/>
      <c r="G69" s="1573"/>
      <c r="H69" s="1573"/>
      <c r="I69" s="1574"/>
      <c r="J69" s="1574"/>
      <c r="K69" s="1678">
        <f>SUM(C69:J69)</f>
        <v>349</v>
      </c>
      <c r="L69" s="1573">
        <v>350</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58762</v>
      </c>
      <c r="D71" s="1573">
        <v>18319</v>
      </c>
      <c r="E71" s="1573">
        <v>1650</v>
      </c>
      <c r="F71" s="1573">
        <v>7899</v>
      </c>
      <c r="G71" s="1573"/>
      <c r="H71" s="1573"/>
      <c r="I71" s="1574"/>
      <c r="J71" s="1574"/>
      <c r="K71" s="1678">
        <f>SUM(C71:J71)</f>
        <v>86630</v>
      </c>
      <c r="L71" s="1573">
        <v>100498</v>
      </c>
      <c r="M71" s="501"/>
      <c r="N71" s="501"/>
    </row>
    <row r="72" spans="1:14" s="321" customFormat="1" ht="12.75" customHeight="1" thickBot="1" x14ac:dyDescent="0.25">
      <c r="A72" s="1380" t="s">
        <v>37</v>
      </c>
      <c r="B72" s="1383" t="s">
        <v>36</v>
      </c>
      <c r="C72" s="1674">
        <f>SUM(C67:C71)</f>
        <v>58762</v>
      </c>
      <c r="D72" s="1674">
        <f t="shared" ref="D72:K72" si="9">SUM(D67:D71)</f>
        <v>18319</v>
      </c>
      <c r="E72" s="1674">
        <f t="shared" si="9"/>
        <v>1999</v>
      </c>
      <c r="F72" s="1674">
        <f t="shared" si="9"/>
        <v>7899</v>
      </c>
      <c r="G72" s="1674">
        <f t="shared" si="9"/>
        <v>0</v>
      </c>
      <c r="H72" s="1674">
        <f t="shared" si="9"/>
        <v>0</v>
      </c>
      <c r="I72" s="1674">
        <f t="shared" si="9"/>
        <v>0</v>
      </c>
      <c r="J72" s="1674">
        <f t="shared" si="9"/>
        <v>0</v>
      </c>
      <c r="K72" s="1674">
        <f t="shared" si="9"/>
        <v>86979</v>
      </c>
      <c r="L72" s="1674">
        <f>SUM(L67:L71)</f>
        <v>100848</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3485136</v>
      </c>
      <c r="D74" s="1681">
        <f t="shared" ref="D74:K74" si="10">SUM(D42,D47,D53,D57,D65,D72,D73)</f>
        <v>1172777</v>
      </c>
      <c r="E74" s="1681">
        <f t="shared" si="10"/>
        <v>793438</v>
      </c>
      <c r="F74" s="1681">
        <f t="shared" si="10"/>
        <v>51759</v>
      </c>
      <c r="G74" s="1681">
        <f t="shared" si="10"/>
        <v>10540</v>
      </c>
      <c r="H74" s="1681">
        <f t="shared" si="10"/>
        <v>7183</v>
      </c>
      <c r="I74" s="1681">
        <f t="shared" si="10"/>
        <v>7163</v>
      </c>
      <c r="J74" s="1681">
        <f t="shared" si="10"/>
        <v>96</v>
      </c>
      <c r="K74" s="1681">
        <f t="shared" si="10"/>
        <v>5528092</v>
      </c>
      <c r="L74" s="1681">
        <f>SUM(L42,L47,L53,L57,L65,L72,L73)</f>
        <v>6037435</v>
      </c>
    </row>
    <row r="75" spans="1:14" s="254" customFormat="1" ht="15.75" customHeight="1" thickTop="1" thickBot="1" x14ac:dyDescent="0.25">
      <c r="A75" s="1348" t="s">
        <v>47</v>
      </c>
      <c r="B75" s="1349" t="s">
        <v>571</v>
      </c>
      <c r="C75" s="1649">
        <v>104881</v>
      </c>
      <c r="D75" s="1649">
        <v>22789</v>
      </c>
      <c r="E75" s="1649">
        <v>732</v>
      </c>
      <c r="F75" s="1649"/>
      <c r="G75" s="1649"/>
      <c r="H75" s="1649"/>
      <c r="I75" s="1627"/>
      <c r="J75" s="1627"/>
      <c r="K75" s="1674">
        <f>SUM(C75:J75)</f>
        <v>128402</v>
      </c>
      <c r="L75" s="1651">
        <v>134036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45077</v>
      </c>
      <c r="F78" s="1673"/>
      <c r="G78" s="1673"/>
      <c r="H78" s="1682"/>
      <c r="I78" s="1582"/>
      <c r="J78" s="1582"/>
      <c r="K78" s="1672">
        <f t="shared" ref="K78:K83" si="11">SUM(C78:J78)</f>
        <v>45077</v>
      </c>
      <c r="L78" s="1586"/>
    </row>
    <row r="79" spans="1:14" x14ac:dyDescent="0.2">
      <c r="A79" s="1274" t="s">
        <v>301</v>
      </c>
      <c r="B79" s="503">
        <v>4120</v>
      </c>
      <c r="C79" s="1673"/>
      <c r="D79" s="1673"/>
      <c r="E79" s="1573"/>
      <c r="F79" s="1673"/>
      <c r="G79" s="1673"/>
      <c r="H79" s="1573"/>
      <c r="I79" s="1582"/>
      <c r="J79" s="1582"/>
      <c r="K79" s="1672">
        <f t="shared" si="11"/>
        <v>0</v>
      </c>
      <c r="L79" s="1573">
        <v>75000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45077</v>
      </c>
      <c r="F84" s="1673"/>
      <c r="G84" s="1673"/>
      <c r="H84" s="1674">
        <f>SUM(H78:H83)</f>
        <v>0</v>
      </c>
      <c r="I84" s="1582"/>
      <c r="J84" s="1582"/>
      <c r="K84" s="1674">
        <f>SUM(K78:K83)</f>
        <v>45077</v>
      </c>
      <c r="L84" s="1674">
        <f>SUM(L78:L83)</f>
        <v>75000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v>72364</v>
      </c>
      <c r="I94" s="1582"/>
      <c r="J94" s="1582"/>
      <c r="K94" s="1681">
        <f t="shared" si="12"/>
        <v>72364</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72364</v>
      </c>
      <c r="I100" s="1582"/>
      <c r="J100" s="1582"/>
      <c r="K100" s="1681">
        <f>SUM(K93:K99)</f>
        <v>72364</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45077</v>
      </c>
      <c r="F102" s="1673"/>
      <c r="G102" s="1673"/>
      <c r="H102" s="1681">
        <f>SUM(H84,H92,H100,H101)</f>
        <v>72364</v>
      </c>
      <c r="I102" s="1582"/>
      <c r="J102" s="1582"/>
      <c r="K102" s="1681">
        <f>SUM(K84,K92,K100,K101)</f>
        <v>117441</v>
      </c>
      <c r="L102" s="1681">
        <f>SUM(L84,L92,L100,L101)</f>
        <v>75000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11066995</v>
      </c>
      <c r="D114" s="1674">
        <f t="shared" ref="D114:K114" si="13">SUM(D33,D74,D75,D102,D112,D113)</f>
        <v>4286492</v>
      </c>
      <c r="E114" s="1674">
        <f t="shared" si="13"/>
        <v>905713</v>
      </c>
      <c r="F114" s="1674">
        <f t="shared" si="13"/>
        <v>94804</v>
      </c>
      <c r="G114" s="1674">
        <f t="shared" si="13"/>
        <v>10540</v>
      </c>
      <c r="H114" s="1674">
        <f>SUM(H33,H74,H75,H102,H112,H113)</f>
        <v>846511</v>
      </c>
      <c r="I114" s="1674">
        <f t="shared" si="13"/>
        <v>12977</v>
      </c>
      <c r="J114" s="1674">
        <f t="shared" si="13"/>
        <v>96</v>
      </c>
      <c r="K114" s="1674">
        <f t="shared" si="13"/>
        <v>17224128</v>
      </c>
      <c r="L114" s="1674">
        <f>SUM(L33,L74,L75,L102,L112,L113)</f>
        <v>17781788</v>
      </c>
    </row>
    <row r="115" spans="1:14" ht="13.5" thickTop="1" x14ac:dyDescent="0.2">
      <c r="A115" s="2295" t="s">
        <v>989</v>
      </c>
      <c r="B115" s="2296"/>
      <c r="C115" s="1675"/>
      <c r="D115" s="1675"/>
      <c r="E115" s="1675"/>
      <c r="F115" s="1675"/>
      <c r="G115" s="1675"/>
      <c r="H115" s="1675"/>
      <c r="I115" s="1675"/>
      <c r="J115" s="1675"/>
      <c r="K115" s="1689">
        <f>'Revenues 9-14'!C268-'Expenditures 15-22'!K114</f>
        <v>1028194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3" t="s">
        <v>293</v>
      </c>
      <c r="B117" s="2274"/>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5" t="s">
        <v>616</v>
      </c>
      <c r="B151" s="2267"/>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8" t="s">
        <v>1170</v>
      </c>
      <c r="B152" s="2289"/>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3" t="s">
        <v>617</v>
      </c>
      <c r="B154" s="2275"/>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1654</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95" t="s">
        <v>989</v>
      </c>
      <c r="B175" s="2296"/>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95" t="s">
        <v>989</v>
      </c>
      <c r="B211" s="2296"/>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0" t="s">
        <v>959</v>
      </c>
      <c r="B213" s="2291"/>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6" t="s">
        <v>502</v>
      </c>
      <c r="B295" s="2287"/>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95" t="s">
        <v>989</v>
      </c>
      <c r="B296" s="2296"/>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8" t="s">
        <v>142</v>
      </c>
      <c r="B298" s="2272"/>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3" t="s">
        <v>275</v>
      </c>
      <c r="B312" s="2284"/>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9" t="s">
        <v>989</v>
      </c>
      <c r="B313" s="2280"/>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2" t="s">
        <v>148</v>
      </c>
      <c r="B315" s="2293"/>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4" t="s">
        <v>892</v>
      </c>
      <c r="B317" s="2293"/>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1" t="s">
        <v>989</v>
      </c>
      <c r="B343" s="2282"/>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1" t="s">
        <v>960</v>
      </c>
      <c r="B345" s="2272"/>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95" t="s">
        <v>989</v>
      </c>
      <c r="B368" s="2296"/>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http://purl.org/dc/terms/"/>
    <ds:schemaRef ds:uri="http://schemas.microsoft.com/office/2006/metadata/properties"/>
    <ds:schemaRef ds:uri="http://schemas.microsoft.com/office/infopath/2007/PartnerControls"/>
    <ds:schemaRef ds:uri="http://schemas.microsoft.com/office/2006/documentManagement/types"/>
    <ds:schemaRef ds:uri="4d435f69-8686-490b-bd6d-b153bf22ab50"/>
    <ds:schemaRef ds:uri="http://purl.org/dc/elements/1.1/"/>
    <ds:schemaRef ds:uri="d21dc803-237d-4c68-8692-8d731fd29118"/>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2020-11-30T22:17:40Z</cp:lastPrinted>
  <dcterms:created xsi:type="dcterms:W3CDTF">2003-10-29T19:06:34Z</dcterms:created>
  <dcterms:modified xsi:type="dcterms:W3CDTF">2020-12-09T23:16:07Z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{188CC3E5-A368-40C0-A61A-96AD35DFA786}</vt:lpwstr>
  </property>
</Properties>
</file>