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D3D8B23F-E8D4-4EEA-83C5-050D026F15DE}" xr6:coauthVersionLast="36" xr6:coauthVersionMax="36" xr10:uidLastSave="{00000000-0000-0000-0000-000000000000}"/>
  <bookViews>
    <workbookView xWindow="300" yWindow="30" windowWidth="1971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6" i="179" l="1"/>
  <c r="I26" i="179"/>
  <c r="I24" i="179"/>
  <c r="H26" i="179"/>
  <c r="H24" i="179"/>
  <c r="F26" i="179"/>
  <c r="F24" i="179"/>
  <c r="K19" i="179"/>
  <c r="J19" i="179"/>
  <c r="I19" i="179"/>
  <c r="H19" i="179"/>
  <c r="F19" i="179"/>
  <c r="J18" i="179"/>
  <c r="M24" i="179"/>
  <c r="M19" i="179"/>
  <c r="G24" i="179"/>
  <c r="G19" i="179"/>
  <c r="G26" i="179" s="1"/>
  <c r="E26" i="179"/>
  <c r="E24" i="179"/>
  <c r="E19" i="179"/>
  <c r="M19" i="3"/>
  <c r="D8" i="29"/>
  <c r="M26" i="179" l="1"/>
  <c r="L49" i="29"/>
  <c r="L61" i="29"/>
  <c r="L60" i="29"/>
  <c r="L44" i="29"/>
  <c r="L40" i="29"/>
  <c r="L39" i="29"/>
  <c r="L38" i="29"/>
  <c r="L36" i="29"/>
  <c r="L8" i="29"/>
  <c r="E61" i="29" l="1"/>
  <c r="E60" i="29"/>
  <c r="D60" i="29"/>
  <c r="E51" i="29"/>
  <c r="E44" i="29"/>
  <c r="D44" i="29"/>
  <c r="C44" i="29"/>
  <c r="D40" i="29"/>
  <c r="E39" i="29"/>
  <c r="D39" i="29"/>
  <c r="C39" i="29"/>
  <c r="E38" i="29"/>
  <c r="D38" i="29"/>
  <c r="C65" i="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4" i="179"/>
  <c r="L23" i="179"/>
  <c r="L22" i="179"/>
  <c r="L19" i="179"/>
  <c r="L18" i="179"/>
  <c r="L17" i="179"/>
  <c r="L16" i="179"/>
  <c r="L15" i="179"/>
  <c r="L14" i="179"/>
  <c r="L1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H19" i="184"/>
  <c r="L20" i="184" s="1"/>
  <c r="F41" i="108"/>
  <c r="G43" i="108" s="1"/>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20" i="4" l="1"/>
  <c r="F77" i="34"/>
  <c r="B7834" i="106" s="1"/>
  <c r="D7834" i="106"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<sst xmlns="http://schemas.openxmlformats.org/spreadsheetml/2006/main" count="5193" uniqueCount="2102">
  <si>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</si>
  <si>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</si>
  <si>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</si>
  <si>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</si>
  <si>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</si>
  <si>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</si>
  <si>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</si>
  <si>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</si>
  <si>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</si>
  <si>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</si>
  <si>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</si>
  <si>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</si>
  <si>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</si>
  <si>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</si>
  <si>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</si>
  <si>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</si>
  <si>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</si>
  <si>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</si>
  <si>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</si>
  <si>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</si>
  <si>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</si>
  <si>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</si>
  <si>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</si>
  <si>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</si>
  <si>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</si>
  <si>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</si>
  <si>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</si>
  <si>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</si>
  <si>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</si>
  <si>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</si>
  <si>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</si>
  <si>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</si>
  <si>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</si>
  <si>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</si>
  <si>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</si>
  <si>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</si>
  <si>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</si>
  <si>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</si>
  <si>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</si>
  <si>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</si>
  <si>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</si>
  <si>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</si>
  <si>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</si>
  <si>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</si>
  <si>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</si>
  <si>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</si>
  <si>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</si>
  <si>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</si>
  <si>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</si>
  <si>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</si>
  <si>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</si>
  <si>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</si>
  <si>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</si>
  <si>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</si>
  <si>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</si>
  <si>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</si>
  <si>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</si>
  <si>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</si>
  <si>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</si>
  <si>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</si>
  <si>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</si>
  <si>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</si>
  <si>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</si>
  <si>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</si>
  <si>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</si>
  <si>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</si>
  <si>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</si>
  <si>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</si>
  <si>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</si>
  <si>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</si>
  <si>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</si>
  <si>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</si>
  <si>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</si>
  <si>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</si>
  <si>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</si>
  <si>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</si>
  <si>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</si>
  <si>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</si>
  <si>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</si>
  <si>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</si>
  <si>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</si>
  <si>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</si>
  <si>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</si>
  <si>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</si>
  <si>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</si>
  <si>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</si>
  <si>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</si>
  <si>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</si>
  <si>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</si>
  <si>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</si>
  <si>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</si>
  <si>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</si>
  <si>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</si>
  <si>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</si>
  <si>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</si>
  <si>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</si>
  <si>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</si>
  <si>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</si>
  <si>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</si>
  <si>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</si>
  <si>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</si>
  <si>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</si>
  <si>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</si>
  <si>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</si>
  <si>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</si>
  <si>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</si>
  <si>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</si>
  <si>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</si>
  <si>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</si>
  <si>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</si>
  <si>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</si>
  <si>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</si>
  <si>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</si>
  <si>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</si>
  <si>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</si>
  <si>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</si>
  <si>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</si>
  <si>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</si>
  <si>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</si>
  <si>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</si>
  <si>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</si>
  <si>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</si>
  <si>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</si>
  <si>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</si>
  <si>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</si>
  <si>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</si>
  <si>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</si>
  <si>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</si>
  <si>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</si>
  <si>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</si>
  <si>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</si>
  <si>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</si>
  <si>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</si>
  <si>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</si>
  <si>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</si>
  <si>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</si>
  <si>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</si>
  <si>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</si>
  <si>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</si>
  <si>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</si>
  <si>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</si>
  <si>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</si>
  <si>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</si>
  <si>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</si>
  <si>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</si>
  <si>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</si>
  <si>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</si>
  <si>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</si>
  <si>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</si>
  <si>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</si>
  <si>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</si>
  <si>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</si>
  <si>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</si>
  <si>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</si>
  <si>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</si>
  <si>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</si>
  <si>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</si>
  <si>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</si>
  <si>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</si>
  <si>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</si>
  <si>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</si>
  <si>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</si>
  <si>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</si>
  <si>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</si>
  <si>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</si>
  <si>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</si>
  <si>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</si>
  <si>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</si>
  <si>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</si>
  <si>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</si>
  <si>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</si>
  <si>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</si>
  <si>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</si>
  <si>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</si>
  <si>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</si>
  <si>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</si>
  <si>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</si>
  <si>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</si>
  <si>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</si>
  <si>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</si>
  <si>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</si>
  <si>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</si>
  <si>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</si>
  <si>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</si>
  <si>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</si>
  <si>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</si>
  <si>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</si>
  <si>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</si>
  <si>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</si>
  <si>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</si>
  <si>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</si>
  <si>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</si>
  <si>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</si>
  <si>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</si>
  <si>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</si>
  <si>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</si>
  <si>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</si>
  <si>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</si>
  <si>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</si>
  <si>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</si>
  <si>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</si>
  <si>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</si>
  <si>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</si>
  <si>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</si>
  <si>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</si>
  <si>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</si>
  <si>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</si>
  <si>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</si>
  <si>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</si>
  <si>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</si>
  <si>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</si>
  <si>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</si>
  <si>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</si>
  <si>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</si>
  <si>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</si>
  <si>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</si>
  <si>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</si>
  <si>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</si>
  <si>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</si>
  <si>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</si>
  <si>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</si>
  <si>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</si>
  <si>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</si>
  <si>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</si>
  <si>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</si>
  <si>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</si>
  <si>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</si>
  <si>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</si>
  <si>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</si>
  <si>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</si>
  <si>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</si>
  <si>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</si>
  <si>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</si>
  <si>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</si>
  <si>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</si>
  <si>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</si>
  <si>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</si>
  <si>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</si>
  <si>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</si>
  <si>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</si>
  <si>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</si>
  <si>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</si>
  <si>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</si>
  <si>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</si>
  <si>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</si>
  <si>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</si>
  <si>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</si>
  <si>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</si>
  <si>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</si>
  <si>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</si>
  <si>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</si>
  <si>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</si>
  <si>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</si>
  <si>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</si>
  <si>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</si>
  <si>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</si>
  <si>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</si>
  <si>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</si>
  <si>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</si>
  <si>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</si>
  <si>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</si>
  <si>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</si>
  <si>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</si>
  <si>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</si>
  <si>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</si>
  <si>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</si>
  <si>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</si>
  <si>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</si>
  <si>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</si>
  <si>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</si>
  <si>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</si>
  <si>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</si>
  <si>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</si>
  <si>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</si>
  <si>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</si>
  <si>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</si>
  <si>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</si>
  <si>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</si>
  <si>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</si>
  <si>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</si>
  <si>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</si>
  <si>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</si>
  <si>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</si>
  <si>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</si>
  <si>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</si>
  <si>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</si>
  <si>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</si>
  <si>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</si>
  <si>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</si>
  <si>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</si>
  <si>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</si>
  <si>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</si>
  <si>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</si>
  <si>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</si>
  <si>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</si>
  <si>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</si>
  <si>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</si>
  <si>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</si>
  <si>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</si>
  <si>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</si>
  <si>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</si>
  <si>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</si>
  <si>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</si>
  <si>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</si>
  <si>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</si>
  <si>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</si>
  <si>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</si>
  <si>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</si>
  <si>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</si>
  <si>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</si>
  <si>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</si>
  <si>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</si>
  <si>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</si>
  <si>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</si>
  <si>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</si>
  <si>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</si>
  <si>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</si>
  <si>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</si>
  <si>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</si>
  <si>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</si>
  <si>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</si>
  <si>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</si>
  <si>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</si>
  <si>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</si>
  <si>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</si>
  <si>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</si>
  <si>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</si>
  <si>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</si>
  <si>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</si>
  <si>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</si>
  <si>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</si>
  <si>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</si>
  <si>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</si>
  <si>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</si>
  <si>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</si>
  <si>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</si>
  <si>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</si>
  <si>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</si>
  <si>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</si>
  <si>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</si>
  <si>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</si>
  <si>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</si>
  <si>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</si>
  <si>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</si>
  <si>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</si>
  <si>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</si>
  <si>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</si>
  <si>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</si>
  <si>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</si>
  <si>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</si>
  <si>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</si>
  <si>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</si>
  <si>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</si>
  <si>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</si>
  <si>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</si>
  <si>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</si>
  <si>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</si>
  <si>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</si>
  <si>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</si>
  <si>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</si>
  <si>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</si>
  <si>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</si>
  <si>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</si>
  <si>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</si>
  <si>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</si>
  <si>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</si>
  <si>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</si>
  <si>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</si>
  <si>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</si>
  <si>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</si>
  <si>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</si>
  <si>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</si>
  <si>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</si>
  <si>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</si>
  <si>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</si>
  <si>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</si>
  <si>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</si>
  <si>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</si>
  <si>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</si>
  <si>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</si>
  <si>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</si>
  <si>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</si>
  <si>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</si>
  <si>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</si>
  <si>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</si>
  <si>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</si>
  <si>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</si>
  <si>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</si>
  <si>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</si>
  <si>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</si>
  <si>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</si>
  <si>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</si>
  <si>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</si>
  <si>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</si>
  <si>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</si>
  <si>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</si>
  <si>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</si>
  <si>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</si>
  <si>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</si>
  <si>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</si>
  <si>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</si>
  <si>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</si>
  <si>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</si>
  <si>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</si>
  <si>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</si>
  <si>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</si>
  <si>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</si>
  <si>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</si>
  <si>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</si>
  <si>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</si>
  <si>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</si>
  <si>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</si>
  <si>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</si>
  <si>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</si>
  <si>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</si>
  <si>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</si>
  <si>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</si>
  <si>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</si>
  <si>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</si>
  <si>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</si>
  <si>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</si>
  <si>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</si>
  <si>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</si>
  <si>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</si>
  <si>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</si>
  <si>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</si>
  <si>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</si>
  <si>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</si>
  <si>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</si>
  <si>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</si>
  <si>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</si>
  <si>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</si>
  <si>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</si>
  <si>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</si>
  <si>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</si>
  <si>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</si>
  <si>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</si>
  <si>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</si>
  <si>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</si>
  <si>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</si>
  <si>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</si>
  <si>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</si>
  <si>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</si>
  <si>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</si>
  <si>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</si>
  <si>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</si>
  <si>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</si>
  <si>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</si>
  <si>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</si>
  <si>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</si>
  <si>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</si>
  <si>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</si>
  <si>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</si>
  <si>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</si>
  <si>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</si>
  <si>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</si>
  <si>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</si>
  <si>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</si>
  <si>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</si>
  <si>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</si>
  <si>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</si>
  <si>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</si>
  <si>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</si>
  <si>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</si>
  <si>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</si>
  <si>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</si>
  <si>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</si>
  <si>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</si>
  <si>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</si>
  <si>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</si>
  <si>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</si>
  <si>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</si>
  <si>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</si>
  <si>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</si>
  <si>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</si>
  <si>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</si>
  <si>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</si>
  <si>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</si>
  <si>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</si>
  <si>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</si>
  <si>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</si>
  <si>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</si>
  <si>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</si>
  <si>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</si>
  <si>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</si>
  <si>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</si>
  <si>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</si>
  <si>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</si>
  <si>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</si>
  <si>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</si>
  <si>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</si>
  <si>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</si>
  <si>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</si>
  <si>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</si>
  <si>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</si>
  <si>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</si>
  <si>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</si>
  <si>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</si>
  <si>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</si>
  <si>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</si>
  <si>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</si>
  <si>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</si>
  <si>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</si>
  <si>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</si>
  <si>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</si>
  <si>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</si>
  <si>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</si>
  <si>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</si>
  <si>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</si>
  <si>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</si>
  <si>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</si>
  <si>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</si>
  <si>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</si>
  <si>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</si>
  <si>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</si>
  <si>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</si>
  <si>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</si>
  <si>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</si>
  <si>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</si>
  <si>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</si>
  <si>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</si>
  <si>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</si>
  <si>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</si>
  <si>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</si>
  <si>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</si>
  <si>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</si>
  <si>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</si>
  <si>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</si>
  <si>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</si>
  <si>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</si>
  <si>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</si>
  <si>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</si>
  <si>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</si>
  <si>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</si>
  <si>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</si>
  <si>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</si>
  <si>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</si>
  <si>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</si>
  <si>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</si>
  <si>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</si>
  <si>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</si>
  <si>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</si>
  <si>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</si>
  <si>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</si>
  <si>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</si>
  <si>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</si>
  <si>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</si>
  <si>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</si>
  <si>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</si>
  <si>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</si>
  <si>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</si>
  <si>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</si>
  <si>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</si>
  <si>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</si>
  <si>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</si>
  <si>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</si>
  <si>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</si>
  <si>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</si>
  <si>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</si>
  <si>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</si>
  <si>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</si>
  <si>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</si>
  <si>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</si>
  <si>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</si>
  <si>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</si>
  <si>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</si>
  <si>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</si>
  <si>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</si>
  <si>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</si>
  <si>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</si>
  <si>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</si>
  <si>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</si>
  <si>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</si>
  <si>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</si>
  <si>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</si>
  <si>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</si>
  <si>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</si>
  <si>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</si>
  <si>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</si>
  <si>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</si>
  <si>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</si>
  <si>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</si>
  <si>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</si>
  <si>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</si>
  <si>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</si>
  <si>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</si>
  <si>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</si>
  <si>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</si>
  <si>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</si>
  <si>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</si>
  <si>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</si>
  <si>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</si>
  <si>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</si>
  <si>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</si>
  <si>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</si>
  <si>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</si>
  <si>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</si>
  <si>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</si>
  <si>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</si>
  <si>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</si>
  <si>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</si>
  <si>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</si>
  <si>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</si>
  <si>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</si>
  <si>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</si>
  <si>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</si>
  <si>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</si>
  <si>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</si>
  <si>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</si>
  <si>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</si>
  <si>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</si>
  <si>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</si>
  <si>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</si>
  <si>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</si>
  <si>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</si>
  <si>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</si>
  <si>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</si>
  <si>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</si>
  <si>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</si>
  <si>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</si>
  <si>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</si>
  <si>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</si>
  <si>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</si>
  <si>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</si>
  <si>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</si>
  <si>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</si>
  <si>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</si>
  <si>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</si>
  <si>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</si>
  <si>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</si>
  <si>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</si>
  <si>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</si>
  <si>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</si>
  <si>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</si>
  <si>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</si>
  <si>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</si>
  <si>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</si>
  <si>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</si>
  <si>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</si>
  <si>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</si>
  <si>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</si>
  <si>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</si>
  <si>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</si>
  <si>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</si>
  <si>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</si>
  <si>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</si>
  <si>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</si>
  <si>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</si>
  <si>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</si>
  <si>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</si>
  <si>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</si>
  <si>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</si>
  <si>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</si>
  <si>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</si>
  <si>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</si>
  <si>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</si>
  <si>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</si>
  <si>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</si>
  <si>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</si>
  <si>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</si>
  <si>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</si>
  <si>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</si>
  <si>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</si>
  <si>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</si>
  <si>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</si>
  <si>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</si>
  <si>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</si>
  <si>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</si>
  <si>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</si>
  <si>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</si>
  <si>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</si>
  <si>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</si>
  <si>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</si>
  <si>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</si>
  <si>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</si>
  <si>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</si>
  <si>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</si>
  <si>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</si>
  <si>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</si>
  <si>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</si>
  <si>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</si>
  <si>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</si>
  <si>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</si>
  <si>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</si>
  <si>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</si>
  <si>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</si>
  <si>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</si>
  <si>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</si>
  <si>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</si>
  <si>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</si>
  <si>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</si>
  <si>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</si>
  <si>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</si>
  <si>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</si>
  <si>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</si>
  <si>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</si>
  <si>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</si>
  <si>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</si>
  <si>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</si>
  <si>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</si>
  <si>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</si>
  <si>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</si>
  <si>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</si>
  <si>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</si>
  <si>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</si>
  <si>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</si>
  <si>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</si>
  <si>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</si>
  <si>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</si>
  <si>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</si>
  <si>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</si>
  <si>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</si>
  <si>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</si>
  <si>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</si>
  <si>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</si>
  <si>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</si>
  <si>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</si>
  <si>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</si>
  <si>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</si>
  <si>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</si>
  <si>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</si>
  <si>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</si>
  <si>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</si>
  <si>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</si>
  <si>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</si>
  <si>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</si>
  <si>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</si>
  <si>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</si>
  <si>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</si>
  <si>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</si>
  <si>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</si>
  <si>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</si>
  <si>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</si>
  <si>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</si>
  <si>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</si>
  <si>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</si>
  <si>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</si>
  <si>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</si>
  <si>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</si>
  <si>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</si>
  <si>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</si>
  <si>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</si>
  <si>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</si>
  <si>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</si>
  <si>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</si>
  <si>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</si>
  <si>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</si>
  <si>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</si>
  <si>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</si>
  <si>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</si>
  <si>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</si>
  <si>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</si>
  <si>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</si>
  <si>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</si>
  <si>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</si>
  <si>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</si>
  <si>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</si>
  <si>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</si>
  <si>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</si>
  <si>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</si>
  <si>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</si>
  <si>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</si>
  <si>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</si>
  <si>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</si>
  <si>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</si>
  <si>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</si>
  <si>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</si>
  <si>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</si>
  <si>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</si>
  <si>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</si>
  <si>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</si>
  <si>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</si>
  <si>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</si>
  <si>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</si>
  <si>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</si>
  <si>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</si>
  <si>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</si>
  <si>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</si>
  <si>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</si>
  <si>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</si>
  <si>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</si>
  <si>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</si>
  <si>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</si>
  <si>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</si>
  <si>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</si>
  <si>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</si>
  <si>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</si>
  <si>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</si>
  <si>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</si>
  <si>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</si>
  <si>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</si>
  <si>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</si>
  <si>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</si>
  <si>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</si>
  <si>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</si>
  <si>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</si>
  <si>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</si>
  <si>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</si>
  <si>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</si>
  <si>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</si>
  <si>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</si>
  <si>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</si>
  <si>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</si>
  <si>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</si>
  <si>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</si>
  <si>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</si>
  <si>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</si>
  <si>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</si>
  <si>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</si>
  <si>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</si>
  <si>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</si>
  <si>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</si>
  <si>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</si>
  <si>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</si>
  <si>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</si>
  <si>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</si>
  <si>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</si>
  <si>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</si>
  <si>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</si>
  <si>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</si>
  <si>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</si>
  <si>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</si>
  <si>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</si>
  <si>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</si>
  <si>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</si>
  <si>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</si>
  <si>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</si>
  <si>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</si>
  <si>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</si>
  <si>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</si>
  <si>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</si>
  <si>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</si>
  <si>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</si>
  <si>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</si>
  <si>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</si>
  <si>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</si>
  <si>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</si>
  <si>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</si>
  <si>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</si>
  <si>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</si>
  <si>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</si>
  <si>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</si>
  <si>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</si>
  <si>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</si>
  <si>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</si>
  <si>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</si>
  <si>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</si>
  <si>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</si>
  <si>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</si>
  <si>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</si>
  <si>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</si>
  <si>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</si>
  <si>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</si>
  <si>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</si>
  <si>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</si>
  <si>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</si>
  <si>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</si>
  <si>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</si>
  <si>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</si>
  <si>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</si>
  <si>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</si>
  <si>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</si>
  <si>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</si>
  <si>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</si>
  <si>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</si>
  <si>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</si>
  <si>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</si>
  <si>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</si>
  <si>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</si>
  <si>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</si>
  <si>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</si>
  <si>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</si>
  <si>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</si>
  <si>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</si>
  <si>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</si>
  <si>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</si>
  <si>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</si>
  <si>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</si>
  <si>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</si>
  <si>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</si>
  <si>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</si>
  <si>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</si>
  <si>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</si>
  <si>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</si>
  <si>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</si>
  <si>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</si>
  <si>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</si>
  <si>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</si>
  <si>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</si>
  <si>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</si>
  <si>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</si>
  <si>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</si>
  <si>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</si>
  <si>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</si>
  <si>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</si>
  <si>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</si>
  <si>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</si>
  <si>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</si>
  <si>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</si>
  <si>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</si>
  <si>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</si>
  <si>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</si>
  <si>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</si>
  <si>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</si>
  <si>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</si>
  <si>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</si>
  <si>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</si>
  <si>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</si>
  <si>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</si>
  <si>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</si>
  <si>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</si>
  <si>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</si>
  <si>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</si>
  <si>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</si>
  <si>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</si>
  <si>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</si>
  <si>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</si>
  <si>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</si>
  <si>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</si>
  <si>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</si>
  <si>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</si>
  <si>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</si>
  <si>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</si>
  <si>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</si>
  <si>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</si>
  <si>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</si>
  <si>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</si>
  <si>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</si>
  <si>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</si>
  <si>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</si>
  <si>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</si>
  <si>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</si>
  <si>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</si>
  <si>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</si>
  <si>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</si>
  <si>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</si>
  <si>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</si>
  <si>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</si>
  <si>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</si>
  <si>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</si>
  <si>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</si>
  <si>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</si>
  <si>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</si>
  <si>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</si>
  <si>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</si>
  <si>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</si>
  <si>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</si>
  <si>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</si>
  <si>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</si>
  <si>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</si>
  <si>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</si>
  <si>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</si>
  <si>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</si>
  <si>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</si>
  <si>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</si>
  <si>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</si>
  <si>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</si>
  <si>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</si>
  <si>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</si>
  <si>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</si>
  <si>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</si>
  <si>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</si>
  <si>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</si>
  <si>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</si>
  <si>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</si>
  <si>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</si>
  <si>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</si>
  <si>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</si>
  <si>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</si>
  <si>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</si>
  <si>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</si>
  <si>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</si>
  <si>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</si>
  <si>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</si>
  <si>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</si>
  <si>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</si>
  <si>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</si>
  <si>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</si>
  <si>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</si>
  <si>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</si>
  <si>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</si>
  <si>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</si>
  <si>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</si>
  <si>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</si>
  <si>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</si>
  <si>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</si>
  <si>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</si>
  <si>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</si>
  <si>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</si>
  <si>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</si>
  <si>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</si>
  <si>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</si>
  <si>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</si>
  <si>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</si>
  <si>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</si>
  <si>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</si>
  <si>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</si>
  <si>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</si>
  <si>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</si>
  <si>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</si>
  <si>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</si>
  <si>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</si>
  <si>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</si>
  <si>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</si>
  <si>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</si>
  <si>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</si>
  <si>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</si>
  <si>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</si>
  <si>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</si>
  <si>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</si>
  <si>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</si>
  <si>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</si>
  <si>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</si>
  <si>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</si>
  <si>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</si>
  <si>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</si>
  <si>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</si>
  <si>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</si>
  <si>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</si>
  <si>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</si>
  <si>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</si>
  <si>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</si>
  <si>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</si>
  <si>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</si>
  <si>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</si>
  <si>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</si>
  <si>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</si>
  <si>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</si>
  <si>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</si>
  <si>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</si>
  <si>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</si>
  <si>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</si>
  <si>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</si>
  <si>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</si>
  <si>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</si>
  <si>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</si>
  <si>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</si>
  <si>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</si>
  <si>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</si>
  <si>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</si>
  <si>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</si>
  <si>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</si>
  <si>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</si>
  <si>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</si>
  <si>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</si>
  <si>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</si>
  <si>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</si>
  <si>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</si>
  <si>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</si>
  <si>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</si>
  <si>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</si>
  <si>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</si>
  <si>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</si>
  <si>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</si>
  <si>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</si>
  <si>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</si>
  <si>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</si>
  <si>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</si>
  <si>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</si>
  <si>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</si>
  <si>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</si>
  <si>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</si>
  <si>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</si>
  <si>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</si>
  <si>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</si>
  <si>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</si>
  <si>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</si>
  <si>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</si>
  <si>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</si>
  <si>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</si>
  <si>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</si>
  <si>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</si>
  <si>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</si>
  <si>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</si>
  <si>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</si>
  <si>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</si>
  <si>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</si>
  <si>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</si>
  <si>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</si>
  <si>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</si>
  <si>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</si>
  <si>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</si>
  <si>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</si>
  <si>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</si>
  <si>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</si>
  <si>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</si>
  <si>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</si>
  <si>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</si>
  <si>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</si>
  <si>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</si>
  <si>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</si>
  <si>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</si>
  <si>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</si>
  <si>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</si>
  <si>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</si>
  <si>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</si>
  <si>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</si>
  <si>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</si>
  <si>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</si>
  <si>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</si>
  <si>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</si>
  <si>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</si>
  <si>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</si>
  <si>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</si>
  <si>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</si>
  <si>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</si>
  <si>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</si>
  <si>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</si>
  <si>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</si>
  <si>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</si>
  <si>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</si>
  <si>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</si>
  <si>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</si>
  <si>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</si>
  <si>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</si>
  <si>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</si>
  <si>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</si>
  <si>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</si>
  <si>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</si>
  <si>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</si>
  <si>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</si>
  <si>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</si>
  <si>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</si>
  <si>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</si>
  <si>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</si>
  <si>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</si>
  <si>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</si>
  <si>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</si>
  <si>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</si>
  <si>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</si>
  <si>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</si>
  <si>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</si>
  <si>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</si>
  <si>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</si>
  <si>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</si>
  <si>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</si>
  <si>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</si>
  <si>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</si>
  <si>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</si>
  <si>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</si>
  <si>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</si>
  <si>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</si>
  <si>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</si>
  <si>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</si>
  <si>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</si>
  <si>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</si>
  <si>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</si>
  <si>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</si>
  <si>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</si>
  <si>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</si>
  <si>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</si>
  <si>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</si>
  <si>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</si>
  <si>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</si>
  <si>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</si>
  <si>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</si>
  <si>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</si>
  <si>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</si>
  <si>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</si>
  <si>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</si>
  <si>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</si>
  <si>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</si>
  <si>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</si>
  <si>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</si>
  <si>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</si>
  <si>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</si>
  <si>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</si>
  <si>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</si>
  <si>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</si>
  <si>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</si>
  <si>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</si>
  <si>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</si>
  <si>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</si>
  <si>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</si>
  <si>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</si>
  <si>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</si>
  <si>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</si>
  <si>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</si>
  <si>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</si>
  <si>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</si>
  <si>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</si>
  <si>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</si>
  <si>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</si>
  <si>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</si>
  <si>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</si>
  <si>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</si>
  <si>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</si>
  <si>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</si>
  <si>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</si>
  <si>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</si>
  <si>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</si>
  <si>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</si>
  <si>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</si>
  <si>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</si>
  <si>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</si>
  <si>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</si>
  <si>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</si>
  <si>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</si>
  <si>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</si>
  <si>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</si>
  <si>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</si>
  <si>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</si>
  <si>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</si>
  <si>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</si>
  <si>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</si>
  <si>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</si>
  <si>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</si>
  <si>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</si>
  <si>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</si>
  <si>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</si>
  <si>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</si>
  <si>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</si>
  <si>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</si>
  <si>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</si>
  <si>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</si>
  <si>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</si>
  <si>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</si>
  <si>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</si>
  <si>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</si>
  <si>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</si>
  <si>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</si>
  <si>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</si>
  <si>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</si>
  <si>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</si>
  <si>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</si>
  <si>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</si>
  <si>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</si>
  <si>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</si>
  <si>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</si>
  <si>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</si>
  <si>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</si>
  <si>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</si>
  <si>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</si>
  <si>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</si>
  <si>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</si>
  <si>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</si>
  <si>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</si>
  <si>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</si>
  <si>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</si>
  <si>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</si>
  <si>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</si>
  <si>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</si>
  <si>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</si>
  <si>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</si>
  <si>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</si>
  <si>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</si>
  <si>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</si>
  <si>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</si>
  <si>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</si>
  <si>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</si>
  <si>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</si>
  <si>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</si>
  <si>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</si>
  <si>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</si>
  <si>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</si>
  <si>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</si>
  <si>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</si>
  <si>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</si>
  <si>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</si>
  <si>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</si>
  <si>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</si>
  <si>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</si>
  <si>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</si>
  <si>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</si>
  <si>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</si>
  <si>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</si>
  <si>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</si>
  <si>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</si>
  <si>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</si>
  <si>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</si>
  <si>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</si>
  <si>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</si>
  <si>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</si>
  <si>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</si>
  <si>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</si>
  <si>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</si>
  <si>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</si>
  <si>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</si>
  <si>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</si>
  <si>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</si>
  <si>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</si>
  <si>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</si>
  <si>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</si>
  <si>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</si>
  <si>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</si>
  <si>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</si>
  <si>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</si>
  <si>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</si>
  <si>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</si>
  <si>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</si>
  <si>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</si>
  <si>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</si>
  <si>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</si>
  <si>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</si>
  <si>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</si>
  <si>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</si>
  <si>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</si>
  <si>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</si>
  <si>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</si>
  <si>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</si>
  <si>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</si>
  <si>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</si>
  <si>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</si>
  <si>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</si>
  <si>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</si>
  <si>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</si>
  <si>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</si>
  <si>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</si>
  <si>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</si>
  <si>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</si>
  <si>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</si>
  <si>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</si>
  <si>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</si>
  <si>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</si>
  <si>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</si>
  <si>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</si>
  <si>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</si>
  <si>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</si>
  <si>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</si>
  <si>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</si>
  <si>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</si>
  <si>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</si>
  <si>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</si>
  <si>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</si>
  <si>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</si>
  <si>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</si>
  <si>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</si>
  <si>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</si>
  <si>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</si>
  <si>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</si>
  <si>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</si>
  <si>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</si>
  <si>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</si>
  <si>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</si>
  <si>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</si>
  <si>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</si>
  <si>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</si>
  <si>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</si>
  <si>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</si>
  <si>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</si>
  <si>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</si>
  <si>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</si>
  <si>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</si>
  <si>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</si>
  <si>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</si>
  <si>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</si>
  <si>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</si>
  <si>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</si>
  <si>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</si>
  <si>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</si>
  <si>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</si>
  <si>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</si>
  <si>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</si>
  <si>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</si>
  <si>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</si>
  <si>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</si>
  <si>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</si>
  <si>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</si>
  <si>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</si>
  <si>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</si>
  <si>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</si>
  <si>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</si>
  <si>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</si>
  <si>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</si>
  <si>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</si>
  <si>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</si>
  <si>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</si>
  <si>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</si>
  <si>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</si>
  <si>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</si>
  <si>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</si>
  <si>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</si>
  <si>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</si>
  <si>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</si>
  <si>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</si>
  <si>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</si>
  <si>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</si>
  <si>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</si>
  <si>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</si>
  <si>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</si>
  <si>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</si>
  <si>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</si>
  <si>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</si>
  <si>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</si>
  <si>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</si>
  <si>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</si>
  <si>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</si>
  <si>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</si>
  <si>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</si>
  <si>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</si>
  <si>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</si>
  <si>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</si>
  <si>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</si>
  <si>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</si>
  <si>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</si>
  <si>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</si>
  <si>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</si>
  <si>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</si>
  <si>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</si>
  <si>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</si>
  <si>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</si>
  <si>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</si>
  <si>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</si>
  <si>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</si>
  <si>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</si>
  <si>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</si>
  <si>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</si>
  <si>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</si>
  <si>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</si>
  <si>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</si>
  <si>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</si>
  <si>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</si>
  <si>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</si>
  <si>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</si>
  <si>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</si>
  <si>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</si>
  <si>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</si>
  <si>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</si>
  <si>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</si>
  <si>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</si>
  <si>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</si>
  <si>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</si>
  <si>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</si>
  <si>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</si>
  <si>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</si>
  <si>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</si>
  <si>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</si>
  <si>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</si>
  <si>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</si>
  <si>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</si>
  <si>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</si>
  <si>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</si>
  <si>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</si>
  <si>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</si>
  <si>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</si>
  <si>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</si>
  <si>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</si>
  <si>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</si>
  <si>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</si>
  <si>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</si>
  <si>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</si>
  <si>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</si>
  <si>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</si>
  <si>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</si>
  <si>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</si>
  <si>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</si>
  <si>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</si>
  <si>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</si>
  <si>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</si>
  <si>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</si>
  <si>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</si>
  <si>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</si>
  <si>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</si>
  <si>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</si>
  <si>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</si>
  <si>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</si>
  <si>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</si>
  <si>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</si>
  <si>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</si>
  <si>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</si>
  <si>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</si>
  <si>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</si>
  <si>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</si>
  <si>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</si>
  <si>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</si>
  <si>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</si>
  <si>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</si>
  <si>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</si>
  <si>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</si>
  <si>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</si>
  <si>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</si>
  <si>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</si>
  <si>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</si>
  <si>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</si>
  <si>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</si>
  <si>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</si>
  <si>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</si>
  <si>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</si>
  <si>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</si>
  <si>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</si>
  <si>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</si>
  <si>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</si>
  <si>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</si>
  <si>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</si>
  <si>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</si>
  <si>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</si>
  <si>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</si>
  <si>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</si>
  <si>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</si>
  <si>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</si>
  <si>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</si>
  <si>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</si>
  <si>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</si>
  <si>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</si>
  <si>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</si>
  <si>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</si>
  <si>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</si>
  <si>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</si>
  <si>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</si>
  <si>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</si>
  <si>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</si>
  <si>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</si>
  <si>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</si>
  <si>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</si>
  <si>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</si>
  <si>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</si>
  <si>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</si>
  <si>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</si>
  <si>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</si>
  <si>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</si>
  <si>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</si>
  <si>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</si>
  <si>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</si>
  <si>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</si>
  <si>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</si>
  <si>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</si>
  <si>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</si>
  <si>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</si>
  <si>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</si>
  <si>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</si>
  <si>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</si>
  <si>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</si>
  <si>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</si>
  <si>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</si>
  <si>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</si>
  <si>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</si>
  <si>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</si>
  <si>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</si>
  <si>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</si>
  <si>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</si>
  <si>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</si>
  <si>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</si>
  <si>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</si>
  <si>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</si>
  <si>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</si>
  <si>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</si>
  <si>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</si>
  <si>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</si>
  <si>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</si>
  <si>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</si>
  <si>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</si>
  <si>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</si>
  <si>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</si>
  <si>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</si>
  <si>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</si>
  <si>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</si>
  <si>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</si>
  <si>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</si>
  <si>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</si>
  <si>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</si>
  <si>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</si>
  <si>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</si>
  <si>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</si>
  <si>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</si>
  <si>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</si>
  <si>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</si>
  <si>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</si>
  <si>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</si>
  <si>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</si>
  <si>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</si>
  <si>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</si>
  <si>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</si>
  <si>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</si>
  <si>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</si>
  <si>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</si>
  <si>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</si>
  <si>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</si>
  <si>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</si>
  <si>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</si>
  <si>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</si>
  <si>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</si>
  <si>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</si>
  <si>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</si>
  <si>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</si>
  <si>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</si>
  <si>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</si>
  <si>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</si>
  <si>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</si>
  <si>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</si>
  <si>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</si>
  <si>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</si>
  <si>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</si>
  <si>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</si>
  <si>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</si>
  <si>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</si>
  <si>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</si>
  <si>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</si>
  <si>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</si>
  <si>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</si>
  <si>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</si>
  <si>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</si>
  <si>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</si>
  <si>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</si>
  <si>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</si>
  <si>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</si>
  <si>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</si>
  <si>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</si>
  <si>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</si>
  <si>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</si>
  <si>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</si>
  <si>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</si>
  <si>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</si>
  <si>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</si>
  <si>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</si>
  <si>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</si>
  <si>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</si>
  <si>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</si>
  <si>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</si>
  <si>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</si>
  <si>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</si>
  <si>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</si>
  <si>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</si>
  <si>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</si>
  <si>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</si>
  <si>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</si>
  <si>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</si>
  <si>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</si>
  <si>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</si>
  <si>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</si>
  <si>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</si>
  <si>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</si>
  <si>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</si>
  <si>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</si>
  <si>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</si>
  <si>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</si>
  <si>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</si>
  <si>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</si>
  <si>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</si>
  <si>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</si>
  <si>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</si>
  <si>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</si>
  <si>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</si>
  <si>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</si>
  <si>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</si>
  <si>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</si>
  <si>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</si>
  <si>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</si>
  <si>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</si>
  <si>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</si>
  <si>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</si>
  <si>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</si>
  <si>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</si>
  <si>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</si>
  <si>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</si>
  <si>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</si>
  <si>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</si>
  <si>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</si>
  <si>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</si>
  <si>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</si>
  <si>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</si>
  <si>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</si>
  <si>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</si>
  <si>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</si>
  <si>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</si>
  <si>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</si>
  <si>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</si>
  <si>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</si>
  <si>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</si>
  <si>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</si>
  <si>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</si>
  <si>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</si>
  <si>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</si>
  <si>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</si>
  <si>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</si>
  <si>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</si>
  <si>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</si>
  <si>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</si>
  <si>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</si>
  <si>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</si>
  <si>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</si>
  <si>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</si>
  <si>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</si>
  <si>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</si>
  <si>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</si>
  <si>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</si>
  <si>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</si>
  <si>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</si>
  <si>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</si>
  <si>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</si>
  <si>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</si>
  <si>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</si>
  <si>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</si>
  <si>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</si>
  <si>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</si>
  <si>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</si>
  <si>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</si>
  <si>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</si>
  <si>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</si>
  <si>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</si>
  <si>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</si>
  <si>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</si>
  <si>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</si>
  <si>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</si>
  <si>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</si>
  <si>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</si>
  <si>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</si>
  <si>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</si>
  <si>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</si>
  <si>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</si>
  <si>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</si>
  <si>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</si>
  <si>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</si>
  <si>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</si>
  <si>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</si>
  <si>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</si>
  <si>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</si>
  <si>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</si>
  <si>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</si>
  <si>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</si>
  <si>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</si>
  <si>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</si>
  <si>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</si>
  <si>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</si>
  <si>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</si>
  <si>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</si>
  <si>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</si>
  <si>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</si>
  <si>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</si>
  <si>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</si>
  <si>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</si>
  <si>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</si>
  <si>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</si>
  <si>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</si>
  <si>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</si>
  <si>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</si>
  <si>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</si>
  <si>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</si>
  <si>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</si>
  <si>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</si>
  <si>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</si>
  <si>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</si>
  <si>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</si>
  <si>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</si>
  <si>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</si>
  <si>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</si>
  <si>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</si>
  <si>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</si>
  <si>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</si>
  <si>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</si>
  <si>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</si>
  <si>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</si>
  <si>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</si>
  <si>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</si>
  <si>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</si>
  <si>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</si>
  <si>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</si>
  <si>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</si>
  <si>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</si>
  <si>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</si>
  <si>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</si>
  <si>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</si>
  <si>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</si>
  <si>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</si>
  <si>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</si>
  <si>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</si>
  <si>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</si>
  <si>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</si>
  <si>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</si>
  <si>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</si>
  <si>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</si>
  <si>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</si>
  <si>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</si>
  <si>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</si>
  <si>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</si>
  <si>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</si>
  <si>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</si>
  <si>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</si>
  <si>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</si>
  <si>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</si>
  <si>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</si>
  <si>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</si>
  <si>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</si>
  <si>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</si>
  <si>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</si>
  <si>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</si>
  <si>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</si>
  <si>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</si>
  <si>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</si>
  <si>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</si>
  <si>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</si>
  <si>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</si>
  <si>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</si>
  <si>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</si>
  <si>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</si>
  <si>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</si>
  <si>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</si>
  <si>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</si>
  <si>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</si>
  <si>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</si>
  <si>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</si>
  <si>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</si>
  <si>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</si>
  <si>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</si>
  <si>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</si>
  <si>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</si>
  <si>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</si>
  <si>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</si>
  <si>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</si>
  <si>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</si>
  <si>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</si>
  <si>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</si>
  <si>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</si>
  <si>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</si>
  <si>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</si>
  <si>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</si>
  <si>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</si>
  <si>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</si>
  <si>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</si>
  <si>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</si>
  <si>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</si>
  <si>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</si>
  <si>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</si>
  <si>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</si>
  <si>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</si>
  <si>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</si>
  <si>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</si>
  <si>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</si>
  <si>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</si>
  <si>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</si>
  <si>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</si>
  <si>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</si>
  <si>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</si>
  <si>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</si>
  <si>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</si>
  <si>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</si>
  <si>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</si>
  <si>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</si>
  <si>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</si>
  <si>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</si>
  <si>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</si>
  <si>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</si>
  <si>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</si>
  <si>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</si>
  <si>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</si>
  <si>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</si>
  <si>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</si>
  <si>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</si>
  <si>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</si>
  <si>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</si>
  <si>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</si>
  <si>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</si>
  <si>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</si>
  <si>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</si>
  <si>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</si>
  <si>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</si>
  <si>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</si>
  <si>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</si>
  <si>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</si>
  <si>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</si>
  <si>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</si>
  <si>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</si>
  <si>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</si>
  <si>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</si>
  <si>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</si>
  <si>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</si>
  <si>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</si>
  <si>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</si>
  <si>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</si>
  <si>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</si>
  <si>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</si>
  <si>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</si>
  <si>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</si>
  <si>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</si>
  <si>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</si>
  <si>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</si>
  <si>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</si>
  <si>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</si>
  <si>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</si>
  <si>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</si>
  <si>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</si>
  <si>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</si>
  <si>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</si>
  <si>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</si>
  <si>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</si>
  <si>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</si>
  <si>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</si>
  <si>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</si>
  <si>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</si>
  <si>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</si>
  <si>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</si>
  <si>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</si>
  <si>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</si>
  <si>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</si>
  <si>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</si>
  <si>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</si>
  <si>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</si>
  <si>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</si>
  <si>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</si>
  <si>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</si>
  <si>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</si>
  <si>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</si>
  <si>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</si>
  <si>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</si>
  <si>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</si>
  <si>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</si>
  <si>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</si>
  <si>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</si>
  <si>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</si>
  <si>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</si>
  <si>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</si>
  <si>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</si>
  <si>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</si>
  <si>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</si>
  <si>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</si>
  <si>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</si>
  <si>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</si>
  <si>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</si>
  <si>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</si>
  <si>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</si>
  <si>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</si>
  <si>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</si>
  <si>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</si>
  <si>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</si>
  <si>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</si>
  <si>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</si>
  <si>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</si>
  <si>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</si>
  <si>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</si>
  <si>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</si>
  <si>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</si>
  <si>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</si>
  <si>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</si>
  <si>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</si>
  <si>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</si>
  <si>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</si>
  <si>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</si>
  <si>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</si>
  <si>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</si>
  <si>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</si>
  <si>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</si>
  <si>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</si>
  <si>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</si>
  <si>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</si>
  <si>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</si>
  <si>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</si>
  <si>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</si>
  <si>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</si>
  <si>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</si>
  <si>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</si>
  <si>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</si>
  <si>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</si>
  <si>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</si>
  <si>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</si>
  <si>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</si>
  <si>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</si>
  <si>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</si>
  <si>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</si>
  <si>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</si>
  <si>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</si>
  <si>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</si>
  <si>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</si>
  <si>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</si>
  <si>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</si>
  <si>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</si>
  <si>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</si>
  <si>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</si>
  <si>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</si>
  <si>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</si>
  <si>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</si>
  <si>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</si>
  <si>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</si>
  <si>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</si>
  <si>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</si>
  <si>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</si>
  <si>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</si>
  <si>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</si>
  <si>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</si>
  <si>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</si>
  <si>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</si>
  <si>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</si>
  <si>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</si>
  <si>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</si>
  <si>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</si>
  <si>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</si>
  <si>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</si>
  <si>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</si>
  <si>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</si>
  <si>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</si>
  <si>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</si>
  <si>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</si>
  <si>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</si>
  <si>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</si>
  <si>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</si>
  <si>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</si>
  <si>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</si>
  <si>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</si>
  <si>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</si>
  <si>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</si>
  <si>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</si>
  <si>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</si>
  <si>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</si>
  <si>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</si>
  <si>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</si>
  <si>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</si>
  <si>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</si>
  <si>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</si>
  <si>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</si>
  <si>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</si>
  <si>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</si>
  <si>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</si>
  <si>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</si>
  <si>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</si>
  <si>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</si>
  <si>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</si>
  <si>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</si>
  <si>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</si>
  <si>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</si>
  <si>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</si>
  <si>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</si>
  <si>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</si>
  <si>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</si>
  <si>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</si>
  <si>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</si>
  <si>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</si>
  <si>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</si>
  <si>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</si>
  <si>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</si>
  <si>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</si>
  <si>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</si>
  <si>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</si>
  <si>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</si>
  <si>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</si>
  <si>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</si>
  <si>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</si>
  <si>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</si>
  <si>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</si>
  <si>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</si>
  <si>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</si>
  <si>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</si>
  <si>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</si>
  <si>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BUREAU</t>
  </si>
  <si>
    <t>400 GALENA ST., PO BOX 239</t>
  </si>
  <si>
    <t>TISKILWA</t>
  </si>
  <si>
    <t>tricountyse5@gmail.com</t>
  </si>
  <si>
    <t>GWEN GARVER</t>
  </si>
  <si>
    <t>815-646-8031</t>
  </si>
  <si>
    <t>HOPKINS &amp; ASSOCIATES, CPAS</t>
  </si>
  <si>
    <t>JOEL HOPKINS</t>
  </si>
  <si>
    <t>314 S MCCOY STREET</t>
  </si>
  <si>
    <t>GRANVILLE</t>
  </si>
  <si>
    <t>IL</t>
  </si>
  <si>
    <t>815-339-6630</t>
  </si>
  <si>
    <t>815-339-6643</t>
  </si>
  <si>
    <t>066-004501</t>
  </si>
  <si>
    <t>joel@hopkinsoffice.com</t>
  </si>
  <si>
    <t>Hopkins &amp; Associates, CPAs</t>
  </si>
  <si>
    <t>Ed-Sup Svc-Business-O&amp;M Plant Services</t>
  </si>
  <si>
    <t>Princeton Elementary #115 (Rent)</t>
  </si>
  <si>
    <t>Illinois School District Insurance</t>
  </si>
  <si>
    <t>Marco, Inc.</t>
  </si>
  <si>
    <t>Many Local School Districts are provided service by BMP Special Ed Coop</t>
  </si>
  <si>
    <t>Other Local Revenue - 1999 - Reimbursements</t>
  </si>
  <si>
    <t>Other Payment to Government - 4190-600 - Infinitec Assessment</t>
  </si>
  <si>
    <t>US DEPARTMENT OF EDUCATION</t>
  </si>
  <si>
    <t>Passed Through ISBE:</t>
  </si>
  <si>
    <t xml:space="preserve">   Special Ed IDEA Part B Pre School (M)</t>
  </si>
  <si>
    <t xml:space="preserve">   Special Ed IDEA Part B Dis. Flow Through (M)</t>
  </si>
  <si>
    <t xml:space="preserve">      TOTAL USDE FLOW THROUGHS</t>
  </si>
  <si>
    <t>US DEPARTMENT OF HEALTH AND HUMAN SERVICES</t>
  </si>
  <si>
    <t>Passed Through IL Dep of Health and Family Services</t>
  </si>
  <si>
    <t xml:space="preserve">   Medicaid Administrative Services</t>
  </si>
  <si>
    <t xml:space="preserve">      TOTAL USDHHS FLOWTHROUGHS</t>
  </si>
  <si>
    <t>TOTAL ALL FEDERAL SOURCES</t>
  </si>
  <si>
    <t>84.173A</t>
  </si>
  <si>
    <t>84.027A</t>
  </si>
  <si>
    <t>2018-4600-0</t>
  </si>
  <si>
    <t>2019-4600-0</t>
  </si>
  <si>
    <t>2020-4600-0</t>
  </si>
  <si>
    <t>2018-4620-0</t>
  </si>
  <si>
    <t>2019-4620-0</t>
  </si>
  <si>
    <t>2020-4620-0</t>
  </si>
  <si>
    <t>2019-4991</t>
  </si>
  <si>
    <t>2020-4991</t>
  </si>
  <si>
    <r>
      <t xml:space="preserve">Of the federal expenditures presented in the schedule, </t>
    </r>
    <r>
      <rPr>
        <b/>
        <sz val="9"/>
        <rFont val="Calibri"/>
        <family val="2"/>
        <scheme val="minor"/>
      </rPr>
      <t>B-M-P Special Education Cooperative</t>
    </r>
    <r>
      <rPr>
        <sz val="9"/>
        <rFont val="Calibri"/>
        <family val="2"/>
        <scheme val="minor"/>
      </rPr>
      <t xml:space="preserve"> provided federal awards to subrecipients as follows:</t>
    </r>
  </si>
  <si>
    <t>The accompanying Schedule of Expenditures of Federal Awards includes the federal grant activity of B-M-P Tri-County Special Education Cooperative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</si>
  <si>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IDEA Flow Thru Discretionary - Princeton Elementary</t>
  </si>
  <si>
    <t>IDEA Flow Thru Discretionary - Hall High School</t>
  </si>
  <si>
    <r>
      <t xml:space="preserve">The following amounts were expended in the form of non-cash assistance by </t>
    </r>
    <r>
      <rPr>
        <b/>
        <sz val="9"/>
        <rFont val="Calibri"/>
        <family val="2"/>
        <scheme val="minor"/>
      </rPr>
      <t>B-M-P Special Education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</si>
  <si>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</si>
  <si>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84.027A and 84.173A</t>
  </si>
  <si>
    <t>USDE, Special Ed IDEA Flow Through Grants</t>
  </si>
  <si>
    <t>N/A</t>
  </si>
  <si>
    <t>NONE</t>
  </si>
  <si>
    <t>Number</t>
  </si>
  <si>
    <t>or Contract #</t>
  </si>
  <si>
    <t>Expenditure/Disbursements</t>
  </si>
  <si>
    <t>Note 1:  Basis of Presentation</t>
  </si>
  <si>
    <t>Note 2:  Indirect Facilities &amp; Administration costs</t>
  </si>
  <si>
    <t>IDENTIFICATION OF MAJOR PROGRAMS:</t>
  </si>
  <si>
    <t>CFDA NUMBER(S)</t>
  </si>
  <si>
    <t>NAME OF FEDERAL PROGRAM or CLUSTER</t>
  </si>
  <si>
    <t>1.  FINDING NUMBER:</t>
  </si>
  <si>
    <t>5. Context</t>
  </si>
  <si>
    <t>9.  Management's response</t>
  </si>
  <si>
    <t>1. FINDING NUMBER:</t>
  </si>
  <si>
    <t>9. Condition</t>
  </si>
  <si>
    <t>10. Questioned Costs</t>
  </si>
  <si>
    <t>11. Context</t>
  </si>
  <si>
    <t>15. Management's response</t>
  </si>
  <si>
    <t>SUMMARY SCHEDULE OF PRIOR AUDIT FINDINGS</t>
  </si>
  <si>
    <t>Current Status</t>
  </si>
  <si>
    <t>BMP Tri Cty Special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</si>
</sst>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5"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7"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0"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2"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2" fillId="0" borderId="14" xfId="0" applyFont="1" applyBorder="1" applyAlignment="1">
      <alignment vertical="top" wrapText="1"/>
    </xf>
    <xf numFmtId="0" fontId="114"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2"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2"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2"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5" fillId="0" borderId="123" xfId="0" applyFont="1" applyBorder="1" applyAlignment="1"/>
    <xf numFmtId="164" fontId="112"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6"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8" fillId="0" borderId="22" xfId="3" applyFont="1" applyBorder="1" applyAlignment="1" applyProtection="1">
      <alignment horizontal="center"/>
      <protection locked="0"/>
    </xf>
    <xf numFmtId="0" fontId="97"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7"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8" fillId="0" borderId="0" xfId="3" applyFont="1" applyAlignment="1" applyProtection="1">
      <alignment vertical="top"/>
    </xf>
    <xf numFmtId="0" fontId="62" fillId="0" borderId="0" xfId="3" applyFont="1" applyProtection="1"/>
    <xf numFmtId="0" fontId="118"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0"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7" fillId="0" borderId="0" xfId="3" applyFont="1" applyProtection="1"/>
    <xf numFmtId="10" fontId="120"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8"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27" fillId="0" borderId="160" xfId="18" applyFont="1" applyFill="1" applyBorder="1" applyAlignment="1" applyProtection="1">
      <alignment horizontal="center" vertical="center"/>
      <protection locked="0"/>
    </xf>
    <xf numFmtId="0" fontId="102"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28" fillId="0" borderId="105" xfId="18" applyNumberFormat="1" applyFont="1" applyBorder="1" applyAlignment="1" applyProtection="1">
      <alignment horizontal="center" vertical="center"/>
      <protection locked="0"/>
    </xf>
    <xf numFmtId="49" fontId="128"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28"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29"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1"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4" fillId="20" borderId="0" xfId="0" applyFont="1" applyFill="1" applyAlignment="1">
      <alignment horizontal="center"/>
    </xf>
    <xf numFmtId="0" fontId="135"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2" fillId="0" borderId="0" xfId="18" applyFont="1" applyFill="1"/>
    <xf numFmtId="0" fontId="136" fillId="0" borderId="0" xfId="18" applyFont="1"/>
    <xf numFmtId="0" fontId="102"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8" fillId="0" borderId="138" xfId="19" applyFont="1" applyBorder="1" applyAlignment="1">
      <alignment horizontal="left" vertical="top"/>
    </xf>
    <xf numFmtId="182" fontId="123" fillId="0" borderId="139" xfId="19" applyNumberFormat="1" applyFont="1" applyBorder="1" applyAlignment="1">
      <alignment horizontal="center" vertical="top"/>
    </xf>
    <xf numFmtId="0" fontId="123" fillId="0" borderId="139" xfId="19" applyFont="1" applyBorder="1" applyAlignment="1">
      <alignment horizontal="center" vertical="top"/>
    </xf>
    <xf numFmtId="0" fontId="123" fillId="0" borderId="140" xfId="19" applyFont="1" applyBorder="1" applyAlignment="1">
      <alignment horizontal="center" vertical="top"/>
    </xf>
    <xf numFmtId="0" fontId="124" fillId="0" borderId="0" xfId="19" applyFont="1" applyBorder="1" applyAlignment="1">
      <alignment vertical="top" wrapText="1"/>
    </xf>
    <xf numFmtId="0" fontId="124" fillId="0" borderId="97" xfId="19" applyFont="1" applyBorder="1" applyAlignment="1">
      <alignment vertical="top" wrapText="1"/>
    </xf>
    <xf numFmtId="0" fontId="124" fillId="0" borderId="96" xfId="19" applyFont="1" applyBorder="1" applyAlignment="1">
      <alignment vertical="top"/>
    </xf>
    <xf numFmtId="182" fontId="124" fillId="0" borderId="0" xfId="19" applyNumberFormat="1" applyFont="1" applyBorder="1" applyAlignment="1">
      <alignment vertical="top"/>
    </xf>
    <xf numFmtId="0" fontId="124" fillId="0" borderId="0" xfId="19" applyFont="1" applyBorder="1" applyAlignment="1">
      <alignment vertical="top"/>
    </xf>
    <xf numFmtId="0" fontId="124" fillId="0" borderId="97" xfId="19" applyFont="1" applyBorder="1" applyAlignment="1">
      <alignment vertical="top"/>
    </xf>
    <xf numFmtId="0" fontId="122" fillId="22" borderId="154" xfId="19" applyFont="1" applyFill="1" applyBorder="1" applyAlignment="1">
      <alignment horizontal="center" vertical="center" wrapText="1"/>
    </xf>
    <xf numFmtId="182" fontId="122" fillId="22" borderId="154" xfId="19" applyNumberFormat="1" applyFont="1" applyFill="1" applyBorder="1" applyAlignment="1">
      <alignment horizontal="center" vertical="center" wrapText="1"/>
    </xf>
    <xf numFmtId="38" fontId="122" fillId="22" borderId="154" xfId="19" applyNumberFormat="1" applyFont="1" applyFill="1" applyBorder="1" applyAlignment="1">
      <alignment horizontal="center" vertical="center" wrapText="1"/>
    </xf>
    <xf numFmtId="0" fontId="124" fillId="20" borderId="155" xfId="19" applyFont="1" applyFill="1" applyBorder="1" applyAlignment="1" applyProtection="1">
      <alignment horizontal="left" vertical="top" wrapText="1"/>
    </xf>
    <xf numFmtId="0" fontId="124" fillId="20" borderId="155" xfId="19" applyFont="1" applyFill="1" applyBorder="1" applyAlignment="1" applyProtection="1">
      <alignment vertical="top"/>
    </xf>
    <xf numFmtId="38" fontId="124" fillId="20" borderId="155" xfId="19" applyNumberFormat="1" applyFont="1" applyFill="1" applyBorder="1" applyAlignment="1" applyProtection="1">
      <alignment horizontal="right" vertical="top"/>
    </xf>
    <xf numFmtId="38" fontId="124"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5" fillId="0" borderId="0" xfId="0" applyFont="1"/>
    <xf numFmtId="0" fontId="85" fillId="0" borderId="2" xfId="0" applyFont="1" applyBorder="1" applyAlignment="1">
      <alignment horizontal="left" wrapText="1"/>
    </xf>
    <xf numFmtId="0" fontId="137" fillId="0" borderId="96" xfId="19" applyFont="1" applyBorder="1" applyAlignment="1">
      <alignment vertical="top"/>
    </xf>
    <xf numFmtId="0" fontId="137"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4"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99"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0" fillId="0" borderId="77" xfId="20" applyFont="1" applyBorder="1" applyAlignment="1">
      <alignment horizontal="center" wrapText="1"/>
    </xf>
    <xf numFmtId="0" fontId="100"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99" fillId="0" borderId="182" xfId="20" applyFont="1" applyBorder="1"/>
    <xf numFmtId="0" fontId="99" fillId="0" borderId="0" xfId="20" applyFont="1" applyBorder="1"/>
    <xf numFmtId="0" fontId="99" fillId="0" borderId="183" xfId="20" applyFont="1" applyBorder="1"/>
    <xf numFmtId="0" fontId="99" fillId="0" borderId="187" xfId="20" applyFont="1" applyBorder="1"/>
    <xf numFmtId="0" fontId="99" fillId="0" borderId="188" xfId="20" applyFont="1" applyBorder="1"/>
    <xf numFmtId="0" fontId="99"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8" fillId="0" borderId="182" xfId="20" applyFont="1" applyBorder="1"/>
    <xf numFmtId="0" fontId="88" fillId="0" borderId="0" xfId="20" applyFont="1" applyBorder="1"/>
    <xf numFmtId="0" fontId="98" fillId="0" borderId="0" xfId="20" applyFont="1" applyBorder="1" applyAlignment="1">
      <alignment wrapText="1"/>
    </xf>
    <xf numFmtId="0" fontId="98" fillId="0" borderId="183" xfId="20" applyFont="1" applyBorder="1" applyAlignment="1">
      <alignment wrapText="1"/>
    </xf>
    <xf numFmtId="0" fontId="51" fillId="0" borderId="0" xfId="20" applyFont="1"/>
    <xf numFmtId="0" fontId="139"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0" fillId="0" borderId="0" xfId="12" applyFont="1" applyBorder="1" applyAlignment="1" applyProtection="1">
      <alignment horizontal="center" vertical="center" wrapText="1"/>
    </xf>
    <xf numFmtId="0" fontId="130" fillId="0" borderId="18" xfId="12" applyFont="1" applyBorder="1" applyAlignment="1" applyProtection="1">
      <alignment horizontal="center" vertical="center" wrapText="1"/>
    </xf>
    <xf numFmtId="0" fontId="130" fillId="0" borderId="126" xfId="12" applyFont="1" applyBorder="1" applyAlignment="1" applyProtection="1">
      <alignment horizontal="center" vertical="center" wrapText="1"/>
    </xf>
    <xf numFmtId="0" fontId="130"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6"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4" fillId="0" borderId="96" xfId="19" applyFont="1" applyFill="1" applyBorder="1" applyAlignment="1" applyProtection="1">
      <alignment horizontal="left" vertical="top" wrapText="1"/>
      <protection hidden="1"/>
    </xf>
    <xf numFmtId="0" fontId="124" fillId="0" borderId="0" xfId="19" applyFont="1" applyFill="1" applyBorder="1" applyAlignment="1" applyProtection="1">
      <alignment horizontal="left" vertical="top" wrapText="1"/>
      <protection hidden="1"/>
    </xf>
    <xf numFmtId="0" fontId="124" fillId="0" borderId="97" xfId="19" applyFont="1" applyFill="1" applyBorder="1" applyAlignment="1" applyProtection="1">
      <alignment horizontal="left" vertical="top" wrapText="1"/>
      <protection hidden="1"/>
    </xf>
    <xf numFmtId="0" fontId="123" fillId="22" borderId="138" xfId="19" applyFont="1" applyFill="1" applyBorder="1" applyAlignment="1">
      <alignment horizontal="center" vertical="center"/>
    </xf>
    <xf numFmtId="0" fontId="123" fillId="22" borderId="139" xfId="19" applyFont="1" applyFill="1" applyBorder="1" applyAlignment="1">
      <alignment horizontal="center" vertical="center"/>
    </xf>
    <xf numFmtId="0" fontId="123" fillId="22" borderId="140" xfId="19" applyFont="1" applyFill="1" applyBorder="1" applyAlignment="1">
      <alignment horizontal="center" vertical="center"/>
    </xf>
    <xf numFmtId="0" fontId="123" fillId="22" borderId="98" xfId="19" applyFont="1" applyFill="1" applyBorder="1" applyAlignment="1">
      <alignment horizontal="center" vertical="center"/>
    </xf>
    <xf numFmtId="0" fontId="123" fillId="22" borderId="78" xfId="19" applyFont="1" applyFill="1" applyBorder="1" applyAlignment="1">
      <alignment horizontal="center" vertical="center"/>
    </xf>
    <xf numFmtId="0" fontId="123" fillId="22" borderId="99" xfId="19" applyFont="1" applyFill="1" applyBorder="1" applyAlignment="1">
      <alignment horizontal="center" vertical="center"/>
    </xf>
    <xf numFmtId="0" fontId="124" fillId="0" borderId="96" xfId="19" applyFont="1" applyBorder="1" applyAlignment="1">
      <alignment vertical="top" wrapText="1"/>
    </xf>
    <xf numFmtId="0" fontId="124" fillId="0" borderId="0" xfId="19" applyFont="1" applyBorder="1" applyAlignment="1">
      <alignment vertical="top" wrapText="1"/>
    </xf>
    <xf numFmtId="0" fontId="124" fillId="0" borderId="97" xfId="19" applyFont="1" applyBorder="1" applyAlignment="1">
      <alignment vertical="top" wrapText="1"/>
    </xf>
    <xf numFmtId="0" fontId="124" fillId="0" borderId="96" xfId="19" applyFont="1" applyBorder="1" applyAlignment="1">
      <alignment vertical="top"/>
    </xf>
    <xf numFmtId="0" fontId="124" fillId="0" borderId="0" xfId="19" applyFont="1" applyBorder="1" applyAlignment="1">
      <alignment vertical="top"/>
    </xf>
    <xf numFmtId="0" fontId="124"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6"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38" fillId="0" borderId="193" xfId="20" applyFont="1" applyBorder="1" applyAlignment="1">
      <alignment horizontal="center"/>
    </xf>
    <xf numFmtId="0" fontId="138" fillId="0" borderId="194" xfId="20" applyFont="1" applyBorder="1" applyAlignment="1">
      <alignment horizontal="center"/>
    </xf>
    <xf numFmtId="0" fontId="138"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0" fillId="0" borderId="166"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2"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857250</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1981</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2029</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2029</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35059005061</v>
      </c>
      <c r="B13" s="2101"/>
      <c r="C13" s="2101"/>
      <c r="D13" s="2101"/>
      <c r="E13" s="2101"/>
      <c r="F13" s="2101"/>
      <c r="G13" s="2101"/>
      <c r="H13" s="2102"/>
      <c r="I13" s="31"/>
      <c r="J13" s="30"/>
      <c r="K13" s="28"/>
      <c r="L13" s="30"/>
      <c r="M13" s="30"/>
      <c r="N13" s="30"/>
      <c r="O13" s="30"/>
      <c r="P13" s="30"/>
      <c r="Q13" s="30"/>
      <c r="R13" s="30"/>
      <c r="S13" s="30"/>
      <c r="T13" s="2106" t="s">
        <v>2036</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2030</v>
      </c>
      <c r="B15" s="2104"/>
      <c r="C15" s="2104"/>
      <c r="D15" s="2104"/>
      <c r="E15" s="2104"/>
      <c r="F15" s="2104"/>
      <c r="G15" s="2104"/>
      <c r="H15" s="2105"/>
      <c r="T15" s="2110" t="s">
        <v>2037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2101</v>
      </c>
      <c r="B17" s="2074"/>
      <c r="C17" s="2074"/>
      <c r="D17" s="2074"/>
      <c r="E17" s="2074"/>
      <c r="F17" s="2074"/>
      <c r="G17" s="2074"/>
      <c r="H17" s="2099"/>
      <c r="T17" s="2117" t="s">
        <v>2038</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2031</v>
      </c>
      <c r="B19" s="2059"/>
      <c r="C19" s="2059"/>
      <c r="D19" s="2059"/>
      <c r="E19" s="2059"/>
      <c r="F19" s="2059"/>
      <c r="G19" s="2059"/>
      <c r="H19" s="2039"/>
      <c r="I19" s="30"/>
      <c r="J19" s="96"/>
      <c r="K19" s="40"/>
      <c r="L19" s="38"/>
      <c r="M19" s="109" t="s">
        <v>312</v>
      </c>
      <c r="P19" s="27"/>
      <c r="Q19" s="27"/>
      <c r="R19" s="27"/>
      <c r="S19" s="31"/>
      <c r="T19" s="2103" t="s">
        <v>2039</v>
      </c>
      <c r="U19" s="2038"/>
      <c r="V19" s="2038"/>
      <c r="W19" s="2039"/>
      <c r="X19" s="2115" t="s">
        <v>2040</v>
      </c>
      <c r="Y19" s="2116"/>
      <c r="Z19" s="2113">
        <v>61326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2032</v>
      </c>
      <c r="B21" s="2038"/>
      <c r="C21" s="2038"/>
      <c r="D21" s="2038"/>
      <c r="E21" s="2038"/>
      <c r="F21" s="2038"/>
      <c r="G21" s="2038"/>
      <c r="H21" s="2039"/>
      <c r="I21" s="2093" t="s">
        <v>673</v>
      </c>
      <c r="J21" s="2088"/>
      <c r="K21" s="2088"/>
      <c r="L21" s="2088"/>
      <c r="M21" s="2088"/>
      <c r="N21" s="2088"/>
      <c r="O21" s="2088"/>
      <c r="P21" s="2088"/>
      <c r="Q21" s="2088"/>
      <c r="R21" s="2088"/>
      <c r="S21" s="2094"/>
      <c r="T21" s="2128" t="s">
        <v>2041</v>
      </c>
      <c r="U21" s="2129"/>
      <c r="V21" s="2129"/>
      <c r="W21" s="2129"/>
      <c r="X21" s="2134" t="s">
        <v>2042</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2033</v>
      </c>
      <c r="B23" s="2091"/>
      <c r="C23" s="2091"/>
      <c r="D23" s="2091"/>
      <c r="E23" s="2091"/>
      <c r="F23" s="2091"/>
      <c r="G23" s="2091"/>
      <c r="H23" s="2092"/>
      <c r="T23" s="2073" t="s">
        <v>2043</v>
      </c>
      <c r="U23" s="2127"/>
      <c r="V23" s="2127"/>
      <c r="W23" s="2127"/>
      <c r="X23" s="2131">
        <v>44530</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61368</v>
      </c>
      <c r="B25" s="2038"/>
      <c r="C25" s="2038"/>
      <c r="D25" s="2038"/>
      <c r="E25" s="2038"/>
      <c r="F25" s="2038"/>
      <c r="G25" s="2038"/>
      <c r="H25" s="2039"/>
      <c r="I25" s="110"/>
      <c r="J25" s="2062"/>
      <c r="K25" s="2062"/>
      <c r="L25" s="2062"/>
      <c r="M25" s="2062"/>
      <c r="N25" s="2062"/>
      <c r="O25" s="2062"/>
      <c r="P25" s="2062"/>
      <c r="Q25" s="2062"/>
      <c r="R25" s="2062"/>
      <c r="S25" s="2063"/>
      <c r="T25" s="2124" t="s">
        <v>2044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2029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2029</v>
      </c>
      <c r="C30" s="121" t="s">
        <v>1154</v>
      </c>
      <c r="D30" s="28"/>
      <c r="E30" s="28"/>
      <c r="F30" s="136"/>
      <c r="G30" s="111"/>
      <c r="H30" s="111"/>
      <c r="I30" s="51"/>
      <c r="J30" s="144" t="s">
        <v>2029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2029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2034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2033</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2035</v>
      </c>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1869</v>
      </c>
      <c r="R47" s="41"/>
      <c r="S47" s="41"/>
      <c r="T47" s="41"/>
      <c r="U47" s="41"/>
      <c r="V47" s="41"/>
      <c r="W47" s="41"/>
      <c r="X47" s="41"/>
      <c r="Y47" s="41"/>
      <c r="Z47" s="41"/>
      <c r="AA47" s="41"/>
    </row>
    <row r="48" spans="1:27" x14ac:dyDescent="0.2">
      <c r="Q48" s="41" t="s">
        <v>1870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1757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1763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1757</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1984</v>
      </c>
      <c r="B24" s="2304"/>
      <c r="C24" s="2298"/>
      <c r="D24" s="2299"/>
      <c r="E24" s="2299"/>
      <c r="F24" s="2300"/>
    </row>
    <row r="25" spans="1:11" ht="13.5" thickBot="1" x14ac:dyDescent="0.25">
      <c r="A25" s="2305" t="s">
        <v>1985</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1855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1762</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1767</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1768</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1764</v>
      </c>
      <c r="B19" s="2331"/>
      <c r="C19" s="2331"/>
      <c r="D19" s="2331"/>
      <c r="E19" s="2332"/>
      <c r="F19" s="635" t="s">
        <v>927</v>
      </c>
      <c r="G19" s="1753"/>
      <c r="H19" s="1753"/>
      <c r="I19" s="1753"/>
      <c r="J19" s="1745"/>
      <c r="K19" s="1763"/>
    </row>
    <row r="20" spans="1:15" x14ac:dyDescent="0.2">
      <c r="A20" s="2333" t="s">
        <v>1769</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1770</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1854</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1771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1765</v>
      </c>
      <c r="B46" s="382" t="s">
        <v>1656</v>
      </c>
    </row>
    <row r="47" spans="1:11" s="663" customFormat="1" ht="12.75" customHeight="1" x14ac:dyDescent="0.2">
      <c r="A47" s="661"/>
      <c r="B47" s="662" t="s">
        <v>1657</v>
      </c>
      <c r="E47" s="662"/>
      <c r="K47" s="664"/>
    </row>
    <row r="48" spans="1:11" ht="12.75" customHeight="1" x14ac:dyDescent="0.2">
      <c r="A48" s="1300" t="s">
        <v>1766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1853</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19827</v>
      </c>
      <c r="D10" s="1772"/>
      <c r="E10" s="1772"/>
      <c r="F10" s="1773">
        <f>(C10+D10)-E10</f>
        <v>19827</v>
      </c>
      <c r="G10" s="681">
        <v>20</v>
      </c>
      <c r="H10" s="683">
        <v>7931</v>
      </c>
      <c r="I10" s="683">
        <v>1322</v>
      </c>
      <c r="J10" s="683"/>
      <c r="K10" s="1442">
        <f>(H10+I10)-J10</f>
        <v>9253</v>
      </c>
      <c r="L10" s="1442">
        <f>F10-K10</f>
        <v>10574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113041</v>
      </c>
      <c r="D12" s="1771"/>
      <c r="E12" s="1771"/>
      <c r="F12" s="1765">
        <f>(C12+D12)-E12</f>
        <v>113041</v>
      </c>
      <c r="G12" s="681">
        <v>10</v>
      </c>
      <c r="H12" s="619">
        <v>111741</v>
      </c>
      <c r="I12" s="619">
        <v>470</v>
      </c>
      <c r="J12" s="619"/>
      <c r="K12" s="1442">
        <f>(H12+I12)-J12</f>
        <v>112211</v>
      </c>
      <c r="L12" s="1442">
        <f>F12-K12</f>
        <v>830</v>
      </c>
    </row>
    <row r="13" spans="1:14" ht="14.25" thickTop="1" thickBot="1" x14ac:dyDescent="0.25">
      <c r="A13" s="684" t="s">
        <v>1112</v>
      </c>
      <c r="B13" s="679">
        <v>252</v>
      </c>
      <c r="C13" s="1771">
        <v>95708</v>
      </c>
      <c r="D13" s="1771">
        <v>2837</v>
      </c>
      <c r="E13" s="1771"/>
      <c r="F13" s="1765">
        <f>(C13+D13)-E13</f>
        <v>98545</v>
      </c>
      <c r="G13" s="681">
        <v>5</v>
      </c>
      <c r="H13" s="619">
        <v>83546</v>
      </c>
      <c r="I13" s="619">
        <v>4836</v>
      </c>
      <c r="J13" s="619"/>
      <c r="K13" s="1442">
        <f>(H13+I13)-J13</f>
        <v>88382</v>
      </c>
      <c r="L13" s="1442">
        <f>F13-K13</f>
        <v>10163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228576</v>
      </c>
      <c r="D16" s="1765">
        <f>SUM(D3,D5:D6,D8:D10,D12:D15)</f>
        <v>2837</v>
      </c>
      <c r="E16" s="1765">
        <f>SUM(E3,E5:E6,E8:E10,E12:E15)</f>
        <v>0</v>
      </c>
      <c r="F16" s="1765">
        <f>SUM(F3,F5:F6,F8:F10,F12:F15)</f>
        <v>231413</v>
      </c>
      <c r="G16" s="681"/>
      <c r="H16" s="1435">
        <f>SUM(H3,H6,H8:H10,H12:H14,)</f>
        <v>203218</v>
      </c>
      <c r="I16" s="1435">
        <f>SUM(I3,I6,I8:I10,I12:I14,)</f>
        <v>6628</v>
      </c>
      <c r="J16" s="1435">
        <f>SUM(J3,J6,J8:J10,J12:J14,)</f>
        <v>0</v>
      </c>
      <c r="K16" s="1435">
        <f>(H16+I16)-J16</f>
        <v>209846</v>
      </c>
      <c r="L16" s="1435">
        <f>F16-K16</f>
        <v>21567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6628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2884040</v>
      </c>
      <c r="G8" s="701"/>
    </row>
    <row r="9" spans="1:9" x14ac:dyDescent="0.2">
      <c r="A9" s="705" t="s">
        <v>457</v>
      </c>
      <c r="B9" s="706" t="s">
        <v>1826</v>
      </c>
      <c r="C9" s="707"/>
      <c r="D9" s="705" t="s">
        <v>498</v>
      </c>
      <c r="E9" s="704"/>
      <c r="F9" s="1775">
        <f>'Expenditures 15-22'!K151</f>
        <v>0</v>
      </c>
      <c r="G9" s="708"/>
    </row>
    <row r="10" spans="1:9" x14ac:dyDescent="0.2">
      <c r="A10" s="705" t="s">
        <v>496</v>
      </c>
      <c r="B10" s="706" t="s">
        <v>1827</v>
      </c>
      <c r="C10" s="707"/>
      <c r="D10" s="705" t="s">
        <v>498</v>
      </c>
      <c r="E10" s="704"/>
      <c r="F10" s="1775">
        <f>'Expenditures 15-22'!K174</f>
        <v>0</v>
      </c>
      <c r="G10" s="708"/>
    </row>
    <row r="11" spans="1:9" x14ac:dyDescent="0.2">
      <c r="A11" s="705" t="s">
        <v>458</v>
      </c>
      <c r="B11" s="706" t="s">
        <v>1828</v>
      </c>
      <c r="C11" s="707"/>
      <c r="D11" s="705" t="s">
        <v>498</v>
      </c>
      <c r="E11" s="704"/>
      <c r="F11" s="1775">
        <f>'Expenditures 15-22'!K210</f>
        <v>0</v>
      </c>
      <c r="G11" s="708"/>
    </row>
    <row r="12" spans="1:9" x14ac:dyDescent="0.2">
      <c r="A12" s="705" t="s">
        <v>459</v>
      </c>
      <c r="B12" s="706" t="s">
        <v>1829</v>
      </c>
      <c r="C12" s="707"/>
      <c r="D12" s="705" t="s">
        <v>498</v>
      </c>
      <c r="E12" s="704"/>
      <c r="F12" s="1775">
        <f>'Expenditures 15-22'!K295</f>
        <v>0</v>
      </c>
      <c r="G12" s="708"/>
    </row>
    <row r="13" spans="1:9" x14ac:dyDescent="0.2">
      <c r="A13" s="705" t="s">
        <v>106</v>
      </c>
      <c r="B13" s="706" t="s">
        <v>1830</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2884040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1884</v>
      </c>
      <c r="C30" s="716">
        <f>'Revenues 9-14'!B150</f>
        <v>3499</v>
      </c>
      <c r="D30" s="717" t="str">
        <f>'Revenues 9-14'!A150</f>
        <v>Adult Ed - Other (Describe &amp; Itemize)</v>
      </c>
      <c r="E30" s="704"/>
      <c r="F30" s="1783">
        <f>('Revenues 9-14'!D150+'Revenues 9-14'!F150)</f>
        <v>0</v>
      </c>
      <c r="G30" s="701"/>
    </row>
    <row r="31" spans="1:7" x14ac:dyDescent="0.2">
      <c r="A31" s="705" t="s">
        <v>1088</v>
      </c>
      <c r="B31" s="706" t="s">
        <v>1885</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1886</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1887</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13130</v>
      </c>
      <c r="G53" s="701"/>
    </row>
    <row r="54" spans="1:7" x14ac:dyDescent="0.2">
      <c r="A54" s="705" t="s">
        <v>456</v>
      </c>
      <c r="B54" s="705" t="s">
        <v>1459</v>
      </c>
      <c r="C54" s="724" t="s">
        <v>975</v>
      </c>
      <c r="D54" s="720" t="s">
        <v>1086</v>
      </c>
      <c r="E54" s="704"/>
      <c r="F54" s="1782">
        <f>'Expenditures 15-22'!G114</f>
        <v>2837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1831</v>
      </c>
      <c r="C57" s="724">
        <f>'Expenditures 15-22'!B139</f>
        <v>4000</v>
      </c>
      <c r="D57" s="722" t="str">
        <f>'Expenditures 15-22'!A139</f>
        <v>Total Payments to Other Govt Units</v>
      </c>
      <c r="E57" s="704"/>
      <c r="F57" s="1782">
        <f>'Expenditures 15-22'!K139</f>
        <v>0</v>
      </c>
      <c r="G57" s="701"/>
    </row>
    <row r="58" spans="1:7" x14ac:dyDescent="0.2">
      <c r="A58" s="705" t="s">
        <v>457</v>
      </c>
      <c r="B58" s="705" t="s">
        <v>1832</v>
      </c>
      <c r="C58" s="721" t="s">
        <v>975</v>
      </c>
      <c r="D58" s="720" t="s">
        <v>1086</v>
      </c>
      <c r="E58" s="704"/>
      <c r="F58" s="1784">
        <f>'Expenditures 15-22'!G151</f>
        <v>0</v>
      </c>
      <c r="G58" s="701"/>
    </row>
    <row r="59" spans="1:7" x14ac:dyDescent="0.2">
      <c r="A59" s="728" t="s">
        <v>457</v>
      </c>
      <c r="B59" s="692" t="s">
        <v>1833</v>
      </c>
      <c r="C59" s="729" t="s">
        <v>975</v>
      </c>
      <c r="D59" s="692" t="s">
        <v>288</v>
      </c>
      <c r="F59" s="1785">
        <f>'Expenditures 15-22'!I151</f>
        <v>0</v>
      </c>
      <c r="G59" s="701"/>
    </row>
    <row r="60" spans="1:7" x14ac:dyDescent="0.2">
      <c r="A60" s="728" t="s">
        <v>496</v>
      </c>
      <c r="B60" s="692" t="s">
        <v>1834</v>
      </c>
      <c r="C60" s="729">
        <v>4000</v>
      </c>
      <c r="D60" s="692" t="s">
        <v>309</v>
      </c>
      <c r="F60" s="1783">
        <f>'Expenditures 15-22'!K160</f>
        <v>0</v>
      </c>
      <c r="G60" s="701"/>
    </row>
    <row r="61" spans="1:7" x14ac:dyDescent="0.2">
      <c r="A61" s="730" t="s">
        <v>496</v>
      </c>
      <c r="B61" s="730" t="s">
        <v>1835</v>
      </c>
      <c r="C61" s="731" t="str">
        <f>'Expenditures 15-22'!B170</f>
        <v>5300</v>
      </c>
      <c r="D61" s="732" t="s">
        <v>308</v>
      </c>
      <c r="E61" s="715"/>
      <c r="F61" s="1782">
        <f>'Expenditures 15-22'!K170</f>
        <v>0</v>
      </c>
      <c r="G61" s="701"/>
    </row>
    <row r="62" spans="1:7" x14ac:dyDescent="0.2">
      <c r="A62" s="705" t="s">
        <v>458</v>
      </c>
      <c r="B62" s="705" t="s">
        <v>1836</v>
      </c>
      <c r="C62" s="721">
        <f>'Expenditures 15-22'!B185</f>
        <v>3000</v>
      </c>
      <c r="D62" s="712" t="s">
        <v>446</v>
      </c>
      <c r="E62" s="704"/>
      <c r="F62" s="1782">
        <f>'Expenditures 15-22'!K185-SUM('Expenditures 15-22'!G185,'Expenditures 15-22'!I185)</f>
        <v>0</v>
      </c>
      <c r="G62" s="701"/>
    </row>
    <row r="63" spans="1:7" x14ac:dyDescent="0.2">
      <c r="A63" s="705" t="s">
        <v>458</v>
      </c>
      <c r="B63" s="705" t="s">
        <v>1837</v>
      </c>
      <c r="C63" s="721" t="str">
        <f>'Expenditures 15-22'!B196</f>
        <v>4000</v>
      </c>
      <c r="D63" s="722" t="str">
        <f>'Expenditures 15-22'!A196</f>
        <v>Total Payments to Other Govt Units</v>
      </c>
      <c r="E63" s="704"/>
      <c r="F63" s="1782">
        <f>'Expenditures 15-22'!K196</f>
        <v>0</v>
      </c>
      <c r="G63" s="701"/>
    </row>
    <row r="64" spans="1:7" x14ac:dyDescent="0.2">
      <c r="A64" s="730" t="s">
        <v>458</v>
      </c>
      <c r="B64" s="730" t="s">
        <v>1838</v>
      </c>
      <c r="C64" s="731" t="str">
        <f>'Expenditures 15-22'!B206</f>
        <v>5300</v>
      </c>
      <c r="D64" s="727" t="s">
        <v>308</v>
      </c>
      <c r="E64" s="704"/>
      <c r="F64" s="1782">
        <f>'Expenditures 15-22'!K206</f>
        <v>0</v>
      </c>
      <c r="G64" s="701"/>
    </row>
    <row r="65" spans="1:9" x14ac:dyDescent="0.2">
      <c r="A65" s="705" t="s">
        <v>458</v>
      </c>
      <c r="B65" s="705" t="s">
        <v>1839</v>
      </c>
      <c r="C65" s="721" t="s">
        <v>975</v>
      </c>
      <c r="D65" s="720" t="s">
        <v>1086</v>
      </c>
      <c r="E65" s="704"/>
      <c r="F65" s="1782">
        <f>'Expenditures 15-22'!G210</f>
        <v>0</v>
      </c>
      <c r="G65" s="701"/>
    </row>
    <row r="66" spans="1:9" x14ac:dyDescent="0.2">
      <c r="A66" s="705" t="s">
        <v>458</v>
      </c>
      <c r="B66" s="705" t="s">
        <v>1840</v>
      </c>
      <c r="C66" s="721" t="s">
        <v>975</v>
      </c>
      <c r="D66" s="720" t="s">
        <v>288</v>
      </c>
      <c r="E66" s="704"/>
      <c r="F66" s="1782">
        <f>'Expenditures 15-22'!I210</f>
        <v>0</v>
      </c>
      <c r="G66" s="701"/>
    </row>
    <row r="67" spans="1:9" x14ac:dyDescent="0.2">
      <c r="A67" s="705" t="s">
        <v>459</v>
      </c>
      <c r="B67" s="705" t="s">
        <v>1841</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1842</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1843</v>
      </c>
      <c r="C70" s="721">
        <f>'Expenditures 15-22'!B221</f>
        <v>1300</v>
      </c>
      <c r="D70" s="722" t="str">
        <f>'Expenditures 15-22'!A221</f>
        <v>Adult/Continuing Education Programs</v>
      </c>
      <c r="E70" s="704"/>
      <c r="F70" s="1782">
        <f>'Expenditures 15-22'!K221</f>
        <v>0</v>
      </c>
      <c r="G70" s="701"/>
    </row>
    <row r="71" spans="1:9" x14ac:dyDescent="0.2">
      <c r="A71" s="705" t="s">
        <v>459</v>
      </c>
      <c r="B71" s="705" t="s">
        <v>1844</v>
      </c>
      <c r="C71" s="721">
        <f>'Expenditures 15-22'!B224</f>
        <v>1600</v>
      </c>
      <c r="D71" s="722" t="str">
        <f>'Expenditures 15-22'!A224</f>
        <v>Summer School Programs</v>
      </c>
      <c r="E71" s="704"/>
      <c r="F71" s="1782">
        <f>'Expenditures 15-22'!K224</f>
        <v>0</v>
      </c>
      <c r="G71" s="701"/>
    </row>
    <row r="72" spans="1:9" x14ac:dyDescent="0.2">
      <c r="A72" s="705" t="s">
        <v>459</v>
      </c>
      <c r="B72" s="705" t="s">
        <v>1845</v>
      </c>
      <c r="C72" s="721">
        <f>'Expenditures 15-22'!B280</f>
        <v>3000</v>
      </c>
      <c r="D72" s="712" t="s">
        <v>446</v>
      </c>
      <c r="E72" s="704"/>
      <c r="F72" s="1782">
        <f>'Expenditures 15-22'!K280</f>
        <v>0</v>
      </c>
      <c r="G72" s="701"/>
    </row>
    <row r="73" spans="1:9" x14ac:dyDescent="0.2">
      <c r="A73" s="705" t="s">
        <v>459</v>
      </c>
      <c r="B73" s="705" t="s">
        <v>1846</v>
      </c>
      <c r="C73" s="721" t="str">
        <f>'Expenditures 15-22'!B285</f>
        <v>4000</v>
      </c>
      <c r="D73" s="722" t="str">
        <f>'Expenditures 15-22'!A285</f>
        <v>Total Payments to Other Govt Units</v>
      </c>
      <c r="E73" s="704"/>
      <c r="F73" s="1782">
        <f>'Expenditures 15-22'!K285</f>
        <v>0</v>
      </c>
      <c r="G73" s="701"/>
    </row>
    <row r="74" spans="1:9" x14ac:dyDescent="0.2">
      <c r="A74" s="705" t="s">
        <v>433</v>
      </c>
      <c r="B74" s="705" t="s">
        <v>1847</v>
      </c>
      <c r="C74" s="721" t="s">
        <v>855</v>
      </c>
      <c r="D74" s="722" t="s">
        <v>1470</v>
      </c>
      <c r="E74" s="704"/>
      <c r="F74" s="1786">
        <f>'Expenditures 15-22'!K334</f>
        <v>0</v>
      </c>
      <c r="G74" s="701"/>
    </row>
    <row r="75" spans="1:9" x14ac:dyDescent="0.2">
      <c r="A75" s="705" t="s">
        <v>1986</v>
      </c>
      <c r="B75" s="705" t="s">
        <v>1987</v>
      </c>
      <c r="C75" s="721" t="s">
        <v>975</v>
      </c>
      <c r="D75" s="722" t="s">
        <v>1086</v>
      </c>
      <c r="E75" s="704"/>
      <c r="F75" s="1786">
        <f>'Expenditures 15-22'!G342</f>
        <v>0</v>
      </c>
      <c r="G75" s="701"/>
    </row>
    <row r="76" spans="1:9" ht="10.5" customHeight="1" x14ac:dyDescent="0.2">
      <c r="A76" s="701" t="s">
        <v>433</v>
      </c>
      <c r="B76" s="705" t="s">
        <v>1988</v>
      </c>
      <c r="C76" s="711" t="s">
        <v>975</v>
      </c>
      <c r="D76" s="701" t="s">
        <v>288</v>
      </c>
      <c r="E76" s="704"/>
      <c r="F76" s="1786">
        <f>'Expenditures 15-22'!I342</f>
        <v>0</v>
      </c>
      <c r="G76" s="703"/>
    </row>
    <row r="77" spans="1:9" ht="12" thickBot="1" x14ac:dyDescent="0.25">
      <c r="A77" s="1443"/>
      <c r="B77" s="1448"/>
      <c r="C77" s="1445"/>
      <c r="D77" s="1449" t="s">
        <v>1989</v>
      </c>
      <c r="E77" s="1447" t="s">
        <v>952</v>
      </c>
      <c r="F77" s="1787">
        <f>SUM(F18:F76)</f>
        <v>15967</v>
      </c>
      <c r="G77" s="701"/>
    </row>
    <row r="78" spans="1:9" s="728" customFormat="1" ht="12" customHeight="1" thickTop="1" thickBot="1" x14ac:dyDescent="0.25">
      <c r="A78" s="1450"/>
      <c r="B78" s="1448"/>
      <c r="C78" s="1445"/>
      <c r="D78" s="1449" t="s">
        <v>1990</v>
      </c>
      <c r="E78" s="1447"/>
      <c r="F78" s="1788">
        <f>(F14-F77)</f>
        <v>2868073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1991</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16774</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656751</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1888</v>
      </c>
      <c r="C106" s="746">
        <v>3100</v>
      </c>
      <c r="D106" s="752" t="str">
        <f>'Revenues 9-14'!A132</f>
        <v>Total Special Education</v>
      </c>
      <c r="E106" s="739"/>
      <c r="F106" s="1793">
        <f>SUM('Revenues 9-14'!C132:D132,'Revenues 9-14'!F132)</f>
        <v>260370</v>
      </c>
      <c r="G106" s="745"/>
    </row>
    <row r="107" spans="1:7" x14ac:dyDescent="0.2">
      <c r="A107" s="741" t="s">
        <v>668</v>
      </c>
      <c r="B107" s="741" t="s">
        <v>1889</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1890</v>
      </c>
      <c r="C108" s="753">
        <v>3300</v>
      </c>
      <c r="D108" s="744" t="str">
        <f>'Revenues 9-14'!A145</f>
        <v>Total Bilingual Ed</v>
      </c>
      <c r="E108" s="739"/>
      <c r="F108" s="1793">
        <f>SUM('Revenues 9-14'!C145,'Revenues 9-14'!G145)</f>
        <v>0</v>
      </c>
      <c r="G108" s="745"/>
    </row>
    <row r="109" spans="1:7" x14ac:dyDescent="0.2">
      <c r="A109" s="741" t="s">
        <v>456</v>
      </c>
      <c r="B109" s="741" t="s">
        <v>1891</v>
      </c>
      <c r="C109" s="753">
        <f>'Revenues 9-14'!B146</f>
        <v>3360</v>
      </c>
      <c r="D109" s="744" t="str">
        <f>'Revenues 9-14'!A146</f>
        <v>State Free Lunch &amp; Breakfast</v>
      </c>
      <c r="E109" s="739"/>
      <c r="F109" s="1793">
        <f>'Revenues 9-14'!C146</f>
        <v>0</v>
      </c>
      <c r="G109" s="745"/>
    </row>
    <row r="110" spans="1:7" x14ac:dyDescent="0.2">
      <c r="A110" s="741" t="s">
        <v>668</v>
      </c>
      <c r="B110" s="741" t="s">
        <v>1892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1893</v>
      </c>
      <c r="C111" s="753">
        <f>'Revenues 9-14'!B148</f>
        <v>3370</v>
      </c>
      <c r="D111" s="744" t="str">
        <f>'Revenues 9-14'!A148</f>
        <v>Driver Education</v>
      </c>
      <c r="E111" s="739"/>
      <c r="F111" s="1793">
        <f>SUM('Revenues 9-14'!C148,'Revenues 9-14'!D148)</f>
        <v>0</v>
      </c>
      <c r="G111" s="745"/>
    </row>
    <row r="112" spans="1:7" x14ac:dyDescent="0.2">
      <c r="A112" s="741" t="s">
        <v>663</v>
      </c>
      <c r="B112" s="741" t="s">
        <v>1894</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1895</v>
      </c>
      <c r="C113" s="753">
        <f>'Revenues 9-14'!B156</f>
        <v>3610</v>
      </c>
      <c r="D113" s="744" t="str">
        <f>'Revenues 9-14'!A156</f>
        <v>Learning Improvement - Change Grants</v>
      </c>
      <c r="E113" s="739"/>
      <c r="F113" s="1793">
        <f>'Revenues 9-14'!C156</f>
        <v>0</v>
      </c>
      <c r="G113" s="745"/>
    </row>
    <row r="114" spans="1:7" x14ac:dyDescent="0.2">
      <c r="A114" s="741" t="s">
        <v>663</v>
      </c>
      <c r="B114" s="741" t="s">
        <v>1896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1897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1898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1899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1900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1901</v>
      </c>
      <c r="C119" s="757">
        <f>'Revenues 9-14'!B163</f>
        <v>3780</v>
      </c>
      <c r="D119" s="758" t="str">
        <f>'Revenues 9-14'!A163</f>
        <v>Technology - Technology for Success</v>
      </c>
      <c r="E119" s="739"/>
      <c r="F119" s="1792">
        <f>SUM('Revenues 9-14'!C163:G163)</f>
        <v>0</v>
      </c>
      <c r="G119" s="745"/>
    </row>
    <row r="120" spans="1:7" x14ac:dyDescent="0.2">
      <c r="A120" s="756" t="s">
        <v>501</v>
      </c>
      <c r="B120" s="756" t="s">
        <v>1902</v>
      </c>
      <c r="C120" s="757">
        <f>'Revenues 9-14'!B164</f>
        <v>3815</v>
      </c>
      <c r="D120" s="758" t="str">
        <f>'Revenues 9-14'!A164</f>
        <v>State Charter Schools</v>
      </c>
      <c r="E120" s="739"/>
      <c r="F120" s="1792">
        <f>SUM('Revenues 9-14'!C164,'Revenues 9-14'!F164)</f>
        <v>0</v>
      </c>
      <c r="G120" s="745"/>
    </row>
    <row r="121" spans="1:7" x14ac:dyDescent="0.2">
      <c r="A121" s="760" t="s">
        <v>457</v>
      </c>
      <c r="B121" s="760" t="s">
        <v>1903</v>
      </c>
      <c r="C121" s="761">
        <f>'Revenues 9-14'!B167</f>
        <v>3925</v>
      </c>
      <c r="D121" s="762" t="str">
        <f>'Revenues 9-14'!A167</f>
        <v>School Infrastructure - Maintenance Projects</v>
      </c>
      <c r="E121" s="739"/>
      <c r="F121" s="1793">
        <f>'Revenues 9-14'!D167</f>
        <v>0</v>
      </c>
      <c r="G121" s="763"/>
    </row>
    <row r="122" spans="1:7" x14ac:dyDescent="0.2">
      <c r="A122" s="760" t="s">
        <v>497</v>
      </c>
      <c r="B122" s="760" t="s">
        <v>1904</v>
      </c>
      <c r="C122" s="761">
        <f>'Revenues 9-14'!B168</f>
        <v>3999</v>
      </c>
      <c r="D122" s="762" t="s">
        <v>540</v>
      </c>
      <c r="E122" s="764"/>
      <c r="F122" s="1793">
        <f>SUM('Revenues 9-14'!C168:G168,'Revenues 9-14'!J168)</f>
        <v>0</v>
      </c>
      <c r="G122" s="763"/>
    </row>
    <row r="123" spans="1:7" x14ac:dyDescent="0.2">
      <c r="A123" s="760" t="s">
        <v>456</v>
      </c>
      <c r="B123" s="760" t="s">
        <v>1905</v>
      </c>
      <c r="C123" s="765">
        <f>'Revenues 9-14'!B177</f>
        <v>4045</v>
      </c>
      <c r="D123" s="762" t="str">
        <f>'Revenues 9-14'!A177 &amp; " (Subtract)"</f>
        <v>Head Start (Subtract)</v>
      </c>
      <c r="E123" s="739"/>
      <c r="F123" s="1793">
        <f>SUM(-'Revenues 9-14'!C177)</f>
        <v>0</v>
      </c>
      <c r="G123" s="763"/>
    </row>
    <row r="124" spans="1:7" x14ac:dyDescent="0.2">
      <c r="A124" s="760" t="s">
        <v>663</v>
      </c>
      <c r="B124" s="760" t="s">
        <v>1906</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1907</v>
      </c>
      <c r="C125" s="765">
        <v>4100</v>
      </c>
      <c r="D125" s="766" t="str">
        <f>'Revenues 9-14'!A188</f>
        <v>Total Title V</v>
      </c>
      <c r="E125" s="739"/>
      <c r="F125" s="1793">
        <f>SUM('Revenues 9-14'!C188,'Revenues 9-14'!D188,'Revenues 9-14'!F188,'Revenues 9-14'!G188)</f>
        <v>0</v>
      </c>
      <c r="G125" s="763"/>
    </row>
    <row r="126" spans="1:7" x14ac:dyDescent="0.2">
      <c r="A126" s="760" t="s">
        <v>659</v>
      </c>
      <c r="B126" s="760" t="s">
        <v>1908</v>
      </c>
      <c r="C126" s="765">
        <v>4200</v>
      </c>
      <c r="D126" s="762" t="str">
        <f>'Revenues 9-14'!A198</f>
        <v>Total Food Service</v>
      </c>
      <c r="E126" s="739"/>
      <c r="F126" s="1793">
        <f>SUM('Revenues 9-14'!C198,'Revenues 9-14'!G198)</f>
        <v>0</v>
      </c>
      <c r="G126" s="763"/>
    </row>
    <row r="127" spans="1:7" x14ac:dyDescent="0.2">
      <c r="A127" s="760" t="s">
        <v>663</v>
      </c>
      <c r="B127" s="760" t="s">
        <v>1909</v>
      </c>
      <c r="C127" s="765">
        <v>4300</v>
      </c>
      <c r="D127" s="766" t="str">
        <f>'Revenues 9-14'!A204</f>
        <v>Total Title I</v>
      </c>
      <c r="E127" s="739"/>
      <c r="F127" s="1793">
        <f>SUM('Revenues 9-14'!C204,'Revenues 9-14'!D204,'Revenues 9-14'!F204,'Revenues 9-14'!G204)</f>
        <v>0</v>
      </c>
      <c r="G127" s="763"/>
    </row>
    <row r="128" spans="1:7" x14ac:dyDescent="0.2">
      <c r="A128" s="760" t="s">
        <v>663</v>
      </c>
      <c r="B128" s="760" t="s">
        <v>1910</v>
      </c>
      <c r="C128" s="765">
        <v>4400</v>
      </c>
      <c r="D128" s="766" t="str">
        <f>'Revenues 9-14'!A209</f>
        <v>Total Title IV</v>
      </c>
      <c r="E128" s="739"/>
      <c r="F128" s="1793">
        <f>SUM('Revenues 9-14'!C209,'Revenues 9-14'!D209,'Revenues 9-14'!F209,'Revenues 9-14'!G209)</f>
        <v>0</v>
      </c>
      <c r="G128" s="763"/>
    </row>
    <row r="129" spans="1:7" x14ac:dyDescent="0.2">
      <c r="A129" s="760" t="s">
        <v>663</v>
      </c>
      <c r="B129" s="760" t="s">
        <v>1911</v>
      </c>
      <c r="C129" s="765">
        <f>'Revenues 9-14'!B213</f>
        <v>4620</v>
      </c>
      <c r="D129" s="766" t="str">
        <f>'Revenues 9-14'!A213</f>
        <v>Fed - Spec Education - IDEA - Flow Through</v>
      </c>
      <c r="E129" s="739"/>
      <c r="F129" s="1793">
        <f>SUM('Revenues 9-14'!C213:D213,'Revenues 9-14'!F213:G213)</f>
        <v>1622351</v>
      </c>
      <c r="G129" s="763"/>
    </row>
    <row r="130" spans="1:7" x14ac:dyDescent="0.2">
      <c r="A130" s="760" t="s">
        <v>663</v>
      </c>
      <c r="B130" s="760" t="s">
        <v>1912</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1913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1914</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1915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1916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1917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1918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1919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1920</v>
      </c>
      <c r="C139" s="768" t="s">
        <v>210</v>
      </c>
      <c r="D139" s="769" t="str">
        <f>'Revenues 9-14'!A229</f>
        <v>ARRA - IDEA - Part B - Preschool</v>
      </c>
      <c r="E139" s="770"/>
      <c r="F139" s="1793">
        <v>0</v>
      </c>
      <c r="G139" s="738"/>
    </row>
    <row r="140" spans="1:7" s="703" customFormat="1" hidden="1" x14ac:dyDescent="0.2">
      <c r="A140" s="767" t="s">
        <v>204</v>
      </c>
      <c r="B140" s="767" t="s">
        <v>1921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1922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1923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1924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1925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1926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1927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1928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1929</v>
      </c>
      <c r="C158" s="773" t="s">
        <v>836</v>
      </c>
      <c r="D158" s="774" t="s">
        <v>772</v>
      </c>
      <c r="E158" s="775"/>
      <c r="F158" s="1793">
        <f>SUM(F134:F157)</f>
        <v>0</v>
      </c>
      <c r="G158" s="738"/>
    </row>
    <row r="159" spans="1:7" s="703" customFormat="1" x14ac:dyDescent="0.2">
      <c r="A159" s="771" t="s">
        <v>456</v>
      </c>
      <c r="B159" s="772" t="s">
        <v>1930</v>
      </c>
      <c r="C159" s="773" t="s">
        <v>1410</v>
      </c>
      <c r="D159" s="774" t="s">
        <v>1411</v>
      </c>
      <c r="E159" s="775"/>
      <c r="F159" s="1793">
        <f>SUM('Revenues 9-14'!C253)</f>
        <v>0</v>
      </c>
      <c r="G159" s="738"/>
    </row>
    <row r="160" spans="1:7" s="703" customFormat="1" x14ac:dyDescent="0.2">
      <c r="A160" s="771" t="s">
        <v>497</v>
      </c>
      <c r="B160" s="772" t="s">
        <v>1931</v>
      </c>
      <c r="C160" s="773" t="s">
        <v>1449</v>
      </c>
      <c r="D160" s="774" t="s">
        <v>1450</v>
      </c>
      <c r="E160" s="775"/>
      <c r="F160" s="1793">
        <f>SUM('Revenues 9-14'!C254:H254,'Revenues 9-14'!J254:K254)</f>
        <v>0</v>
      </c>
      <c r="G160" s="738"/>
    </row>
    <row r="161" spans="1:7" x14ac:dyDescent="0.2">
      <c r="A161" s="760" t="s">
        <v>5</v>
      </c>
      <c r="B161" s="760" t="s">
        <v>1932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1933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1934</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1935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1936</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1937</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1882</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1883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1938</v>
      </c>
      <c r="C169" s="765">
        <f>'Revenues 9-14'!B263</f>
        <v>4991</v>
      </c>
      <c r="D169" s="766" t="str">
        <f>'Revenues 9-14'!A263</f>
        <v>Medicaid Matching Funds - Administrative Outreach</v>
      </c>
      <c r="E169" s="739"/>
      <c r="F169" s="1793">
        <f>SUM('Revenues 9-14'!C263:D263,'Revenues 9-14'!F263:G263)</f>
        <v>93864</v>
      </c>
      <c r="G169" s="780">
        <v>6320</v>
      </c>
    </row>
    <row r="170" spans="1:7" x14ac:dyDescent="0.2">
      <c r="A170" s="760" t="s">
        <v>663</v>
      </c>
      <c r="B170" s="760" t="s">
        <v>1939</v>
      </c>
      <c r="C170" s="765">
        <f>'Revenues 9-14'!B264</f>
        <v>4992</v>
      </c>
      <c r="D170" s="766" t="str">
        <f>'Revenues 9-14'!A264</f>
        <v>Medicaid Matching Funds - Fee-for-Service Program</v>
      </c>
      <c r="E170" s="739"/>
      <c r="F170" s="1793">
        <f>SUM('Revenues 9-14'!C264:D264,'Revenues 9-14'!F264:G264)</f>
        <v>64347</v>
      </c>
      <c r="G170" s="780"/>
    </row>
    <row r="171" spans="1:7" x14ac:dyDescent="0.2">
      <c r="A171" s="781" t="s">
        <v>663</v>
      </c>
      <c r="B171" s="777" t="s">
        <v>1940</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1863</v>
      </c>
      <c r="C172" s="1531">
        <v>3100</v>
      </c>
      <c r="D172" s="1532" t="s">
        <v>1865</v>
      </c>
      <c r="E172" s="739"/>
      <c r="F172" s="1794"/>
      <c r="G172" s="760"/>
    </row>
    <row r="173" spans="1:7" x14ac:dyDescent="0.2">
      <c r="A173" s="1529" t="s">
        <v>659</v>
      </c>
      <c r="B173" s="1530" t="s">
        <v>1863</v>
      </c>
      <c r="C173" s="1531">
        <v>3300</v>
      </c>
      <c r="D173" s="1532" t="s">
        <v>1866</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1994</v>
      </c>
      <c r="E175" s="1456" t="s">
        <v>952</v>
      </c>
      <c r="F175" s="1796">
        <f>SUM(F85:F133,F158:F173)</f>
        <v>2714457</v>
      </c>
    </row>
    <row r="176" spans="1:7" ht="12" customHeight="1" x14ac:dyDescent="0.2">
      <c r="A176" s="1443"/>
      <c r="B176" s="1453"/>
      <c r="C176" s="1454"/>
      <c r="D176" s="1455" t="s">
        <v>1992</v>
      </c>
      <c r="E176" s="1456"/>
      <c r="F176" s="1793">
        <f>'PCTC-OEPP 27-28'!F78-F175</f>
        <v>153616</v>
      </c>
    </row>
    <row r="177" spans="1:9" ht="12" customHeight="1" x14ac:dyDescent="0.2">
      <c r="A177" s="1443"/>
      <c r="B177" s="1453"/>
      <c r="C177" s="1454"/>
      <c r="D177" s="1455" t="s">
        <v>1772</v>
      </c>
      <c r="E177" s="1456"/>
      <c r="F177" s="1793">
        <f>'Cap Outlay Deprec 26'!I18</f>
        <v>6628</v>
      </c>
    </row>
    <row r="178" spans="1:9" ht="12" customHeight="1" x14ac:dyDescent="0.2">
      <c r="A178" s="1443"/>
      <c r="B178" s="1453"/>
      <c r="C178" s="1454"/>
      <c r="D178" s="1455" t="s">
        <v>1993</v>
      </c>
      <c r="E178" s="1456"/>
      <c r="F178" s="1793">
        <f>F176+F177</f>
        <v>160244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1995</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1864</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1868</v>
      </c>
      <c r="B186" s="1536" t="s">
        <v>1867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4" sqref="A24"/>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1785</v>
      </c>
      <c r="B1" s="1860"/>
      <c r="C1" s="1861"/>
      <c r="D1" s="1861"/>
      <c r="E1" s="1861"/>
      <c r="F1" s="1861"/>
    </row>
    <row r="2" spans="1:6" x14ac:dyDescent="0.25">
      <c r="A2" s="1863"/>
      <c r="B2" s="1864"/>
      <c r="C2" s="1913" t="s">
        <v>1981</v>
      </c>
      <c r="D2" s="1863"/>
      <c r="E2" s="1863"/>
      <c r="F2" s="1863"/>
    </row>
    <row r="3" spans="1:6" ht="5.25" customHeight="1" x14ac:dyDescent="0.25">
      <c r="A3" s="1865"/>
      <c r="B3" s="1866"/>
      <c r="C3" s="1865"/>
      <c r="D3" s="1865"/>
      <c r="E3" s="1865"/>
      <c r="F3" s="1865"/>
    </row>
    <row r="4" spans="1:6" ht="18.75" customHeight="1" x14ac:dyDescent="0.25">
      <c r="A4" s="2377" t="s">
        <v>1773</v>
      </c>
      <c r="B4" s="2378"/>
      <c r="C4" s="2378"/>
      <c r="D4" s="2378"/>
      <c r="E4" s="2378"/>
      <c r="F4" s="2379"/>
    </row>
    <row r="5" spans="1:6" x14ac:dyDescent="0.25">
      <c r="A5" s="2380"/>
      <c r="B5" s="2381"/>
      <c r="C5" s="2381"/>
      <c r="D5" s="2381"/>
      <c r="E5" s="2381"/>
      <c r="F5" s="2382"/>
    </row>
    <row r="6" spans="1:6" ht="18.75" x14ac:dyDescent="0.25">
      <c r="A6" s="1867" t="s">
        <v>1774</v>
      </c>
      <c r="B6" s="1868"/>
      <c r="C6" s="1869"/>
      <c r="D6" s="1869"/>
      <c r="E6" s="1869"/>
      <c r="F6" s="1870"/>
    </row>
    <row r="7" spans="1:6" ht="47.25" customHeight="1" x14ac:dyDescent="0.25">
      <c r="A7" s="2383" t="s">
        <v>1963</v>
      </c>
      <c r="B7" s="2384"/>
      <c r="C7" s="2384"/>
      <c r="D7" s="2384"/>
      <c r="E7" s="2384"/>
      <c r="F7" s="2385"/>
    </row>
    <row r="8" spans="1:6" ht="20.25" customHeight="1" x14ac:dyDescent="0.25">
      <c r="A8" s="1902" t="s">
        <v>1965</v>
      </c>
      <c r="B8" s="1903"/>
      <c r="C8" s="1903"/>
      <c r="D8" s="1903"/>
      <c r="E8" s="1871"/>
      <c r="F8" s="1872"/>
    </row>
    <row r="9" spans="1:6" ht="18" customHeight="1" x14ac:dyDescent="0.25">
      <c r="A9" s="1873" t="s">
        <v>1962</v>
      </c>
      <c r="B9" s="1875"/>
      <c r="C9" s="1875"/>
      <c r="D9" s="1875"/>
      <c r="E9" s="1871"/>
      <c r="F9" s="1872"/>
    </row>
    <row r="10" spans="1:6" ht="15.75" customHeight="1" x14ac:dyDescent="0.25">
      <c r="A10" s="2386" t="s">
        <v>1959</v>
      </c>
      <c r="B10" s="2387"/>
      <c r="C10" s="2387"/>
      <c r="D10" s="2387"/>
      <c r="E10" s="2387"/>
      <c r="F10" s="2388"/>
    </row>
    <row r="11" spans="1:6" ht="33" customHeight="1" x14ac:dyDescent="0.25">
      <c r="A11" s="2383" t="s">
        <v>1964</v>
      </c>
      <c r="B11" s="2384"/>
      <c r="C11" s="2384"/>
      <c r="D11" s="2384"/>
      <c r="E11" s="2384"/>
      <c r="F11" s="2385"/>
    </row>
    <row r="12" spans="1:6" ht="15" customHeight="1" x14ac:dyDescent="0.25">
      <c r="A12" s="1873" t="s">
        <v>1960</v>
      </c>
      <c r="B12" s="1874"/>
      <c r="C12" s="1875"/>
      <c r="D12" s="1875"/>
      <c r="E12" s="1875"/>
      <c r="F12" s="1876"/>
    </row>
    <row r="13" spans="1:6" ht="17.25" customHeight="1" x14ac:dyDescent="0.25">
      <c r="A13" s="2383" t="s">
        <v>1961</v>
      </c>
      <c r="B13" s="2384"/>
      <c r="C13" s="2384"/>
      <c r="D13" s="2384"/>
      <c r="E13" s="2384"/>
      <c r="F13" s="2385"/>
    </row>
    <row r="14" spans="1:6" ht="15" customHeight="1" x14ac:dyDescent="0.25">
      <c r="A14" s="1873" t="s">
        <v>1778</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1779</v>
      </c>
      <c r="B16" s="1878" t="s">
        <v>1780</v>
      </c>
      <c r="C16" s="1877" t="s">
        <v>1781</v>
      </c>
      <c r="D16" s="1879" t="s">
        <v>1782</v>
      </c>
      <c r="E16" s="1879" t="s">
        <v>1783</v>
      </c>
      <c r="F16" s="1879" t="s">
        <v>1784</v>
      </c>
    </row>
    <row r="17" spans="1:7" x14ac:dyDescent="0.25">
      <c r="A17" s="1880" t="s">
        <v>1786</v>
      </c>
      <c r="B17" s="1907" t="s">
        <v>1777</v>
      </c>
      <c r="C17" s="1881" t="s">
        <v>1775</v>
      </c>
      <c r="D17" s="1882">
        <v>500000</v>
      </c>
      <c r="E17" s="1882" t="str">
        <f>IF(D17&lt;25000,D17,"25,000")</f>
        <v>25,000</v>
      </c>
      <c r="F17" s="1883">
        <f>IF(D17&gt;=25000,(D17-E17),"0")</f>
        <v>475000</v>
      </c>
    </row>
    <row r="18" spans="1:7" x14ac:dyDescent="0.25">
      <c r="A18" s="2035" t="s">
        <v>2046</v>
      </c>
      <c r="B18" s="1908">
        <v>102540300</v>
      </c>
      <c r="C18" s="2036" t="s">
        <v>2047</v>
      </c>
      <c r="D18" s="1886">
        <v>44026</v>
      </c>
      <c r="E18" s="1906" t="str">
        <f t="shared" ref="E18:E81" si="0">IF(D18&lt;25000,D18,"25,000")</f>
        <v>25,000</v>
      </c>
      <c r="F18" s="1906">
        <f t="shared" ref="F18:F81" si="1">IF(D18&gt;=25000,(D18-E18),"0")</f>
        <v>19026</v>
      </c>
      <c r="G18" s="1887"/>
    </row>
    <row r="19" spans="1:7" x14ac:dyDescent="0.25">
      <c r="A19" s="2035" t="s">
        <v>2046</v>
      </c>
      <c r="B19" s="1908">
        <v>102540300</v>
      </c>
      <c r="C19" s="2036" t="s">
        <v>2048</v>
      </c>
      <c r="D19" s="1886">
        <v>6606</v>
      </c>
      <c r="E19" s="1906">
        <f t="shared" si="0"/>
        <v>6606</v>
      </c>
      <c r="F19" s="1906" t="str">
        <f t="shared" si="1"/>
        <v>0</v>
      </c>
    </row>
    <row r="20" spans="1:7" x14ac:dyDescent="0.25">
      <c r="A20" s="2035" t="s">
        <v>2046</v>
      </c>
      <c r="B20" s="1908">
        <v>102540300</v>
      </c>
      <c r="C20" s="2036" t="s">
        <v>2049</v>
      </c>
      <c r="D20" s="1886">
        <v>5020</v>
      </c>
      <c r="E20" s="1906">
        <f t="shared" si="0"/>
        <v>5020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55652</v>
      </c>
      <c r="E142" s="1893">
        <f>SUM(E18:E141)</f>
        <v>11626</v>
      </c>
      <c r="F142" s="1894">
        <f>SUM(F18:F141)</f>
        <v>19026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1872</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20289</v>
      </c>
      <c r="F19" s="1802"/>
      <c r="G19" s="1804">
        <f>'Expenditures 15-22'!K33-SUM('Expenditures 15-22'!G33,'Expenditures 15-22'!I33)+'Expenditures 15-22'!D229</f>
        <v>20289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1855417</v>
      </c>
      <c r="F21" s="1805"/>
      <c r="G21" s="1808">
        <f>'Expenditures 15-22'!K42-SUM('Expenditures 15-22'!G42,'Expenditures 15-22'!I42)+'Expenditures 15-22'!K120-SUM('Expenditures 15-22'!G120,'Expenditures 15-22'!I120)+'Expenditures 15-22'!K180-SUM('Expenditures 15-22'!G180,'Expenditures 15-22'!I180)+'Expenditures 15-22'!D238</f>
        <v>1855417</v>
      </c>
      <c r="H21" s="817"/>
      <c r="I21" s="157"/>
    </row>
    <row r="22" spans="1:9" s="542" customFormat="1" ht="12" customHeight="1" x14ac:dyDescent="0.2">
      <c r="A22" s="824" t="s">
        <v>560</v>
      </c>
      <c r="B22" s="825"/>
      <c r="C22" s="823">
        <v>2200</v>
      </c>
      <c r="D22" s="1805"/>
      <c r="E22" s="1807">
        <f>'Expenditures 15-22'!K47-SUM('Expenditures 15-22'!G47,'Expenditures 15-22'!I47)+'Expenditures 15-22'!D243</f>
        <v>164342</v>
      </c>
      <c r="F22" s="1805"/>
      <c r="G22" s="1808">
        <f>'Expenditures 15-22'!K47-SUM('Expenditures 15-22'!G47,'Expenditures 15-22'!I47)+'Expenditures 15-22'!D243</f>
        <v>164342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705594</v>
      </c>
      <c r="F23" s="1805"/>
      <c r="G23" s="1807">
        <f>'Expenditures 15-22'!K53-SUM('Expenditures 15-22'!G53,'Expenditures 15-22'!I53)+'Expenditures 15-22'!D257+'Expenditures 15-22'!K330-SUM('Expenditures 15-22'!G330,'Expenditures 15-22'!I330)</f>
        <v>705594</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4505</v>
      </c>
      <c r="E26" s="1807">
        <f>'Expenditures 15-22'!K122-SUM('Expenditures 15-22'!G122,'Expenditures 15-22'!I122)+E7</f>
        <v>0</v>
      </c>
      <c r="F26" s="1807">
        <f>'Expenditures 15-22'!K59-SUM('Expenditures 15-22'!G59,'Expenditures 15-22'!I59)+'Expenditures 15-22'!D263-E7</f>
        <v>4505</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67800</v>
      </c>
      <c r="E27" s="1807">
        <f>E8</f>
        <v>0</v>
      </c>
      <c r="F27" s="1807">
        <f>'Expenditures 15-22'!K60-SUM('Expenditures 15-22'!G60,'Expenditures 15-22'!I60)+'Expenditures 15-22'!D264-E8</f>
        <v>67800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45084</v>
      </c>
      <c r="F28" s="1809">
        <f>'Expenditures 15-22'!K61-SUM('Expenditures 15-22'!G61,'Expenditures 15-22'!I61)+'Expenditures 15-22'!K124-SUM('Expenditures 15-22'!G124,'Expenditures 15-22'!I124)+'Expenditures 15-22'!D266-E9</f>
        <v>45084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5042</v>
      </c>
      <c r="E31" s="1807">
        <f>E12</f>
        <v>0</v>
      </c>
      <c r="F31" s="1807">
        <f>'Expenditures 15-22'!K64-SUM('Expenditures 15-22'!G64,'Expenditures 15-22'!I64)+'Expenditures 15-22'!D269-E12</f>
        <v>5042</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1776</v>
      </c>
      <c r="B40" s="821"/>
      <c r="C40" s="823"/>
      <c r="D40" s="1805"/>
      <c r="E40" s="1809">
        <f>-'Contracts Paid in CY 29'!F142</f>
        <v>-19026</v>
      </c>
      <c r="F40" s="1805"/>
      <c r="G40" s="1809">
        <f>-'Contracts Paid in CY 29'!F142</f>
        <v>-19026</v>
      </c>
    </row>
    <row r="41" spans="1:7" ht="12" customHeight="1" x14ac:dyDescent="0.2">
      <c r="A41" s="828" t="s">
        <v>155</v>
      </c>
      <c r="B41" s="829"/>
      <c r="C41" s="830"/>
      <c r="D41" s="1809">
        <f>SUM(D19:D39)</f>
        <v>77347</v>
      </c>
      <c r="E41" s="1809">
        <f>SUM(E19:E40)</f>
        <v>2771700</v>
      </c>
      <c r="F41" s="1809">
        <f>SUM(F19:F39)</f>
        <v>122431</v>
      </c>
      <c r="G41" s="1809">
        <f>SUM(G19:G40)</f>
        <v>2726616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77347</v>
      </c>
      <c r="F43" s="1458" t="s">
        <v>470</v>
      </c>
      <c r="G43" s="1810">
        <f>F41</f>
        <v>122431</v>
      </c>
    </row>
    <row r="44" spans="1:7" ht="12" customHeight="1" x14ac:dyDescent="0.2">
      <c r="A44" s="817"/>
      <c r="B44" s="157"/>
      <c r="C44" s="831"/>
      <c r="D44" s="1458" t="s">
        <v>471</v>
      </c>
      <c r="E44" s="1810">
        <f>E41</f>
        <v>2771700</v>
      </c>
      <c r="F44" s="1458" t="s">
        <v>471</v>
      </c>
      <c r="G44" s="1810">
        <f>G41</f>
        <v>2726616</v>
      </c>
    </row>
    <row r="45" spans="1:7" ht="12" customHeight="1" x14ac:dyDescent="0.2">
      <c r="A45" s="817"/>
      <c r="B45" s="157"/>
      <c r="C45" s="157"/>
      <c r="D45" s="1459" t="s">
        <v>999</v>
      </c>
      <c r="E45" s="1811">
        <f>(E43/E44)</f>
        <v>2.7905978280477684E-2</v>
      </c>
      <c r="F45" s="1459" t="s">
        <v>999</v>
      </c>
      <c r="G45" s="1811">
        <f>(G43/G44)</f>
        <v>4.4902179111396691E-2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view="pageBreakPreview" zoomScale="60" zoomScaleNormal="110" workbookViewId="0">
      <selection activeCell="C27" sqref="C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1856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BMP Tri Cty Special Ed</v>
      </c>
      <c r="D6" s="2415"/>
      <c r="E6" s="2415"/>
      <c r="F6" s="1482"/>
      <c r="G6" s="1507"/>
      <c r="L6" s="1507"/>
      <c r="M6" s="1855"/>
      <c r="N6" s="1855"/>
      <c r="O6" s="1855"/>
    </row>
    <row r="7" spans="1:15" ht="11.25" customHeight="1" thickBot="1" x14ac:dyDescent="0.3">
      <c r="A7" s="1480"/>
      <c r="B7" s="1481"/>
      <c r="C7" s="2416">
        <f>COVER!A13</f>
        <v>35059005061</v>
      </c>
      <c r="D7" s="2416"/>
      <c r="E7" s="2416"/>
      <c r="F7" s="1482"/>
      <c r="G7" s="1507"/>
      <c r="L7" s="1507"/>
      <c r="M7" s="1855"/>
      <c r="N7" s="1855"/>
      <c r="O7" s="1855"/>
    </row>
    <row r="8" spans="1:15" ht="25.5" customHeight="1" thickBot="1" x14ac:dyDescent="0.25">
      <c r="A8" s="1519" t="s">
        <v>1852</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2029</v>
      </c>
      <c r="D26" s="1495" t="s">
        <v>2029</v>
      </c>
      <c r="E26" s="1498"/>
      <c r="F26" s="1497" t="s">
        <v>2050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4" sqref="I14"/>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1980</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BMP Tri Cty Special Ed</v>
      </c>
      <c r="K6" s="2437"/>
      <c r="L6" s="2451"/>
      <c r="M6" s="838"/>
      <c r="N6" s="1998"/>
    </row>
    <row r="7" spans="1:14" x14ac:dyDescent="0.2">
      <c r="A7" s="2452" t="s">
        <v>864</v>
      </c>
      <c r="B7" s="2453"/>
      <c r="C7" s="2453"/>
      <c r="D7" s="2453"/>
      <c r="E7" s="2454"/>
      <c r="F7" s="839"/>
      <c r="G7" s="838"/>
      <c r="H7" s="838"/>
      <c r="I7" s="1924" t="s">
        <v>369</v>
      </c>
      <c r="J7" s="2439">
        <f>COVER!A13</f>
        <v>35059005061</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1996</v>
      </c>
      <c r="F9" s="1857"/>
      <c r="G9" s="1857"/>
      <c r="H9" s="1857"/>
      <c r="I9" s="1929" t="s">
        <v>1997</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1998</v>
      </c>
      <c r="H11" s="1939" t="s">
        <v>155</v>
      </c>
      <c r="I11" s="1937" t="s">
        <v>64</v>
      </c>
      <c r="J11" s="1937" t="s">
        <v>6</v>
      </c>
      <c r="K11" s="1938" t="s">
        <v>1979</v>
      </c>
      <c r="L11" s="1939" t="s">
        <v>155</v>
      </c>
      <c r="M11" s="838"/>
      <c r="N11" s="1998"/>
    </row>
    <row r="12" spans="1:14" x14ac:dyDescent="0.2">
      <c r="A12" s="2003">
        <v>1</v>
      </c>
      <c r="B12" s="1940" t="s">
        <v>813</v>
      </c>
      <c r="C12" s="842"/>
      <c r="D12" s="1941">
        <v>2320</v>
      </c>
      <c r="E12" s="1944">
        <f>'Expenditures 15-22'!K50</f>
        <v>203312</v>
      </c>
      <c r="F12" s="1942"/>
      <c r="G12" s="1968">
        <f>G68</f>
        <v>0</v>
      </c>
      <c r="H12" s="1944">
        <f t="shared" ref="H12:H18" si="0">SUM(E12:G12)</f>
        <v>203312</v>
      </c>
      <c r="I12" s="1943">
        <v>211500</v>
      </c>
      <c r="J12" s="1942"/>
      <c r="K12" s="1943"/>
      <c r="L12" s="1944">
        <f t="shared" ref="L12:L18" si="1">SUM(I12:K12)</f>
        <v>211500</v>
      </c>
      <c r="M12" s="838"/>
      <c r="N12" s="1998"/>
    </row>
    <row r="13" spans="1:14" x14ac:dyDescent="0.2">
      <c r="A13" s="2003">
        <v>2</v>
      </c>
      <c r="B13" s="1940" t="s">
        <v>42</v>
      </c>
      <c r="C13" s="842"/>
      <c r="D13" s="1941">
        <v>2330</v>
      </c>
      <c r="E13" s="1944">
        <f>'Expenditures 15-22'!K51</f>
        <v>500220</v>
      </c>
      <c r="F13" s="1942"/>
      <c r="G13" s="1968">
        <f>H68</f>
        <v>0</v>
      </c>
      <c r="H13" s="1944">
        <f t="shared" si="0"/>
        <v>500220</v>
      </c>
      <c r="I13" s="1943">
        <v>522250</v>
      </c>
      <c r="J13" s="1942"/>
      <c r="K13" s="1943"/>
      <c r="L13" s="1944">
        <f t="shared" si="1"/>
        <v>522250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4505</v>
      </c>
      <c r="F15" s="1944">
        <f>'Expenditures 15-22'!K122</f>
        <v>0</v>
      </c>
      <c r="G15" s="1968">
        <f>J68</f>
        <v>0</v>
      </c>
      <c r="H15" s="1944">
        <f t="shared" si="0"/>
        <v>4505</v>
      </c>
      <c r="I15" s="1943">
        <v>10000</v>
      </c>
      <c r="J15" s="1943"/>
      <c r="K15" s="1943"/>
      <c r="L15" s="1944">
        <f t="shared" si="1"/>
        <v>10000</v>
      </c>
      <c r="M15" s="838"/>
      <c r="N15" s="1998"/>
    </row>
    <row r="16" spans="1:14" x14ac:dyDescent="0.2">
      <c r="A16" s="2003">
        <v>5</v>
      </c>
      <c r="B16" s="1940" t="s">
        <v>101</v>
      </c>
      <c r="C16" s="842"/>
      <c r="D16" s="1941">
        <v>2570</v>
      </c>
      <c r="E16" s="1944">
        <f>'Expenditures 15-22'!K64</f>
        <v>5042</v>
      </c>
      <c r="F16" s="1942"/>
      <c r="G16" s="1968">
        <f>K68</f>
        <v>0</v>
      </c>
      <c r="H16" s="1944">
        <f t="shared" si="0"/>
        <v>5042</v>
      </c>
      <c r="I16" s="1943">
        <v>5028</v>
      </c>
      <c r="J16" s="1942"/>
      <c r="K16" s="1943"/>
      <c r="L16" s="1944">
        <f t="shared" si="1"/>
        <v>5028</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713079</v>
      </c>
      <c r="F19" s="1950">
        <f t="shared" si="2"/>
        <v>0</v>
      </c>
      <c r="G19" s="1950">
        <f t="shared" ref="G19" si="3">SUM(G12:G17)-G18</f>
        <v>0</v>
      </c>
      <c r="H19" s="1950">
        <f t="shared" si="2"/>
        <v>713079</v>
      </c>
      <c r="I19" s="1950">
        <f t="shared" si="2"/>
        <v>748778</v>
      </c>
      <c r="J19" s="1950">
        <f t="shared" si="2"/>
        <v>0</v>
      </c>
      <c r="K19" s="1950">
        <f t="shared" si="2"/>
        <v>0</v>
      </c>
      <c r="L19" s="1950">
        <f t="shared" si="2"/>
        <v>748778</v>
      </c>
      <c r="M19" s="838"/>
      <c r="N19" s="1998"/>
    </row>
    <row r="20" spans="1:14" ht="13.5" thickTop="1" x14ac:dyDescent="0.2">
      <c r="A20" s="2003">
        <v>9</v>
      </c>
      <c r="B20" s="2461" t="s">
        <v>1999</v>
      </c>
      <c r="C20" s="2461"/>
      <c r="D20" s="2462"/>
      <c r="E20" s="1951"/>
      <c r="F20" s="1951"/>
      <c r="G20" s="1951"/>
      <c r="H20" s="1951"/>
      <c r="I20" s="1951"/>
      <c r="J20" s="1951"/>
      <c r="K20" s="1951"/>
      <c r="L20" s="1952">
        <f>IF(AND(H19&gt;0,L19&gt;0),(((L19-H19)/H19)),"Enter Budget Data")</f>
        <v>5.006317673076896E-2</v>
      </c>
      <c r="M20" s="838"/>
      <c r="N20" s="1998"/>
    </row>
    <row r="21" spans="1:14" x14ac:dyDescent="0.2">
      <c r="A21" s="2005" t="s">
        <v>194</v>
      </c>
      <c r="B21" s="2006" t="s">
        <v>2024</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2000</v>
      </c>
      <c r="B24" s="2010"/>
      <c r="C24" s="2011"/>
      <c r="D24" s="2011"/>
      <c r="E24" s="2011"/>
      <c r="F24" s="2011"/>
      <c r="G24" s="2011"/>
      <c r="H24" s="2011"/>
      <c r="I24" s="2011"/>
      <c r="J24" s="2011"/>
      <c r="K24" s="2011"/>
      <c r="L24" s="838"/>
      <c r="M24" s="838"/>
      <c r="N24" s="1998"/>
    </row>
    <row r="25" spans="1:14" x14ac:dyDescent="0.2">
      <c r="A25" s="2009" t="s">
        <v>2001</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2002</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2003</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2004</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2005</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2006</v>
      </c>
      <c r="B45" s="1983"/>
      <c r="C45" s="1983"/>
      <c r="D45" s="1983"/>
      <c r="E45" s="1983"/>
      <c r="F45" s="1983"/>
      <c r="G45" s="1983"/>
      <c r="H45" s="1983"/>
      <c r="I45" s="1983"/>
      <c r="J45" s="1983"/>
      <c r="K45" s="1983"/>
      <c r="L45" s="1983"/>
      <c r="M45" s="1983"/>
      <c r="N45" s="1984"/>
    </row>
    <row r="46" spans="1:14" x14ac:dyDescent="0.2">
      <c r="A46" s="2434" t="s">
        <v>2007</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2023</v>
      </c>
      <c r="B49" s="2024"/>
      <c r="C49" s="2024"/>
      <c r="D49" s="2025"/>
      <c r="E49" s="2025"/>
      <c r="F49" s="2025"/>
      <c r="G49" s="2025"/>
      <c r="H49" s="2025"/>
      <c r="I49" s="2025"/>
      <c r="J49" s="2025"/>
      <c r="K49" s="2025"/>
      <c r="L49" s="2025"/>
      <c r="M49" s="2025"/>
      <c r="N49" s="2026"/>
    </row>
    <row r="50" spans="1:14" ht="15" x14ac:dyDescent="0.25">
      <c r="A50" s="2028" t="s">
        <v>2022</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BMP Tri Cty Special Ed</v>
      </c>
      <c r="M52" s="2437"/>
      <c r="N52" s="2438"/>
    </row>
    <row r="53" spans="1:14" x14ac:dyDescent="0.2">
      <c r="A53" s="1982"/>
      <c r="B53" s="1983"/>
      <c r="C53" s="1983"/>
      <c r="D53" s="1983"/>
      <c r="E53" s="1983"/>
      <c r="F53" s="1983"/>
      <c r="G53" s="1983"/>
      <c r="H53" s="1983"/>
      <c r="I53" s="1983"/>
      <c r="J53" s="1983"/>
      <c r="K53" s="1924" t="s">
        <v>369</v>
      </c>
      <c r="L53" s="2439">
        <f>J7</f>
        <v>35059005061</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2008</v>
      </c>
      <c r="H55" s="2443"/>
      <c r="I55" s="2443"/>
      <c r="J55" s="2443"/>
      <c r="K55" s="2443"/>
      <c r="L55" s="2443"/>
      <c r="M55" s="2443"/>
      <c r="N55" s="2444"/>
    </row>
    <row r="56" spans="1:14" ht="63.75" x14ac:dyDescent="0.2">
      <c r="A56" s="2445" t="s">
        <v>2009</v>
      </c>
      <c r="B56" s="2446"/>
      <c r="C56" s="2447"/>
      <c r="D56" s="1964" t="s">
        <v>2010</v>
      </c>
      <c r="E56" s="1964" t="s">
        <v>2011</v>
      </c>
      <c r="F56" s="1971"/>
      <c r="G56" s="1964" t="s">
        <v>2012</v>
      </c>
      <c r="H56" s="1964" t="s">
        <v>2013</v>
      </c>
      <c r="I56" s="1964" t="s">
        <v>2014</v>
      </c>
      <c r="J56" s="1964" t="s">
        <v>2015</v>
      </c>
      <c r="K56" s="1964" t="s">
        <v>2016</v>
      </c>
      <c r="L56" s="1964" t="s">
        <v>2017</v>
      </c>
      <c r="M56" s="1964" t="s">
        <v>2018</v>
      </c>
      <c r="N56" s="1965" t="s">
        <v>2025</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2019</v>
      </c>
      <c r="B58" s="2426"/>
      <c r="C58" s="242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2020</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2021</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2051</v>
      </c>
    </row>
    <row r="6" spans="1:2" x14ac:dyDescent="0.2">
      <c r="A6" s="847">
        <v>2</v>
      </c>
      <c r="B6" s="307" t="s">
        <v>2052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BMP Tri Cty Special Ed</v>
      </c>
    </row>
    <row r="65" spans="2:2" x14ac:dyDescent="0.2">
      <c r="B65" s="849">
        <f>COVER!A13</f>
        <v>35059005061</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1808</v>
      </c>
      <c r="C4" s="157" t="s">
        <v>1159</v>
      </c>
      <c r="D4" s="164" t="s">
        <v>10</v>
      </c>
      <c r="E4" s="165" t="s">
        <v>22</v>
      </c>
    </row>
    <row r="5" spans="1:5" x14ac:dyDescent="0.2">
      <c r="A5" s="163" t="s">
        <v>1810</v>
      </c>
      <c r="C5" s="157" t="s">
        <v>1159</v>
      </c>
      <c r="D5" s="164" t="s">
        <v>10</v>
      </c>
      <c r="E5" s="165" t="s">
        <v>22</v>
      </c>
    </row>
    <row r="6" spans="1:5" x14ac:dyDescent="0.2">
      <c r="A6" s="163" t="s">
        <v>1809</v>
      </c>
      <c r="C6" s="157" t="s">
        <v>1159</v>
      </c>
      <c r="D6" s="162" t="s">
        <v>11</v>
      </c>
      <c r="E6" s="165" t="s">
        <v>935</v>
      </c>
    </row>
    <row r="7" spans="1:5" x14ac:dyDescent="0.2">
      <c r="A7" s="163" t="s">
        <v>1811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1812</v>
      </c>
      <c r="C11" s="157" t="s">
        <v>1159</v>
      </c>
      <c r="D11" s="164" t="s">
        <v>14</v>
      </c>
      <c r="E11" s="165" t="s">
        <v>1146</v>
      </c>
    </row>
    <row r="12" spans="1:5" x14ac:dyDescent="0.2">
      <c r="B12" s="164" t="s">
        <v>1813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1814</v>
      </c>
      <c r="C15" s="157" t="s">
        <v>1159</v>
      </c>
      <c r="D15" s="164" t="s">
        <v>17</v>
      </c>
      <c r="E15" s="165" t="s">
        <v>631</v>
      </c>
    </row>
    <row r="16" spans="1:5" x14ac:dyDescent="0.2">
      <c r="A16" s="167"/>
      <c r="B16" s="157" t="s">
        <v>1815</v>
      </c>
      <c r="C16" s="157" t="s">
        <v>1159</v>
      </c>
      <c r="D16" s="164" t="s">
        <v>676</v>
      </c>
      <c r="E16" s="165" t="s">
        <v>1033</v>
      </c>
    </row>
    <row r="17" spans="1:5" x14ac:dyDescent="0.2">
      <c r="B17" s="162" t="s">
        <v>981</v>
      </c>
      <c r="C17" s="157" t="s">
        <v>1159</v>
      </c>
    </row>
    <row r="18" spans="1:5" x14ac:dyDescent="0.2">
      <c r="B18" s="162" t="s">
        <v>1821</v>
      </c>
      <c r="D18" s="164" t="s">
        <v>18</v>
      </c>
      <c r="E18" s="165" t="s">
        <v>1034</v>
      </c>
    </row>
    <row r="19" spans="1:5" x14ac:dyDescent="0.2">
      <c r="A19" s="163" t="s">
        <v>1090</v>
      </c>
      <c r="C19" s="157" t="s">
        <v>1159</v>
      </c>
      <c r="D19" s="164"/>
      <c r="E19" s="166"/>
    </row>
    <row r="20" spans="1:5" x14ac:dyDescent="0.2">
      <c r="B20" s="162" t="s">
        <v>1816</v>
      </c>
      <c r="C20" s="157" t="s">
        <v>1159</v>
      </c>
      <c r="D20" s="164" t="s">
        <v>19</v>
      </c>
      <c r="E20" s="165" t="s">
        <v>51</v>
      </c>
    </row>
    <row r="21" spans="1:5" x14ac:dyDescent="0.2">
      <c r="B21" s="162" t="s">
        <v>1817</v>
      </c>
      <c r="C21" s="157" t="s">
        <v>1159</v>
      </c>
      <c r="D21" s="164" t="s">
        <v>20</v>
      </c>
      <c r="E21" s="165" t="s">
        <v>1593</v>
      </c>
    </row>
    <row r="22" spans="1:5" x14ac:dyDescent="0.2">
      <c r="A22" s="163"/>
      <c r="B22" s="157" t="s">
        <v>1805</v>
      </c>
      <c r="C22" s="157" t="s">
        <v>1159</v>
      </c>
      <c r="D22" s="162" t="s">
        <v>1807</v>
      </c>
      <c r="E22" s="1470" t="s">
        <v>1594</v>
      </c>
    </row>
    <row r="23" spans="1:5" x14ac:dyDescent="0.2">
      <c r="A23" s="163"/>
      <c r="B23" s="157" t="s">
        <v>1806</v>
      </c>
      <c r="D23" s="162" t="s">
        <v>632</v>
      </c>
      <c r="E23" s="1470" t="s">
        <v>953</v>
      </c>
    </row>
    <row r="24" spans="1:5" x14ac:dyDescent="0.2">
      <c r="A24" s="163" t="s">
        <v>1592</v>
      </c>
      <c r="C24" s="157" t="s">
        <v>1159</v>
      </c>
      <c r="D24" s="162" t="s">
        <v>1377</v>
      </c>
      <c r="E24" s="165" t="s">
        <v>954</v>
      </c>
    </row>
    <row r="25" spans="1:5" x14ac:dyDescent="0.2">
      <c r="A25" s="163" t="s">
        <v>1818</v>
      </c>
      <c r="C25" s="157" t="s">
        <v>1159</v>
      </c>
      <c r="D25" s="164" t="s">
        <v>21</v>
      </c>
      <c r="E25" s="1470" t="s">
        <v>2026</v>
      </c>
    </row>
    <row r="26" spans="1:5" x14ac:dyDescent="0.2">
      <c r="A26" s="163" t="s">
        <v>1819</v>
      </c>
      <c r="C26" s="157" t="s">
        <v>1159</v>
      </c>
      <c r="D26" s="164" t="s">
        <v>559</v>
      </c>
      <c r="E26" s="1470" t="s">
        <v>678</v>
      </c>
    </row>
    <row r="27" spans="1:5" x14ac:dyDescent="0.2">
      <c r="A27" s="163" t="s">
        <v>1820</v>
      </c>
      <c r="C27" s="157" t="s">
        <v>1159</v>
      </c>
      <c r="D27" s="164" t="s">
        <v>553</v>
      </c>
      <c r="E27" s="1470" t="s">
        <v>1350</v>
      </c>
    </row>
    <row r="28" spans="1:5" x14ac:dyDescent="0.2">
      <c r="A28" s="163" t="s">
        <v>1822</v>
      </c>
      <c r="D28" s="164" t="s">
        <v>679</v>
      </c>
      <c r="E28" s="1470" t="s">
        <v>1359</v>
      </c>
    </row>
    <row r="29" spans="1:5" x14ac:dyDescent="0.2">
      <c r="A29" s="163" t="s">
        <v>1823</v>
      </c>
      <c r="D29" s="164" t="s">
        <v>1378</v>
      </c>
      <c r="E29" s="1470" t="s">
        <v>2027</v>
      </c>
    </row>
    <row r="30" spans="1:5" x14ac:dyDescent="0.2">
      <c r="A30" s="168" t="s">
        <v>1824</v>
      </c>
      <c r="C30" s="157" t="s">
        <v>1159</v>
      </c>
      <c r="D30" s="164" t="s">
        <v>40</v>
      </c>
      <c r="E30" s="165" t="s">
        <v>975</v>
      </c>
    </row>
    <row r="31" spans="1:5" x14ac:dyDescent="0.2">
      <c r="A31" s="163" t="s">
        <v>1504</v>
      </c>
      <c r="C31" s="157" t="s">
        <v>1159</v>
      </c>
      <c r="D31" s="162"/>
      <c r="E31" s="166"/>
    </row>
    <row r="32" spans="1:5" x14ac:dyDescent="0.2">
      <c r="B32" s="162" t="s">
        <v>1825</v>
      </c>
      <c r="C32" s="157" t="s">
        <v>1159</v>
      </c>
      <c r="D32" s="164" t="s">
        <v>1505</v>
      </c>
      <c r="E32" s="165" t="s">
        <v>2028</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1848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1726</v>
      </c>
    </row>
    <row r="52" spans="1:3" x14ac:dyDescent="0.2">
      <c r="A52" s="185"/>
      <c r="B52" s="183" t="s">
        <v>1746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1727</v>
      </c>
    </row>
    <row r="57" spans="1:3" x14ac:dyDescent="0.2">
      <c r="A57" s="188"/>
      <c r="B57" s="185" t="s">
        <v>1729</v>
      </c>
    </row>
    <row r="58" spans="1:3" x14ac:dyDescent="0.2">
      <c r="A58" s="189"/>
      <c r="B58" s="185" t="s">
        <v>1730</v>
      </c>
    </row>
    <row r="59" spans="1:3" x14ac:dyDescent="0.2">
      <c r="A59" s="190"/>
      <c r="B59" s="1256" t="s">
        <v>1731</v>
      </c>
    </row>
    <row r="60" spans="1:3" x14ac:dyDescent="0.2">
      <c r="A60" s="191"/>
      <c r="B60" s="1256" t="s">
        <v>1732</v>
      </c>
    </row>
    <row r="61" spans="1:3" ht="6" customHeight="1" x14ac:dyDescent="0.2">
      <c r="A61" s="192"/>
      <c r="B61" s="184"/>
    </row>
    <row r="62" spans="1:3" x14ac:dyDescent="0.2">
      <c r="A62" s="164" t="s">
        <v>1599</v>
      </c>
      <c r="B62" s="193" t="s">
        <v>1728</v>
      </c>
    </row>
    <row r="63" spans="1:3" x14ac:dyDescent="0.2">
      <c r="A63" s="183"/>
      <c r="B63" s="164" t="s">
        <v>1743</v>
      </c>
    </row>
    <row r="64" spans="1:3" x14ac:dyDescent="0.2">
      <c r="A64" s="190"/>
      <c r="B64" s="1258" t="s">
        <v>1733</v>
      </c>
    </row>
    <row r="65" spans="1:9" x14ac:dyDescent="0.2">
      <c r="A65" s="183"/>
      <c r="B65" s="164" t="s">
        <v>1744</v>
      </c>
    </row>
    <row r="66" spans="1:9" x14ac:dyDescent="0.2">
      <c r="A66" s="185"/>
      <c r="B66" s="185" t="s">
        <v>1734</v>
      </c>
    </row>
    <row r="67" spans="1:9" ht="12" customHeight="1" x14ac:dyDescent="0.2">
      <c r="A67" s="183"/>
      <c r="B67" s="164" t="s">
        <v>1745</v>
      </c>
    </row>
    <row r="68" spans="1:9" x14ac:dyDescent="0.2">
      <c r="A68" s="184"/>
      <c r="B68" s="185" t="s">
        <v>1735</v>
      </c>
    </row>
    <row r="69" spans="1:9" x14ac:dyDescent="0.2">
      <c r="A69" s="185"/>
      <c r="B69" s="183" t="s">
        <v>1736</v>
      </c>
    </row>
    <row r="70" spans="1:9" ht="13.5" customHeight="1" x14ac:dyDescent="0.2">
      <c r="A70" s="185"/>
      <c r="B70" s="183" t="s">
        <v>1737</v>
      </c>
    </row>
    <row r="71" spans="1:9" ht="12" customHeight="1" x14ac:dyDescent="0.2">
      <c r="A71" s="187"/>
      <c r="B71" s="1257" t="s">
        <v>1602</v>
      </c>
    </row>
    <row r="72" spans="1:9" ht="9" customHeight="1" x14ac:dyDescent="0.2">
      <c r="A72" s="187"/>
      <c r="B72" s="194"/>
    </row>
    <row r="73" spans="1:9" x14ac:dyDescent="0.2">
      <c r="A73" s="184" t="s">
        <v>1603</v>
      </c>
      <c r="B73" s="164" t="s">
        <v>1739</v>
      </c>
    </row>
    <row r="74" spans="1:9" x14ac:dyDescent="0.2">
      <c r="A74" s="184"/>
      <c r="B74" s="164" t="s">
        <v>1738</v>
      </c>
    </row>
    <row r="75" spans="1:9" ht="8.25" customHeight="1" x14ac:dyDescent="0.2">
      <c r="A75" s="184"/>
      <c r="B75" s="184"/>
    </row>
    <row r="76" spans="1:9" ht="12.2" customHeight="1" x14ac:dyDescent="0.2">
      <c r="A76" s="184" t="s">
        <v>1604</v>
      </c>
      <c r="B76" s="193" t="s">
        <v>1740</v>
      </c>
    </row>
    <row r="77" spans="1:9" ht="12.2" customHeight="1" x14ac:dyDescent="0.2">
      <c r="A77" s="185"/>
      <c r="B77" s="164" t="s">
        <v>1605</v>
      </c>
      <c r="C77" s="174"/>
      <c r="D77" s="175"/>
      <c r="E77" s="176"/>
      <c r="F77" s="176"/>
      <c r="G77" s="176"/>
      <c r="H77" s="176"/>
      <c r="I77" s="176"/>
    </row>
    <row r="78" spans="1:9" ht="11.25" customHeight="1" x14ac:dyDescent="0.2">
      <c r="A78" s="185"/>
      <c r="B78" s="185" t="s">
        <v>1742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1741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2" sqref="D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1951</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857250</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1950</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2800917</v>
      </c>
      <c r="C8" s="1813">
        <f>'Acct Summary 7-8'!D8</f>
        <v>0</v>
      </c>
      <c r="D8" s="1813">
        <f>'Acct Summary 7-8'!F8</f>
        <v>0</v>
      </c>
      <c r="E8" s="1813">
        <f>'Acct Summary 7-8'!I8</f>
        <v>0</v>
      </c>
      <c r="F8" s="1813">
        <f>SUM(B8:E8)</f>
        <v>2800917</v>
      </c>
    </row>
    <row r="9" spans="1:8" s="858" customFormat="1" ht="14.25" customHeight="1" thickBot="1" x14ac:dyDescent="0.25">
      <c r="A9" s="857" t="s">
        <v>1353</v>
      </c>
      <c r="B9" s="1814">
        <f>'Acct Summary 7-8'!C17</f>
        <v>2884040</v>
      </c>
      <c r="C9" s="1814">
        <f>'Acct Summary 7-8'!D17</f>
        <v>0</v>
      </c>
      <c r="D9" s="1814">
        <f>'Acct Summary 7-8'!F17</f>
        <v>0</v>
      </c>
      <c r="E9" s="1813"/>
      <c r="F9" s="1813">
        <f>SUM(B9:E9)</f>
        <v>2884040</v>
      </c>
    </row>
    <row r="10" spans="1:8" s="858" customFormat="1" ht="14.25" thickTop="1" thickBot="1" x14ac:dyDescent="0.25">
      <c r="A10" s="859" t="s">
        <v>1354</v>
      </c>
      <c r="B10" s="1815">
        <f>(B8-B9)</f>
        <v>-83123</v>
      </c>
      <c r="C10" s="1815">
        <f>(C8-C9)</f>
        <v>0</v>
      </c>
      <c r="D10" s="1815">
        <f>(D8-D9)</f>
        <v>0</v>
      </c>
      <c r="E10" s="1814">
        <f>(E8-E9)</f>
        <v>0</v>
      </c>
      <c r="F10" s="1816">
        <f>SUM(F8-F9)</f>
        <v>-83123</v>
      </c>
    </row>
    <row r="11" spans="1:8" s="858" customFormat="1" ht="14.25" thickTop="1" thickBot="1" x14ac:dyDescent="0.25">
      <c r="A11" s="860" t="s">
        <v>1881</v>
      </c>
      <c r="B11" s="1817">
        <f>'Acct Summary 7-8'!C81</f>
        <v>210410</v>
      </c>
      <c r="C11" s="1817">
        <f>'Acct Summary 7-8'!D81</f>
        <v>0</v>
      </c>
      <c r="D11" s="1817">
        <f>'Acct Summary 7-8'!F81</f>
        <v>0</v>
      </c>
      <c r="E11" s="1817">
        <f>'Acct Summary 7-8'!I81</f>
        <v>0</v>
      </c>
      <c r="F11" s="1818">
        <f>SUM(B11:E11)</f>
        <v>210410</v>
      </c>
    </row>
    <row r="12" spans="1:8" ht="16.5" customHeight="1" thickTop="1" x14ac:dyDescent="0.2">
      <c r="A12" s="861"/>
      <c r="B12" s="862"/>
      <c r="C12" s="247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1952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1857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1953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1858</v>
      </c>
      <c r="D66" s="904"/>
    </row>
    <row r="67" spans="1:4" x14ac:dyDescent="0.2">
      <c r="A67" s="898"/>
      <c r="B67" s="919"/>
      <c r="C67" s="926" t="s">
        <v>1014</v>
      </c>
      <c r="D67" s="904"/>
    </row>
    <row r="68" spans="1:4" x14ac:dyDescent="0.2">
      <c r="A68" s="879"/>
      <c r="B68" s="889"/>
      <c r="C68" s="881" t="s">
        <v>1859</v>
      </c>
      <c r="D68" s="903" t="str">
        <f>IF('Short-Term Long-Term Debt 24'!F49=SUM(,'Acct Summary 7-8'!C33:K33),"OK","ERROR!")</f>
        <v>OK</v>
      </c>
    </row>
    <row r="69" spans="1:4" x14ac:dyDescent="0.2">
      <c r="A69" s="879"/>
      <c r="B69" s="889"/>
      <c r="C69" s="881" t="s">
        <v>1860</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1861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1966</v>
      </c>
      <c r="D78" s="903" t="str">
        <f>IF(ISNUMBER('Acct Summary 7-8'!C9),"OK","ENTRY IS REQUIRED!")</f>
        <v>OK</v>
      </c>
    </row>
    <row r="79" spans="1:4" x14ac:dyDescent="0.2">
      <c r="A79" s="898"/>
      <c r="B79" s="899">
        <f>B74+1+1</f>
        <v>12</v>
      </c>
      <c r="C79" s="909" t="s">
        <v>1849</v>
      </c>
      <c r="D79" s="910" t="str">
        <f>IF(OR(COVER!$B$6="X",'PCTC-OEPP 27-28'!F79&gt;0),"OK","PLEASE ENTER 9 MO ADA.")</f>
        <v>OK</v>
      </c>
    </row>
    <row r="80" spans="1:4" x14ac:dyDescent="0.2">
      <c r="A80" s="877"/>
      <c r="B80" s="899">
        <v>13</v>
      </c>
      <c r="C80" s="909" t="s">
        <v>1954</v>
      </c>
      <c r="D80" s="910" t="str">
        <f>IF(OR(COVER!$B$6="X",ISNUMBER('PCTC-OEPP 27-28'!F172)),"OK","PLEASE ENTER AMOUNT or 0.")</f>
        <v>OK</v>
      </c>
    </row>
    <row r="81" spans="1:4" x14ac:dyDescent="0.2">
      <c r="A81" s="877"/>
      <c r="B81" s="899">
        <v>14</v>
      </c>
      <c r="C81" s="909" t="s">
        <v>1955</v>
      </c>
      <c r="D81" s="910" t="str">
        <f>IF(OR(COVER!$B$6="X",ISNUMBER('PCTC-OEPP 27-28'!F173)),"OK","PLEASE ENTER AMOUNT or 0.")</f>
        <v>OK</v>
      </c>
    </row>
    <row r="82" spans="1:4" x14ac:dyDescent="0.2">
      <c r="A82" s="877"/>
      <c r="B82" s="899">
        <v>15</v>
      </c>
      <c r="C82" s="909" t="s">
        <v>1862</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1945</v>
      </c>
      <c r="F1" s="1543" t="s">
        <v>1946</v>
      </c>
      <c r="G1" s="1900" t="s">
        <v>1956</v>
      </c>
    </row>
    <row r="2" spans="1:7" ht="15.75" x14ac:dyDescent="0.25">
      <c r="A2" t="s">
        <v>260</v>
      </c>
      <c r="B2" s="135">
        <f>COVER!A13</f>
        <v>35059005061</v>
      </c>
      <c r="E2" s="1542">
        <v>2020</v>
      </c>
      <c r="F2" s="1542">
        <v>1</v>
      </c>
      <c r="G2" s="1899">
        <v>101000300</v>
      </c>
    </row>
    <row r="3" spans="1:7" ht="15" x14ac:dyDescent="0.25">
      <c r="A3" t="s">
        <v>950</v>
      </c>
      <c r="B3" s="135" t="str">
        <f>COVER!A15</f>
        <v>BUREAU</v>
      </c>
      <c r="E3" s="1830" t="s">
        <v>1949</v>
      </c>
      <c r="F3" s="1830" t="s">
        <v>1948</v>
      </c>
      <c r="G3" s="1899">
        <v>101000400</v>
      </c>
    </row>
    <row r="4" spans="1:7" ht="15" x14ac:dyDescent="0.25">
      <c r="A4" t="s">
        <v>1000</v>
      </c>
      <c r="B4" s="135" t="str">
        <f>COVER!A17</f>
        <v>BMP Tri Cty Special Ed</v>
      </c>
      <c r="E4" s="1828">
        <v>44119</v>
      </c>
      <c r="F4" s="1829">
        <v>44151</v>
      </c>
      <c r="G4" s="1899">
        <v>101000600</v>
      </c>
    </row>
    <row r="5" spans="1:7" ht="15" x14ac:dyDescent="0.25">
      <c r="A5" t="s">
        <v>699</v>
      </c>
      <c r="B5" s="135" t="str">
        <f>COVER!A38</f>
        <v>GWEN GARVER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STREET</v>
      </c>
      <c r="G18" s="1899">
        <v>102200300</v>
      </c>
    </row>
    <row r="19" spans="1:7" ht="15" x14ac:dyDescent="0.25">
      <c r="A19" t="s">
        <v>880</v>
      </c>
      <c r="B19" s="135" t="str">
        <f>COVER!T25</f>
        <v>joel@hopkinsoffice.com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210410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210410</v>
      </c>
      <c r="D92" s="2" t="str">
        <f t="shared" si="0"/>
        <v>Error?</v>
      </c>
      <c r="G92" s="1899">
        <v>102640600</v>
      </c>
    </row>
    <row r="93" spans="1:7" ht="15" x14ac:dyDescent="0.25">
      <c r="A93" s="5">
        <v>32</v>
      </c>
      <c r="B93" s="1832">
        <f>'Assets-Liab 5-6'!C41</f>
        <v>210410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19827</v>
      </c>
      <c r="D274" s="2" t="str">
        <f t="shared" si="3"/>
        <v>Error?</v>
      </c>
    </row>
    <row r="275" spans="1:4" x14ac:dyDescent="0.2">
      <c r="A275" s="5">
        <v>214</v>
      </c>
      <c r="B275" s="1832">
        <f>'Assets-Liab 5-6'!M18</f>
        <v>0</v>
      </c>
      <c r="D275" s="2" t="str">
        <f t="shared" si="3"/>
        <v>Error?</v>
      </c>
    </row>
    <row r="276" spans="1:4" x14ac:dyDescent="0.2">
      <c r="A276" s="5">
        <v>215</v>
      </c>
      <c r="B276" s="1832">
        <f>'Assets-Liab 5-6'!M19</f>
        <v>211586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231413</v>
      </c>
      <c r="C279" s="2" t="s">
        <v>569</v>
      </c>
      <c r="D279" s="2" t="str">
        <f t="shared" si="3"/>
        <v>Error?</v>
      </c>
    </row>
    <row r="280" spans="1:4" x14ac:dyDescent="0.2">
      <c r="A280" s="5">
        <v>219</v>
      </c>
      <c r="B280" s="1832">
        <f>'Assets-Liab 5-6'!M40</f>
        <v>231413</v>
      </c>
      <c r="D280" s="2" t="str">
        <f t="shared" si="3"/>
        <v>Error?</v>
      </c>
    </row>
    <row r="281" spans="1:4" x14ac:dyDescent="0.2">
      <c r="A281" s="5">
        <v>220</v>
      </c>
      <c r="B281" s="1832">
        <f>'Assets-Liab 5-6'!M41</f>
        <v>231413</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17672</v>
      </c>
      <c r="C720" s="2" t="s">
        <v>569</v>
      </c>
      <c r="D720" s="2" t="str">
        <f t="shared" si="10"/>
        <v>Error?</v>
      </c>
    </row>
    <row r="721" spans="1:4" x14ac:dyDescent="0.2">
      <c r="A721" s="5">
        <v>660</v>
      </c>
      <c r="B721" s="1832">
        <f>'Expenditures 15-22'!C36</f>
        <v>546424</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461126</v>
      </c>
      <c r="D723" s="2" t="str">
        <f t="shared" si="10"/>
        <v>Error?</v>
      </c>
    </row>
    <row r="724" spans="1:4" x14ac:dyDescent="0.2">
      <c r="A724" s="5">
        <v>663</v>
      </c>
      <c r="B724" s="1832">
        <f>'Expenditures 15-22'!C39</f>
        <v>472561</v>
      </c>
      <c r="D724" s="2" t="str">
        <f t="shared" si="10"/>
        <v>Error?</v>
      </c>
    </row>
    <row r="725" spans="1:4" x14ac:dyDescent="0.2">
      <c r="A725" s="5">
        <v>664</v>
      </c>
      <c r="B725" s="1832">
        <f>'Expenditures 15-22'!C40</f>
        <v>15191</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1495302</v>
      </c>
      <c r="C727" s="2" t="s">
        <v>569</v>
      </c>
      <c r="D727" s="2" t="str">
        <f t="shared" si="10"/>
        <v>Error?</v>
      </c>
    </row>
    <row r="728" spans="1:4" x14ac:dyDescent="0.2">
      <c r="A728" s="5">
        <v>667</v>
      </c>
      <c r="B728" s="1832">
        <f>'Expenditures 15-22'!C44</f>
        <v>96840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96840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117482</v>
      </c>
      <c r="D733" s="2" t="str">
        <f t="shared" si="10"/>
        <v>Error?</v>
      </c>
    </row>
    <row r="734" spans="1:4" x14ac:dyDescent="0.2">
      <c r="A734" s="5">
        <v>673</v>
      </c>
      <c r="B734" s="1832">
        <f>'Expenditures 15-22'!C53</f>
        <v>525024</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47460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47460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2164626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2182298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2617</v>
      </c>
      <c r="C778" s="2" t="s">
        <v>569</v>
      </c>
      <c r="D778" s="2" t="str">
        <f t="shared" si="11"/>
        <v>Error?</v>
      </c>
    </row>
    <row r="779" spans="1:4" x14ac:dyDescent="0.2">
      <c r="A779" s="5">
        <v>718</v>
      </c>
      <c r="B779" s="1832">
        <f>'Expenditures 15-22'!D36</f>
        <v>96503</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117925</v>
      </c>
      <c r="D781" s="2" t="str">
        <f t="shared" si="11"/>
        <v>Error?</v>
      </c>
    </row>
    <row r="782" spans="1:4" x14ac:dyDescent="0.2">
      <c r="A782" s="5">
        <v>721</v>
      </c>
      <c r="B782" s="1832">
        <f>'Expenditures 15-22'!D39</f>
        <v>74898</v>
      </c>
      <c r="D782" s="2" t="str">
        <f t="shared" si="11"/>
        <v>Error?</v>
      </c>
    </row>
    <row r="783" spans="1:4" x14ac:dyDescent="0.2">
      <c r="A783" s="5">
        <v>722</v>
      </c>
      <c r="B783" s="1832">
        <f>'Expenditures 15-22'!D40</f>
        <v>2983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292309</v>
      </c>
      <c r="C785" s="2" t="s">
        <v>569</v>
      </c>
      <c r="D785" s="2" t="str">
        <f t="shared" si="11"/>
        <v>Error?</v>
      </c>
    </row>
    <row r="786" spans="1:4" x14ac:dyDescent="0.2">
      <c r="A786" s="5">
        <v>725</v>
      </c>
      <c r="B786" s="1832">
        <f>'Expenditures 15-22'!D44</f>
        <v>18763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18763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37116</v>
      </c>
      <c r="D791" s="2" t="str">
        <f t="shared" si="11"/>
        <v>Error?</v>
      </c>
    </row>
    <row r="792" spans="1:4" x14ac:dyDescent="0.2">
      <c r="A792" s="5">
        <v>731</v>
      </c>
      <c r="B792" s="1832">
        <f>'Expenditures 15-22'!D53</f>
        <v>108203</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10848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10848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430123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432740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0</v>
      </c>
      <c r="C836" s="2" t="s">
        <v>569</v>
      </c>
      <c r="D836" s="2" t="str">
        <f t="shared" si="12"/>
        <v>Error?</v>
      </c>
    </row>
    <row r="837" spans="1:4" x14ac:dyDescent="0.2">
      <c r="A837" s="5">
        <v>776</v>
      </c>
      <c r="B837" s="1832">
        <f>'Expenditures 15-22'!E36</f>
        <v>18584</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16946</v>
      </c>
      <c r="D839" s="2" t="str">
        <f t="shared" si="12"/>
        <v>Error?</v>
      </c>
    </row>
    <row r="840" spans="1:4" x14ac:dyDescent="0.2">
      <c r="A840" s="5">
        <v>779</v>
      </c>
      <c r="B840" s="1832">
        <f>'Expenditures 15-22'!E39</f>
        <v>22776</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58306</v>
      </c>
      <c r="C843" s="2" t="s">
        <v>569</v>
      </c>
      <c r="D843" s="2" t="str">
        <f t="shared" si="12"/>
        <v>Error?</v>
      </c>
    </row>
    <row r="844" spans="1:4" x14ac:dyDescent="0.2">
      <c r="A844" s="5">
        <v>783</v>
      </c>
      <c r="B844" s="1832">
        <f>'Expenditures 15-22'!E44</f>
        <v>48348</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48348</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36877</v>
      </c>
      <c r="D849" s="2" t="str">
        <f t="shared" si="12"/>
        <v>Error?</v>
      </c>
    </row>
    <row r="850" spans="1:4" x14ac:dyDescent="0.2">
      <c r="A850" s="5">
        <v>789</v>
      </c>
      <c r="B850" s="1832">
        <f>'Expenditures 15-22'!E53</f>
        <v>62166</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6492</v>
      </c>
      <c r="D855" s="2" t="str">
        <f t="shared" si="12"/>
        <v>Error?</v>
      </c>
    </row>
    <row r="856" spans="1:4" x14ac:dyDescent="0.2">
      <c r="A856" s="5">
        <v>795</v>
      </c>
      <c r="B856" s="1832">
        <f>'Expenditures 15-22'!E61</f>
        <v>45084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5042</v>
      </c>
      <c r="D859" s="2" t="str">
        <f t="shared" si="12"/>
        <v>Error?</v>
      </c>
    </row>
    <row r="860" spans="1:4" x14ac:dyDescent="0.2">
      <c r="A860" s="10">
        <v>799</v>
      </c>
      <c r="B860" s="1832"/>
      <c r="D860" s="2" t="str">
        <f t="shared" si="12"/>
        <v>OK</v>
      </c>
    </row>
    <row r="861" spans="1:4" x14ac:dyDescent="0.2">
      <c r="A861" s="5">
        <v>800</v>
      </c>
      <c r="B861" s="1832">
        <f>'Expenditures 15-22'!E65</f>
        <v>56618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225438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225438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0</v>
      </c>
      <c r="C894" s="2" t="s">
        <v>569</v>
      </c>
      <c r="D894" s="2" t="str">
        <f t="shared" si="12"/>
        <v>Error?</v>
      </c>
    </row>
    <row r="895" spans="1:4" x14ac:dyDescent="0.2">
      <c r="A895" s="5">
        <v>834</v>
      </c>
      <c r="B895" s="1832">
        <f>'Expenditures 15-22'!F36</f>
        <v>1500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3000</v>
      </c>
      <c r="D897" s="2" t="str">
        <f t="shared" si="13"/>
        <v>Error?</v>
      </c>
    </row>
    <row r="898" spans="1:4" x14ac:dyDescent="0.2">
      <c r="A898" s="5">
        <v>837</v>
      </c>
      <c r="B898" s="1832">
        <f>'Expenditures 15-22'!F39</f>
        <v>5000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9500</v>
      </c>
      <c r="C901" s="2" t="s">
        <v>569</v>
      </c>
      <c r="D901" s="2" t="str">
        <f t="shared" si="13"/>
        <v>Error?</v>
      </c>
    </row>
    <row r="902" spans="1:4" x14ac:dyDescent="0.2">
      <c r="A902" s="5">
        <v>841</v>
      </c>
      <c r="B902" s="1832">
        <f>'Expenditures 15-22'!F44</f>
        <v>391</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391</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9000</v>
      </c>
      <c r="D907" s="2" t="str">
        <f t="shared" si="13"/>
        <v>Error?</v>
      </c>
    </row>
    <row r="908" spans="1:4" x14ac:dyDescent="0.2">
      <c r="A908" s="5">
        <v>847</v>
      </c>
      <c r="B908" s="1832">
        <f>'Expenditures 15-22'!F53</f>
        <v>9000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3000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3000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21891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21891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2837</v>
      </c>
      <c r="D965" s="2" t="str">
        <f t="shared" si="14"/>
        <v>Error?</v>
      </c>
    </row>
    <row r="966" spans="1:4" x14ac:dyDescent="0.2">
      <c r="A966" s="5">
        <v>905</v>
      </c>
      <c r="B966" s="1832">
        <f>'Expenditures 15-22'!G53</f>
        <v>2837</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2837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2837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1201</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1201</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4505</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4505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5706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13130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18836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1975</v>
      </c>
      <c r="E1056" s="4" t="s">
        <v>1974</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20289</v>
      </c>
      <c r="C1108" s="2" t="s">
        <v>569</v>
      </c>
      <c r="D1108" s="2" t="str">
        <f t="shared" si="16"/>
        <v>Error?</v>
      </c>
    </row>
    <row r="1109" spans="1:4" x14ac:dyDescent="0.2">
      <c r="A1109" s="5">
        <v>1048</v>
      </c>
      <c r="B1109" s="1832">
        <f>'Expenditures 15-22'!K36</f>
        <v>663011</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598997</v>
      </c>
      <c r="C1111" s="2" t="s">
        <v>569</v>
      </c>
      <c r="D1111" s="2" t="str">
        <f t="shared" si="16"/>
        <v>Error?</v>
      </c>
    </row>
    <row r="1112" spans="1:4" x14ac:dyDescent="0.2">
      <c r="A1112" s="5">
        <v>1051</v>
      </c>
      <c r="B1112" s="1832">
        <f>'Expenditures 15-22'!K39</f>
        <v>575235</v>
      </c>
      <c r="C1112" s="2" t="s">
        <v>569</v>
      </c>
      <c r="D1112" s="2" t="str">
        <f t="shared" si="16"/>
        <v>Error?</v>
      </c>
    </row>
    <row r="1113" spans="1:4" x14ac:dyDescent="0.2">
      <c r="A1113" s="5">
        <v>1052</v>
      </c>
      <c r="B1113" s="1832">
        <f>'Expenditures 15-22'!K40</f>
        <v>18174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1855417</v>
      </c>
      <c r="C1115" s="2" t="s">
        <v>569</v>
      </c>
      <c r="D1115" s="2" t="str">
        <f t="shared" si="16"/>
        <v>Error?</v>
      </c>
    </row>
    <row r="1116" spans="1:4" x14ac:dyDescent="0.2">
      <c r="A1116" s="5">
        <v>1055</v>
      </c>
      <c r="B1116" s="1832">
        <f>'Expenditures 15-22'!K44</f>
        <v>164342</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164342</v>
      </c>
      <c r="C1119" s="2" t="s">
        <v>569</v>
      </c>
      <c r="D1119" s="2" t="str">
        <f t="shared" si="16"/>
        <v>Error?</v>
      </c>
    </row>
    <row r="1120" spans="1:4" x14ac:dyDescent="0.2">
      <c r="A1120" s="5">
        <v>1059</v>
      </c>
      <c r="B1120" s="1832">
        <f>'Expenditures 15-22'!K49</f>
        <v>1201</v>
      </c>
      <c r="C1120" s="2" t="s">
        <v>569</v>
      </c>
      <c r="D1120" s="2" t="str">
        <f t="shared" si="16"/>
        <v>Error?</v>
      </c>
    </row>
    <row r="1121" spans="1:4" x14ac:dyDescent="0.2">
      <c r="A1121" s="5">
        <v>1060</v>
      </c>
      <c r="B1121" s="1832">
        <f>'Expenditures 15-22'!K50</f>
        <v>203312</v>
      </c>
      <c r="C1121" s="2" t="s">
        <v>569</v>
      </c>
      <c r="D1121" s="2" t="str">
        <f t="shared" si="16"/>
        <v>Error?</v>
      </c>
    </row>
    <row r="1122" spans="1:4" x14ac:dyDescent="0.2">
      <c r="A1122" s="5">
        <v>1061</v>
      </c>
      <c r="B1122" s="1832">
        <f>'Expenditures 15-22'!K53</f>
        <v>708431</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4505</v>
      </c>
      <c r="C1126" s="2" t="s">
        <v>569</v>
      </c>
      <c r="D1126" s="2" t="str">
        <f t="shared" si="16"/>
        <v>Error?</v>
      </c>
    </row>
    <row r="1127" spans="1:4" x14ac:dyDescent="0.2">
      <c r="A1127" s="5">
        <v>1066</v>
      </c>
      <c r="B1127" s="1832">
        <f>'Expenditures 15-22'!K60</f>
        <v>67800</v>
      </c>
      <c r="C1127" s="2" t="s">
        <v>569</v>
      </c>
      <c r="D1127" s="2" t="str">
        <f t="shared" si="16"/>
        <v>Error?</v>
      </c>
    </row>
    <row r="1128" spans="1:4" x14ac:dyDescent="0.2">
      <c r="A1128" s="5">
        <v>1067</v>
      </c>
      <c r="B1128" s="1832">
        <f>'Expenditures 15-22'!K61</f>
        <v>45084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5042</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122431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2850621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13130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2884040</v>
      </c>
      <c r="C1152" s="2" t="s">
        <v>569</v>
      </c>
      <c r="D1152" s="2" t="str">
        <f t="shared" si="17"/>
        <v>Error?</v>
      </c>
    </row>
    <row r="1153" spans="1:4" x14ac:dyDescent="0.2">
      <c r="A1153" s="5">
        <v>1092</v>
      </c>
      <c r="B1153" s="1832">
        <f>'Expenditures 15-22'!K115</f>
        <v>-83123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293533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210410</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19827</v>
      </c>
      <c r="D2010" s="2" t="str">
        <f t="shared" si="30"/>
        <v>Error?</v>
      </c>
    </row>
    <row r="2011" spans="1:4" x14ac:dyDescent="0.2">
      <c r="A2011" s="5">
        <v>1950</v>
      </c>
      <c r="B2011" s="1832">
        <f>'Cap Outlay Deprec 26'!C12</f>
        <v>113041</v>
      </c>
      <c r="D2011" s="2" t="str">
        <f t="shared" si="30"/>
        <v>Error?</v>
      </c>
    </row>
    <row r="2012" spans="1:4" x14ac:dyDescent="0.2">
      <c r="A2012" s="5">
        <v>1951</v>
      </c>
      <c r="B2012" s="1832">
        <f>'Cap Outlay Deprec 26'!C13</f>
        <v>95708</v>
      </c>
      <c r="D2012" s="2" t="str">
        <f t="shared" si="30"/>
        <v>Error?</v>
      </c>
    </row>
    <row r="2013" spans="1:4" x14ac:dyDescent="0.2">
      <c r="A2013" s="5">
        <v>1952</v>
      </c>
      <c r="B2013" s="1832">
        <f>'Cap Outlay Deprec 26'!C16</f>
        <v>228576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2837</v>
      </c>
      <c r="D2018" s="2" t="str">
        <f t="shared" si="30"/>
        <v>Error?</v>
      </c>
    </row>
    <row r="2019" spans="1:4" x14ac:dyDescent="0.2">
      <c r="A2019" s="5">
        <v>1958</v>
      </c>
      <c r="B2019" s="1832">
        <f>'Cap Outlay Deprec 26'!D16</f>
        <v>2837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19827</v>
      </c>
      <c r="C2028" s="2" t="s">
        <v>569</v>
      </c>
      <c r="D2028" s="2" t="str">
        <f t="shared" si="30"/>
        <v>Error?</v>
      </c>
    </row>
    <row r="2029" spans="1:4" x14ac:dyDescent="0.2">
      <c r="A2029" s="5">
        <v>1968</v>
      </c>
      <c r="B2029" s="1832">
        <f>'Cap Outlay Deprec 26'!F12</f>
        <v>113041</v>
      </c>
      <c r="C2029" s="2" t="s">
        <v>569</v>
      </c>
      <c r="D2029" s="2" t="str">
        <f t="shared" si="30"/>
        <v>Error?</v>
      </c>
    </row>
    <row r="2030" spans="1:4" x14ac:dyDescent="0.2">
      <c r="A2030" s="5">
        <v>1969</v>
      </c>
      <c r="B2030" s="1832">
        <f>'Cap Outlay Deprec 26'!F13</f>
        <v>98545</v>
      </c>
      <c r="C2030" s="2" t="s">
        <v>569</v>
      </c>
      <c r="D2030" s="2" t="str">
        <f t="shared" si="30"/>
        <v>Error?</v>
      </c>
    </row>
    <row r="2031" spans="1:4" x14ac:dyDescent="0.2">
      <c r="A2031" s="5">
        <v>1970</v>
      </c>
      <c r="B2031" s="1832">
        <f>'Cap Outlay Deprec 26'!F16</f>
        <v>231413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7931</v>
      </c>
      <c r="D2034" s="2" t="str">
        <f t="shared" si="30"/>
        <v>Error?</v>
      </c>
    </row>
    <row r="2035" spans="1:4" x14ac:dyDescent="0.2">
      <c r="A2035" s="5">
        <v>1974</v>
      </c>
      <c r="B2035" s="1832">
        <f>'Cap Outlay Deprec 26'!H12</f>
        <v>111741</v>
      </c>
      <c r="D2035" s="2" t="str">
        <f t="shared" si="30"/>
        <v>Error?</v>
      </c>
    </row>
    <row r="2036" spans="1:4" x14ac:dyDescent="0.2">
      <c r="A2036" s="5">
        <v>1975</v>
      </c>
      <c r="B2036" s="1832">
        <f>'Cap Outlay Deprec 26'!H13</f>
        <v>83546</v>
      </c>
      <c r="D2036" s="2" t="str">
        <f t="shared" si="30"/>
        <v>Error?</v>
      </c>
    </row>
    <row r="2037" spans="1:4" x14ac:dyDescent="0.2">
      <c r="A2037" s="5">
        <v>1976</v>
      </c>
      <c r="B2037" s="1832">
        <f>'Cap Outlay Deprec 26'!H16</f>
        <v>203218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1322</v>
      </c>
      <c r="D2040" s="2" t="str">
        <f t="shared" si="30"/>
        <v>Error?</v>
      </c>
    </row>
    <row r="2041" spans="1:4" x14ac:dyDescent="0.2">
      <c r="A2041" s="5">
        <v>1980</v>
      </c>
      <c r="B2041" s="1832">
        <f>'Cap Outlay Deprec 26'!I12</f>
        <v>470</v>
      </c>
      <c r="D2041" s="2" t="str">
        <f t="shared" si="30"/>
        <v>Error?</v>
      </c>
    </row>
    <row r="2042" spans="1:4" x14ac:dyDescent="0.2">
      <c r="A2042" s="5">
        <v>1981</v>
      </c>
      <c r="B2042" s="1832">
        <f>'Cap Outlay Deprec 26'!I13</f>
        <v>4836</v>
      </c>
      <c r="D2042" s="2" t="str">
        <f t="shared" si="30"/>
        <v>Error?</v>
      </c>
    </row>
    <row r="2043" spans="1:4" x14ac:dyDescent="0.2">
      <c r="A2043" s="5">
        <v>1982</v>
      </c>
      <c r="B2043" s="1832">
        <f>'Cap Outlay Deprec 26'!I16</f>
        <v>6628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9253</v>
      </c>
      <c r="C2052" s="2" t="s">
        <v>569</v>
      </c>
      <c r="D2052" s="2" t="str">
        <f t="shared" si="31"/>
        <v>Error?</v>
      </c>
    </row>
    <row r="2053" spans="1:4" x14ac:dyDescent="0.2">
      <c r="A2053" s="5">
        <v>1992</v>
      </c>
      <c r="B2053" s="1832">
        <f>'Cap Outlay Deprec 26'!K12</f>
        <v>112211</v>
      </c>
      <c r="C2053" s="2" t="s">
        <v>569</v>
      </c>
      <c r="D2053" s="2" t="str">
        <f t="shared" si="31"/>
        <v>Error?</v>
      </c>
    </row>
    <row r="2054" spans="1:4" x14ac:dyDescent="0.2">
      <c r="A2054" s="5">
        <v>1993</v>
      </c>
      <c r="B2054" s="1832">
        <f>'Cap Outlay Deprec 26'!K13</f>
        <v>88382</v>
      </c>
      <c r="C2054" s="2" t="s">
        <v>569</v>
      </c>
      <c r="D2054" s="2" t="str">
        <f t="shared" si="31"/>
        <v>Error?</v>
      </c>
    </row>
    <row r="2055" spans="1:4" x14ac:dyDescent="0.2">
      <c r="A2055" s="5">
        <v>1994</v>
      </c>
      <c r="B2055" s="1832">
        <f>'Cap Outlay Deprec 26'!K16</f>
        <v>209846</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10574</v>
      </c>
      <c r="C2058" s="2" t="s">
        <v>569</v>
      </c>
      <c r="D2058" s="2" t="str">
        <f t="shared" si="31"/>
        <v>Error?</v>
      </c>
    </row>
    <row r="2059" spans="1:4" x14ac:dyDescent="0.2">
      <c r="A2059" s="5">
        <v>1998</v>
      </c>
      <c r="B2059" s="1832">
        <f>'Cap Outlay Deprec 26'!L12</f>
        <v>830</v>
      </c>
      <c r="C2059" s="2" t="s">
        <v>569</v>
      </c>
      <c r="D2059" s="2" t="str">
        <f t="shared" si="31"/>
        <v>Error?</v>
      </c>
    </row>
    <row r="2060" spans="1:4" x14ac:dyDescent="0.2">
      <c r="A2060" s="5">
        <v>1999</v>
      </c>
      <c r="B2060" s="1832">
        <f>'Cap Outlay Deprec 26'!L13</f>
        <v>10163</v>
      </c>
      <c r="C2060" s="2" t="s">
        <v>569</v>
      </c>
      <c r="D2060" s="2" t="str">
        <f t="shared" si="31"/>
        <v>Error?</v>
      </c>
    </row>
    <row r="2061" spans="1:4" x14ac:dyDescent="0.2">
      <c r="A2061" s="5">
        <v>2000</v>
      </c>
      <c r="B2061" s="1832">
        <f>'Cap Outlay Deprec 26'!L16</f>
        <v>21567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13130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13130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681379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260370</v>
      </c>
      <c r="C2553" s="2" t="s">
        <v>569</v>
      </c>
      <c r="D2553" s="2" t="str">
        <f t="shared" si="38"/>
        <v>Error?</v>
      </c>
    </row>
    <row r="2554" spans="1:4" x14ac:dyDescent="0.2">
      <c r="A2554" s="5">
        <v>2493</v>
      </c>
      <c r="B2554" s="1832">
        <f>'Acct Summary 7-8'!C7</f>
        <v>1859168</v>
      </c>
      <c r="C2554" s="2" t="s">
        <v>569</v>
      </c>
      <c r="D2554" s="2" t="str">
        <f t="shared" si="38"/>
        <v>Error?</v>
      </c>
    </row>
    <row r="2555" spans="1:4" x14ac:dyDescent="0.2">
      <c r="A2555" s="5">
        <v>2494</v>
      </c>
      <c r="B2555" s="1832">
        <f>'Acct Summary 7-8'!C8</f>
        <v>2800917</v>
      </c>
      <c r="C2555" s="2" t="s">
        <v>569</v>
      </c>
      <c r="D2555" s="2" t="str">
        <f t="shared" si="38"/>
        <v>Error?</v>
      </c>
    </row>
    <row r="2556" spans="1:4" x14ac:dyDescent="0.2">
      <c r="A2556" s="5">
        <v>2495</v>
      </c>
      <c r="B2556" s="1832">
        <f>'Acct Summary 7-8'!C12</f>
        <v>20289</v>
      </c>
      <c r="C2556" s="2" t="s">
        <v>569</v>
      </c>
      <c r="D2556" s="2" t="str">
        <f t="shared" si="38"/>
        <v>Error?</v>
      </c>
    </row>
    <row r="2557" spans="1:4" x14ac:dyDescent="0.2">
      <c r="A2557" s="5">
        <v>2496</v>
      </c>
      <c r="B2557" s="1832">
        <f>'Acct Summary 7-8'!C13</f>
        <v>2850621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13130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2884040</v>
      </c>
      <c r="C2561" s="2" t="s">
        <v>569</v>
      </c>
      <c r="D2561" s="2" t="str">
        <f t="shared" si="39"/>
        <v>Error?</v>
      </c>
    </row>
    <row r="2562" spans="1:4" x14ac:dyDescent="0.2">
      <c r="A2562" s="5">
        <v>2501</v>
      </c>
      <c r="B2562" s="1832">
        <f>'Acct Summary 7-8'!C20</f>
        <v>-83123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407542</v>
      </c>
      <c r="D2718" s="2" t="str">
        <f t="shared" si="41"/>
        <v>Error?</v>
      </c>
    </row>
    <row r="2719" spans="1:4" x14ac:dyDescent="0.2">
      <c r="A2719" s="5">
        <v>2658</v>
      </c>
      <c r="B2719" s="1832">
        <f>'Expenditures 15-22'!D51</f>
        <v>71087</v>
      </c>
      <c r="D2719" s="2" t="str">
        <f t="shared" si="41"/>
        <v>Error?</v>
      </c>
    </row>
    <row r="2720" spans="1:4" x14ac:dyDescent="0.2">
      <c r="A2720" s="5">
        <v>2659</v>
      </c>
      <c r="B2720" s="1832">
        <f>'Expenditures 15-22'!E51</f>
        <v>21591</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500220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1975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9523</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3607</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9523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3607</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1975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-83123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17672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2617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20289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210410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1975</v>
      </c>
      <c r="E3521" s="4" t="s">
        <v>134</v>
      </c>
    </row>
    <row r="3522" spans="1:5" x14ac:dyDescent="0.2">
      <c r="A3522" s="10">
        <v>3461</v>
      </c>
      <c r="B3522" s="1832"/>
      <c r="D3522" s="4" t="s">
        <v>1975</v>
      </c>
      <c r="E3522" s="4" t="s">
        <v>134</v>
      </c>
    </row>
    <row r="3523" spans="1:5" x14ac:dyDescent="0.2">
      <c r="A3523" s="10">
        <v>3462</v>
      </c>
      <c r="B3523" s="1832"/>
      <c r="D3523" s="4" t="s">
        <v>1975</v>
      </c>
      <c r="E3523" s="4" t="s">
        <v>134</v>
      </c>
    </row>
    <row r="3524" spans="1:5" x14ac:dyDescent="0.2">
      <c r="A3524" s="10">
        <v>3463</v>
      </c>
      <c r="B3524" s="1832"/>
      <c r="D3524" s="4" t="s">
        <v>1975</v>
      </c>
      <c r="E3524" s="4" t="s">
        <v>134</v>
      </c>
    </row>
    <row r="3525" spans="1:5" x14ac:dyDescent="0.2">
      <c r="A3525" s="10">
        <v>3464</v>
      </c>
      <c r="B3525" s="1832"/>
      <c r="D3525" s="4" t="s">
        <v>1975</v>
      </c>
      <c r="E3525" s="4" t="s">
        <v>134</v>
      </c>
    </row>
    <row r="3526" spans="1:5" x14ac:dyDescent="0.2">
      <c r="A3526" s="10">
        <v>3465</v>
      </c>
      <c r="B3526" s="1832"/>
      <c r="D3526" s="4" t="s">
        <v>1975</v>
      </c>
      <c r="E3526" s="4" t="s">
        <v>134</v>
      </c>
    </row>
    <row r="3527" spans="1:5" x14ac:dyDescent="0.2">
      <c r="A3527" s="10">
        <v>3466</v>
      </c>
      <c r="B3527" s="1832"/>
      <c r="D3527" s="4" t="s">
        <v>1975</v>
      </c>
      <c r="E3527" s="4" t="s">
        <v>134</v>
      </c>
    </row>
    <row r="3528" spans="1:5" x14ac:dyDescent="0.2">
      <c r="A3528" s="10">
        <v>3467</v>
      </c>
      <c r="B3528" s="1832"/>
      <c r="D3528" s="4" t="s">
        <v>1975</v>
      </c>
      <c r="E3528" s="4" t="s">
        <v>134</v>
      </c>
    </row>
    <row r="3529" spans="1:5" x14ac:dyDescent="0.2">
      <c r="A3529" s="10">
        <v>3468</v>
      </c>
      <c r="B3529" s="1832"/>
      <c r="D3529" s="4" t="s">
        <v>1975</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1325441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4126358</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1325441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4209481</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1877</v>
      </c>
    </row>
    <row r="4236" spans="1:5" x14ac:dyDescent="0.2">
      <c r="A4236" s="10">
        <v>4175</v>
      </c>
      <c r="B4236" s="1832"/>
      <c r="D4236" s="2" t="str">
        <f t="shared" si="65"/>
        <v>OK</v>
      </c>
      <c r="E4236" s="4" t="s">
        <v>1877</v>
      </c>
    </row>
    <row r="4237" spans="1:5" x14ac:dyDescent="0.2">
      <c r="A4237" s="10">
        <v>4176</v>
      </c>
      <c r="B4237" s="1832"/>
      <c r="D4237" s="2" t="str">
        <f t="shared" si="65"/>
        <v>OK</v>
      </c>
      <c r="E4237" s="4" t="s">
        <v>1877</v>
      </c>
    </row>
    <row r="4238" spans="1:5" x14ac:dyDescent="0.2">
      <c r="A4238" s="10">
        <v>4177</v>
      </c>
      <c r="B4238" s="1832"/>
      <c r="D4238" s="2" t="str">
        <f t="shared" si="65"/>
        <v>OK</v>
      </c>
      <c r="E4238" s="4" t="s">
        <v>1877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210410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93864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64347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1877</v>
      </c>
    </row>
    <row r="4400" spans="1:5" x14ac:dyDescent="0.2">
      <c r="A4400" s="10">
        <v>4339</v>
      </c>
      <c r="B4400" s="1832"/>
      <c r="D4400" s="2" t="str">
        <f t="shared" si="67"/>
        <v>OK</v>
      </c>
      <c r="E4400" s="4" t="s">
        <v>1877</v>
      </c>
    </row>
    <row r="4401" spans="1:5" x14ac:dyDescent="0.2">
      <c r="A4401" s="10">
        <v>4340</v>
      </c>
      <c r="B4401" s="1832"/>
      <c r="D4401" s="2" t="str">
        <f t="shared" si="67"/>
        <v>OK</v>
      </c>
      <c r="E4401" s="4" t="s">
        <v>1877</v>
      </c>
    </row>
    <row r="4402" spans="1:5" x14ac:dyDescent="0.2">
      <c r="A4402" s="10">
        <v>4341</v>
      </c>
      <c r="B4402" s="1832"/>
      <c r="D4402" s="2" t="str">
        <f t="shared" si="67"/>
        <v>OK</v>
      </c>
      <c r="E4402" s="4" t="s">
        <v>1877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656751</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2049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2049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16774</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5805</v>
      </c>
      <c r="D5119" s="2" t="str">
        <f t="shared" ref="D5119:D5182" si="79">IF(ISBLANK(B5119),"OK",IF(A5119-B5119=0,"OK","Error?"))</f>
        <v>Error?</v>
      </c>
    </row>
    <row r="5120" spans="1:4" x14ac:dyDescent="0.2">
      <c r="A5120" s="5">
        <v>5059</v>
      </c>
      <c r="B5120" s="1832">
        <f>'Revenues 9-14'!C108</f>
        <v>679330</v>
      </c>
      <c r="C5120" s="2" t="s">
        <v>569</v>
      </c>
      <c r="D5120" s="2" t="str">
        <f t="shared" si="79"/>
        <v>Error?</v>
      </c>
    </row>
    <row r="5121" spans="1:4" x14ac:dyDescent="0.2">
      <c r="A5121" s="5">
        <v>5060</v>
      </c>
      <c r="B5121" s="1832">
        <f>'Revenues 9-14'!C109</f>
        <v>681379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260370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260370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1877</v>
      </c>
    </row>
    <row r="5200" spans="1:5" x14ac:dyDescent="0.2">
      <c r="A5200" s="10">
        <v>5139</v>
      </c>
      <c r="B5200" s="1832"/>
      <c r="D5200" s="2" t="str">
        <f t="shared" si="80"/>
        <v>OK</v>
      </c>
      <c r="E5200" s="4" t="s">
        <v>1877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260370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260370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1877</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78606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1622351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1700957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1877</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1859168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1859168</v>
      </c>
      <c r="C5326" s="2" t="s">
        <v>569</v>
      </c>
      <c r="D5326" s="2" t="str">
        <f t="shared" si="82"/>
        <v>Error?</v>
      </c>
    </row>
    <row r="5327" spans="1:5" x14ac:dyDescent="0.2">
      <c r="A5327" s="5">
        <v>5266</v>
      </c>
      <c r="B5327" s="1832">
        <f>'Revenues 9-14'!C268</f>
        <v>2800917</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1877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1877</v>
      </c>
    </row>
    <row r="5631" spans="1:5" x14ac:dyDescent="0.2">
      <c r="A5631" s="10">
        <v>5570</v>
      </c>
      <c r="B5631" s="1832"/>
      <c r="D5631" s="2" t="str">
        <f t="shared" ref="D5631:D5694" si="87">IF(ISBLANK(B5631),"OK",IF(A5631-B5631=0,"OK","Error?"))</f>
        <v>OK</v>
      </c>
      <c r="E5631" s="4" t="s">
        <v>1877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1877</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1877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1877</v>
      </c>
    </row>
    <row r="5768" spans="1:5" x14ac:dyDescent="0.2">
      <c r="A5768" s="10">
        <v>5707</v>
      </c>
      <c r="B5768" s="1832"/>
      <c r="D5768" s="2" t="str">
        <f t="shared" si="89"/>
        <v>OK</v>
      </c>
      <c r="E5768" s="4" t="s">
        <v>1877</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1877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1877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-83123</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-0.39505251651537476</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1876</v>
      </c>
    </row>
    <row r="6383" spans="1:6" x14ac:dyDescent="0.2">
      <c r="A6383" s="126">
        <v>6322</v>
      </c>
      <c r="B6383" s="1832"/>
      <c r="D6383" s="2" t="str">
        <f t="shared" si="98"/>
        <v>OK</v>
      </c>
      <c r="E6383" s="2" t="s">
        <v>189</v>
      </c>
      <c r="F6383" s="1" t="s">
        <v>1876</v>
      </c>
    </row>
    <row r="6384" spans="1:6" x14ac:dyDescent="0.2">
      <c r="A6384" s="126">
        <v>6323</v>
      </c>
      <c r="B6384" s="1832"/>
      <c r="D6384" s="2" t="str">
        <f t="shared" si="98"/>
        <v>OK</v>
      </c>
      <c r="E6384" s="2" t="s">
        <v>189</v>
      </c>
      <c r="F6384" s="1" t="s">
        <v>1876</v>
      </c>
    </row>
    <row r="6385" spans="1:6" x14ac:dyDescent="0.2">
      <c r="A6385" s="126">
        <v>6324</v>
      </c>
      <c r="B6385" s="1832"/>
      <c r="D6385" s="2" t="str">
        <f t="shared" si="98"/>
        <v>OK</v>
      </c>
      <c r="E6385" s="2" t="s">
        <v>189</v>
      </c>
      <c r="F6385" s="1" t="s">
        <v>1876</v>
      </c>
    </row>
    <row r="6386" spans="1:6" x14ac:dyDescent="0.2">
      <c r="A6386" s="126">
        <v>6325</v>
      </c>
      <c r="B6386" s="1832"/>
      <c r="D6386" s="2" t="str">
        <f t="shared" si="98"/>
        <v>OK</v>
      </c>
      <c r="E6386" s="2" t="s">
        <v>189</v>
      </c>
      <c r="F6386" s="1" t="s">
        <v>1876</v>
      </c>
    </row>
    <row r="6387" spans="1:6" x14ac:dyDescent="0.2">
      <c r="A6387" s="126">
        <v>6326</v>
      </c>
      <c r="B6387" s="1832"/>
      <c r="D6387" s="2" t="str">
        <f t="shared" si="98"/>
        <v>OK</v>
      </c>
      <c r="E6387" s="2" t="s">
        <v>189</v>
      </c>
      <c r="F6387" s="1" t="s">
        <v>1876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1876</v>
      </c>
    </row>
    <row r="6411" spans="1:6" x14ac:dyDescent="0.2">
      <c r="A6411" s="126">
        <v>6350</v>
      </c>
      <c r="B6411" s="1832"/>
      <c r="D6411" s="2" t="str">
        <f t="shared" si="99"/>
        <v>OK</v>
      </c>
      <c r="E6411" s="2" t="s">
        <v>189</v>
      </c>
      <c r="F6411" s="1" t="s">
        <v>1876</v>
      </c>
    </row>
    <row r="6412" spans="1:6" x14ac:dyDescent="0.2">
      <c r="A6412" s="126">
        <v>6351</v>
      </c>
      <c r="B6412" s="1832"/>
      <c r="D6412" s="2" t="str">
        <f t="shared" si="99"/>
        <v>OK</v>
      </c>
      <c r="E6412" s="2" t="s">
        <v>189</v>
      </c>
      <c r="F6412" s="1" t="s">
        <v>1876</v>
      </c>
    </row>
    <row r="6413" spans="1:6" x14ac:dyDescent="0.2">
      <c r="A6413" s="126">
        <v>6352</v>
      </c>
      <c r="B6413" s="1832"/>
      <c r="D6413" s="2" t="str">
        <f t="shared" si="99"/>
        <v>OK</v>
      </c>
      <c r="E6413" s="2" t="s">
        <v>189</v>
      </c>
      <c r="F6413" s="1" t="s">
        <v>1876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1972</v>
      </c>
    </row>
    <row r="6417" spans="1:5" x14ac:dyDescent="0.2">
      <c r="A6417" s="126">
        <v>6356</v>
      </c>
      <c r="B6417" s="1832"/>
      <c r="D6417" s="2" t="str">
        <f t="shared" si="99"/>
        <v>OK</v>
      </c>
      <c r="E6417" s="4" t="s">
        <v>1972</v>
      </c>
    </row>
    <row r="6418" spans="1:5" x14ac:dyDescent="0.2">
      <c r="A6418" s="126">
        <v>6357</v>
      </c>
      <c r="B6418" s="1832"/>
      <c r="D6418" s="2" t="str">
        <f t="shared" si="99"/>
        <v>OK</v>
      </c>
      <c r="E6418" s="4" t="s">
        <v>1972</v>
      </c>
    </row>
    <row r="6419" spans="1:5" x14ac:dyDescent="0.2">
      <c r="A6419" s="126">
        <v>6358</v>
      </c>
      <c r="B6419" s="1832"/>
      <c r="D6419" s="2" t="str">
        <f t="shared" si="99"/>
        <v>OK</v>
      </c>
      <c r="E6419" s="4" t="s">
        <v>1972</v>
      </c>
    </row>
    <row r="6420" spans="1:5" x14ac:dyDescent="0.2">
      <c r="A6420" s="126">
        <v>6359</v>
      </c>
      <c r="B6420" s="1832"/>
      <c r="D6420" s="2" t="str">
        <f t="shared" si="99"/>
        <v>OK</v>
      </c>
      <c r="E6420" s="4" t="s">
        <v>1972</v>
      </c>
    </row>
    <row r="6421" spans="1:5" x14ac:dyDescent="0.2">
      <c r="A6421" s="126">
        <v>6360</v>
      </c>
      <c r="B6421" s="1832"/>
      <c r="D6421" s="2" t="str">
        <f t="shared" si="99"/>
        <v>OK</v>
      </c>
      <c r="E6421" s="4" t="s">
        <v>1972</v>
      </c>
    </row>
    <row r="6422" spans="1:5" x14ac:dyDescent="0.2">
      <c r="A6422" s="126">
        <v>6361</v>
      </c>
      <c r="B6422" s="1832"/>
      <c r="D6422" s="2" t="str">
        <f t="shared" si="99"/>
        <v>OK</v>
      </c>
      <c r="E6422" s="4" t="s">
        <v>1972</v>
      </c>
    </row>
    <row r="6423" spans="1:5" x14ac:dyDescent="0.2">
      <c r="A6423" s="126">
        <v>6362</v>
      </c>
      <c r="B6423" s="1832"/>
      <c r="D6423" s="2" t="str">
        <f t="shared" si="99"/>
        <v>OK</v>
      </c>
      <c r="E6423" s="4" t="s">
        <v>1972</v>
      </c>
    </row>
    <row r="6424" spans="1:5" x14ac:dyDescent="0.2">
      <c r="A6424" s="126">
        <v>6363</v>
      </c>
      <c r="B6424" s="1832"/>
      <c r="D6424" s="2" t="str">
        <f t="shared" si="99"/>
        <v>OK</v>
      </c>
      <c r="E6424" s="4" t="s">
        <v>1972</v>
      </c>
    </row>
    <row r="6425" spans="1:5" x14ac:dyDescent="0.2">
      <c r="A6425" s="126">
        <v>6364</v>
      </c>
      <c r="B6425" s="1832"/>
      <c r="D6425" s="2" t="str">
        <f t="shared" si="99"/>
        <v>OK</v>
      </c>
      <c r="E6425" s="4" t="s">
        <v>1972</v>
      </c>
    </row>
    <row r="6426" spans="1:5" x14ac:dyDescent="0.2">
      <c r="A6426" s="126">
        <v>6365</v>
      </c>
      <c r="B6426" s="1832"/>
      <c r="D6426" s="2" t="str">
        <f t="shared" si="99"/>
        <v>OK</v>
      </c>
      <c r="E6426" s="4" t="s">
        <v>1972</v>
      </c>
    </row>
    <row r="6427" spans="1:5" x14ac:dyDescent="0.2">
      <c r="A6427" s="126">
        <v>6366</v>
      </c>
      <c r="B6427" s="1832"/>
      <c r="D6427" s="2" t="str">
        <f t="shared" si="99"/>
        <v>OK</v>
      </c>
      <c r="E6427" s="4" t="s">
        <v>1972</v>
      </c>
    </row>
    <row r="6428" spans="1:5" x14ac:dyDescent="0.2">
      <c r="A6428" s="126">
        <v>6367</v>
      </c>
      <c r="B6428" s="1832"/>
      <c r="D6428" s="2" t="str">
        <f t="shared" si="99"/>
        <v>OK</v>
      </c>
      <c r="E6428" s="4" t="s">
        <v>1972</v>
      </c>
    </row>
    <row r="6429" spans="1:5" x14ac:dyDescent="0.2">
      <c r="A6429" s="126">
        <v>6368</v>
      </c>
      <c r="B6429" s="1832"/>
      <c r="D6429" s="2" t="str">
        <f t="shared" si="99"/>
        <v>OK</v>
      </c>
      <c r="E6429" s="4" t="s">
        <v>1972</v>
      </c>
    </row>
    <row r="6430" spans="1:5" x14ac:dyDescent="0.2">
      <c r="A6430" s="126">
        <v>6369</v>
      </c>
      <c r="B6430" s="1832"/>
      <c r="D6430" s="2" t="str">
        <f t="shared" si="99"/>
        <v>OK</v>
      </c>
      <c r="E6430" s="4" t="s">
        <v>1972</v>
      </c>
    </row>
    <row r="6431" spans="1:5" x14ac:dyDescent="0.2">
      <c r="A6431" s="126">
        <v>6370</v>
      </c>
      <c r="B6431" s="1832"/>
      <c r="D6431" s="2" t="str">
        <f t="shared" si="99"/>
        <v>OK</v>
      </c>
      <c r="E6431" s="4" t="s">
        <v>1972</v>
      </c>
    </row>
    <row r="6432" spans="1:5" x14ac:dyDescent="0.2">
      <c r="A6432" s="126">
        <v>6371</v>
      </c>
      <c r="B6432" s="1832"/>
      <c r="D6432" s="2" t="str">
        <f t="shared" si="99"/>
        <v>OK</v>
      </c>
      <c r="E6432" s="4" t="s">
        <v>1972</v>
      </c>
    </row>
    <row r="6433" spans="1:5" x14ac:dyDescent="0.2">
      <c r="A6433" s="126">
        <v>6372</v>
      </c>
      <c r="B6433" s="1832"/>
      <c r="D6433" s="2" t="str">
        <f t="shared" si="99"/>
        <v>OK</v>
      </c>
      <c r="E6433" s="4" t="s">
        <v>1972</v>
      </c>
    </row>
    <row r="6434" spans="1:5" x14ac:dyDescent="0.2">
      <c r="A6434" s="126">
        <v>6373</v>
      </c>
      <c r="B6434" s="1832"/>
      <c r="D6434" s="2" t="str">
        <f t="shared" si="99"/>
        <v>OK</v>
      </c>
      <c r="E6434" s="4" t="s">
        <v>1972</v>
      </c>
    </row>
    <row r="6435" spans="1:5" x14ac:dyDescent="0.2">
      <c r="A6435" s="126">
        <v>6374</v>
      </c>
      <c r="B6435" s="1832"/>
      <c r="D6435" s="2" t="str">
        <f t="shared" si="99"/>
        <v>OK</v>
      </c>
      <c r="E6435" s="4" t="s">
        <v>1972</v>
      </c>
    </row>
    <row r="6436" spans="1:5" x14ac:dyDescent="0.2">
      <c r="A6436" s="126">
        <v>6375</v>
      </c>
      <c r="B6436" s="1832"/>
      <c r="D6436" s="2" t="str">
        <f t="shared" si="99"/>
        <v>OK</v>
      </c>
      <c r="E6436" s="4" t="s">
        <v>1972</v>
      </c>
    </row>
    <row r="6437" spans="1:5" x14ac:dyDescent="0.2">
      <c r="A6437" s="126">
        <v>6376</v>
      </c>
      <c r="B6437" s="1832"/>
      <c r="D6437" s="2" t="str">
        <f t="shared" si="99"/>
        <v>OK</v>
      </c>
      <c r="E6437" s="4" t="s">
        <v>1972</v>
      </c>
    </row>
    <row r="6438" spans="1:5" x14ac:dyDescent="0.2">
      <c r="A6438" s="126">
        <v>6377</v>
      </c>
      <c r="B6438" s="1832"/>
      <c r="D6438" s="2" t="str">
        <f t="shared" si="99"/>
        <v>OK</v>
      </c>
      <c r="E6438" s="4" t="s">
        <v>1972</v>
      </c>
    </row>
    <row r="6439" spans="1:5" x14ac:dyDescent="0.2">
      <c r="A6439" s="126">
        <v>6378</v>
      </c>
      <c r="B6439" s="1832"/>
      <c r="D6439" s="2" t="str">
        <f t="shared" si="99"/>
        <v>OK</v>
      </c>
      <c r="E6439" s="4" t="s">
        <v>1972</v>
      </c>
    </row>
    <row r="6440" spans="1:5" x14ac:dyDescent="0.2">
      <c r="A6440" s="126">
        <v>6379</v>
      </c>
      <c r="B6440" s="1832"/>
      <c r="D6440" s="2" t="str">
        <f t="shared" si="99"/>
        <v>OK</v>
      </c>
      <c r="E6440" s="4" t="s">
        <v>1972</v>
      </c>
    </row>
    <row r="6441" spans="1:5" x14ac:dyDescent="0.2">
      <c r="A6441" s="126">
        <v>6380</v>
      </c>
      <c r="B6441" s="1832"/>
      <c r="D6441" s="2" t="str">
        <f t="shared" si="99"/>
        <v>OK</v>
      </c>
      <c r="E6441" s="4" t="s">
        <v>1972</v>
      </c>
    </row>
    <row r="6442" spans="1:5" x14ac:dyDescent="0.2">
      <c r="A6442" s="126">
        <v>6381</v>
      </c>
      <c r="B6442" s="1832"/>
      <c r="D6442" s="2" t="str">
        <f t="shared" si="99"/>
        <v>OK</v>
      </c>
      <c r="E6442" s="4" t="s">
        <v>1972</v>
      </c>
    </row>
    <row r="6443" spans="1:5" x14ac:dyDescent="0.2">
      <c r="A6443" s="126">
        <v>6382</v>
      </c>
      <c r="B6443" s="1832"/>
      <c r="D6443" s="2" t="str">
        <f t="shared" si="99"/>
        <v>OK</v>
      </c>
      <c r="E6443" s="4" t="s">
        <v>1972</v>
      </c>
    </row>
    <row r="6444" spans="1:5" x14ac:dyDescent="0.2">
      <c r="A6444" s="126">
        <v>6383</v>
      </c>
      <c r="B6444" s="1832"/>
      <c r="D6444" s="2" t="str">
        <f t="shared" si="99"/>
        <v>OK</v>
      </c>
      <c r="E6444" s="4" t="s">
        <v>1972</v>
      </c>
    </row>
    <row r="6445" spans="1:5" x14ac:dyDescent="0.2">
      <c r="A6445" s="126">
        <v>6384</v>
      </c>
      <c r="B6445" s="1832"/>
      <c r="D6445" s="2" t="str">
        <f t="shared" si="99"/>
        <v>OK</v>
      </c>
      <c r="E6445" s="4" t="s">
        <v>1972</v>
      </c>
    </row>
    <row r="6446" spans="1:5" x14ac:dyDescent="0.2">
      <c r="A6446" s="126">
        <v>6385</v>
      </c>
      <c r="B6446" s="1832"/>
      <c r="D6446" s="2" t="str">
        <f t="shared" si="99"/>
        <v>OK</v>
      </c>
      <c r="E6446" s="4" t="s">
        <v>1972</v>
      </c>
    </row>
    <row r="6447" spans="1:5" x14ac:dyDescent="0.2">
      <c r="A6447" s="126">
        <v>6386</v>
      </c>
      <c r="B6447" s="1832"/>
      <c r="D6447" s="2" t="str">
        <f t="shared" si="99"/>
        <v>OK</v>
      </c>
      <c r="E6447" s="4" t="s">
        <v>1972</v>
      </c>
    </row>
    <row r="6448" spans="1:5" x14ac:dyDescent="0.2">
      <c r="A6448" s="126">
        <v>6387</v>
      </c>
      <c r="B6448" s="1832"/>
      <c r="D6448" s="2" t="str">
        <f t="shared" si="99"/>
        <v>OK</v>
      </c>
      <c r="E6448" s="4" t="s">
        <v>1972</v>
      </c>
    </row>
    <row r="6449" spans="1:5" x14ac:dyDescent="0.2">
      <c r="A6449" s="126">
        <v>6388</v>
      </c>
      <c r="B6449" s="1832"/>
      <c r="D6449" s="2" t="str">
        <f t="shared" si="99"/>
        <v>OK</v>
      </c>
      <c r="E6449" s="4" t="s">
        <v>1972</v>
      </c>
    </row>
    <row r="6450" spans="1:5" x14ac:dyDescent="0.2">
      <c r="A6450" s="126">
        <v>6389</v>
      </c>
      <c r="B6450" s="1832"/>
      <c r="D6450" s="2" t="str">
        <f t="shared" si="99"/>
        <v>OK</v>
      </c>
      <c r="E6450" s="4" t="s">
        <v>1972</v>
      </c>
    </row>
    <row r="6451" spans="1:5" x14ac:dyDescent="0.2">
      <c r="A6451" s="126">
        <v>6390</v>
      </c>
      <c r="B6451" s="1832"/>
      <c r="D6451" s="2" t="str">
        <f t="shared" si="99"/>
        <v>OK</v>
      </c>
      <c r="E6451" s="4" t="s">
        <v>1972</v>
      </c>
    </row>
    <row r="6452" spans="1:5" x14ac:dyDescent="0.2">
      <c r="A6452" s="126">
        <v>6391</v>
      </c>
      <c r="B6452" s="1832"/>
      <c r="D6452" s="2" t="str">
        <f t="shared" si="99"/>
        <v>OK</v>
      </c>
      <c r="E6452" s="4" t="s">
        <v>1972</v>
      </c>
    </row>
    <row r="6453" spans="1:5" x14ac:dyDescent="0.2">
      <c r="A6453" s="126">
        <v>6392</v>
      </c>
      <c r="B6453" s="1832"/>
      <c r="D6453" s="2" t="str">
        <f t="shared" si="99"/>
        <v>OK</v>
      </c>
      <c r="E6453" s="4" t="s">
        <v>1972</v>
      </c>
    </row>
    <row r="6454" spans="1:5" x14ac:dyDescent="0.2">
      <c r="A6454" s="126">
        <v>6393</v>
      </c>
      <c r="B6454" s="1832"/>
      <c r="D6454" s="2" t="str">
        <f t="shared" si="99"/>
        <v>OK</v>
      </c>
      <c r="E6454" s="4" t="s">
        <v>1972</v>
      </c>
    </row>
    <row r="6455" spans="1:5" x14ac:dyDescent="0.2">
      <c r="A6455" s="126">
        <v>6394</v>
      </c>
      <c r="B6455" s="1832"/>
      <c r="D6455" s="2" t="str">
        <f t="shared" si="99"/>
        <v>OK</v>
      </c>
      <c r="E6455" s="4" t="s">
        <v>1972</v>
      </c>
    </row>
    <row r="6456" spans="1:5" x14ac:dyDescent="0.2">
      <c r="A6456" s="126">
        <v>6395</v>
      </c>
      <c r="B6456" s="1832"/>
      <c r="D6456" s="2" t="str">
        <f t="shared" si="99"/>
        <v>OK</v>
      </c>
      <c r="E6456" s="4" t="s">
        <v>1972</v>
      </c>
    </row>
    <row r="6457" spans="1:5" x14ac:dyDescent="0.2">
      <c r="A6457" s="126">
        <v>6396</v>
      </c>
      <c r="B6457" s="1832"/>
      <c r="D6457" s="2" t="str">
        <f t="shared" si="99"/>
        <v>OK</v>
      </c>
      <c r="E6457" s="4" t="s">
        <v>1972</v>
      </c>
    </row>
    <row r="6458" spans="1:5" x14ac:dyDescent="0.2">
      <c r="A6458" s="126">
        <v>6397</v>
      </c>
      <c r="B6458" s="1832"/>
      <c r="D6458" s="2" t="str">
        <f t="shared" si="99"/>
        <v>OK</v>
      </c>
      <c r="E6458" s="4" t="s">
        <v>1972</v>
      </c>
    </row>
    <row r="6459" spans="1:5" x14ac:dyDescent="0.2">
      <c r="A6459" s="126">
        <v>6398</v>
      </c>
      <c r="B6459" s="1832"/>
      <c r="D6459" s="2" t="str">
        <f t="shared" si="99"/>
        <v>OK</v>
      </c>
      <c r="E6459" s="4" t="s">
        <v>1972</v>
      </c>
    </row>
    <row r="6460" spans="1:5" x14ac:dyDescent="0.2">
      <c r="A6460" s="126">
        <v>6399</v>
      </c>
      <c r="B6460" s="1832"/>
      <c r="D6460" s="2" t="str">
        <f t="shared" si="99"/>
        <v>OK</v>
      </c>
      <c r="E6460" s="4" t="s">
        <v>1972</v>
      </c>
    </row>
    <row r="6461" spans="1:5" x14ac:dyDescent="0.2">
      <c r="A6461" s="126">
        <v>6400</v>
      </c>
      <c r="B6461" s="1832"/>
      <c r="D6461" s="2" t="str">
        <f t="shared" si="99"/>
        <v>OK</v>
      </c>
      <c r="E6461" s="4" t="s">
        <v>1972</v>
      </c>
    </row>
    <row r="6462" spans="1:5" x14ac:dyDescent="0.2">
      <c r="A6462" s="126">
        <v>6401</v>
      </c>
      <c r="B6462" s="1832"/>
      <c r="D6462" s="2" t="str">
        <f t="shared" si="99"/>
        <v>OK</v>
      </c>
      <c r="E6462" s="4" t="s">
        <v>1972</v>
      </c>
    </row>
    <row r="6463" spans="1:5" x14ac:dyDescent="0.2">
      <c r="A6463" s="126">
        <v>6402</v>
      </c>
      <c r="B6463" s="1832"/>
      <c r="D6463" s="2" t="str">
        <f t="shared" ref="D6463:D6526" si="100">IF(ISBLANK(B6463),"OK",IF(A6463-B6463=0,"OK","Error?"))</f>
        <v>OK</v>
      </c>
      <c r="E6463" s="4" t="s">
        <v>1972</v>
      </c>
    </row>
    <row r="6464" spans="1:5" x14ac:dyDescent="0.2">
      <c r="A6464" s="126">
        <v>6403</v>
      </c>
      <c r="B6464" s="1832"/>
      <c r="D6464" s="2" t="str">
        <f t="shared" si="100"/>
        <v>OK</v>
      </c>
      <c r="E6464" s="4" t="s">
        <v>1972</v>
      </c>
    </row>
    <row r="6465" spans="1:5" x14ac:dyDescent="0.2">
      <c r="A6465" s="126">
        <v>6404</v>
      </c>
      <c r="B6465" s="1832"/>
      <c r="D6465" s="2" t="str">
        <f t="shared" si="100"/>
        <v>OK</v>
      </c>
      <c r="E6465" s="4" t="s">
        <v>1972</v>
      </c>
    </row>
    <row r="6466" spans="1:5" x14ac:dyDescent="0.2">
      <c r="A6466" s="126">
        <v>6405</v>
      </c>
      <c r="B6466" s="1832"/>
      <c r="D6466" s="2" t="str">
        <f t="shared" si="100"/>
        <v>OK</v>
      </c>
      <c r="E6466" s="4" t="s">
        <v>1972</v>
      </c>
    </row>
    <row r="6467" spans="1:5" x14ac:dyDescent="0.2">
      <c r="A6467" s="126">
        <v>6406</v>
      </c>
      <c r="B6467" s="1832"/>
      <c r="D6467" s="2" t="str">
        <f t="shared" si="100"/>
        <v>OK</v>
      </c>
      <c r="E6467" s="4" t="s">
        <v>1972</v>
      </c>
    </row>
    <row r="6468" spans="1:5" x14ac:dyDescent="0.2">
      <c r="A6468" s="126">
        <v>6407</v>
      </c>
      <c r="B6468" s="1832"/>
      <c r="D6468" s="2" t="str">
        <f t="shared" si="100"/>
        <v>OK</v>
      </c>
      <c r="E6468" s="4" t="s">
        <v>1972</v>
      </c>
    </row>
    <row r="6469" spans="1:5" x14ac:dyDescent="0.2">
      <c r="A6469" s="126">
        <v>6408</v>
      </c>
      <c r="B6469" s="1832"/>
      <c r="D6469" s="2" t="str">
        <f t="shared" si="100"/>
        <v>OK</v>
      </c>
      <c r="E6469" s="4" t="s">
        <v>1972</v>
      </c>
    </row>
    <row r="6470" spans="1:5" x14ac:dyDescent="0.2">
      <c r="A6470" s="126">
        <v>6409</v>
      </c>
      <c r="B6470" s="1832"/>
      <c r="D6470" s="2" t="str">
        <f t="shared" si="100"/>
        <v>OK</v>
      </c>
      <c r="E6470" s="4" t="s">
        <v>1972</v>
      </c>
    </row>
    <row r="6471" spans="1:5" x14ac:dyDescent="0.2">
      <c r="A6471" s="126">
        <v>6410</v>
      </c>
      <c r="B6471" s="1832"/>
      <c r="D6471" s="2" t="str">
        <f t="shared" si="100"/>
        <v>OK</v>
      </c>
      <c r="E6471" s="4" t="s">
        <v>1972</v>
      </c>
    </row>
    <row r="6472" spans="1:5" x14ac:dyDescent="0.2">
      <c r="A6472" s="126">
        <v>6411</v>
      </c>
      <c r="B6472" s="1832"/>
      <c r="D6472" s="2" t="str">
        <f t="shared" si="100"/>
        <v>OK</v>
      </c>
      <c r="E6472" s="4" t="s">
        <v>1972</v>
      </c>
    </row>
    <row r="6473" spans="1:5" x14ac:dyDescent="0.2">
      <c r="A6473" s="126">
        <v>6412</v>
      </c>
      <c r="B6473" s="1832"/>
      <c r="D6473" s="2" t="str">
        <f t="shared" si="100"/>
        <v>OK</v>
      </c>
      <c r="E6473" s="4" t="s">
        <v>1972</v>
      </c>
    </row>
    <row r="6474" spans="1:5" x14ac:dyDescent="0.2">
      <c r="A6474" s="126">
        <v>6413</v>
      </c>
      <c r="B6474" s="1832"/>
      <c r="D6474" s="2" t="str">
        <f t="shared" si="100"/>
        <v>OK</v>
      </c>
      <c r="E6474" s="4" t="s">
        <v>1972</v>
      </c>
    </row>
    <row r="6475" spans="1:5" x14ac:dyDescent="0.2">
      <c r="A6475" s="126">
        <v>6414</v>
      </c>
      <c r="B6475" s="1832"/>
      <c r="D6475" s="2" t="str">
        <f t="shared" si="100"/>
        <v>OK</v>
      </c>
      <c r="E6475" s="4" t="s">
        <v>1972</v>
      </c>
    </row>
    <row r="6476" spans="1:5" x14ac:dyDescent="0.2">
      <c r="A6476" s="126">
        <v>6415</v>
      </c>
      <c r="B6476" s="1832"/>
      <c r="D6476" s="2" t="str">
        <f t="shared" si="100"/>
        <v>OK</v>
      </c>
      <c r="E6476" s="4" t="s">
        <v>1972</v>
      </c>
    </row>
    <row r="6477" spans="1:5" x14ac:dyDescent="0.2">
      <c r="A6477" s="126">
        <v>6416</v>
      </c>
      <c r="B6477" s="1832"/>
      <c r="D6477" s="2" t="str">
        <f t="shared" si="100"/>
        <v>OK</v>
      </c>
      <c r="E6477" s="4" t="s">
        <v>1972</v>
      </c>
    </row>
    <row r="6478" spans="1:5" x14ac:dyDescent="0.2">
      <c r="A6478" s="126">
        <v>6417</v>
      </c>
      <c r="B6478" s="1832"/>
      <c r="D6478" s="2" t="str">
        <f t="shared" si="100"/>
        <v>OK</v>
      </c>
      <c r="E6478" s="4" t="s">
        <v>1972</v>
      </c>
    </row>
    <row r="6479" spans="1:5" x14ac:dyDescent="0.2">
      <c r="A6479" s="126">
        <v>6418</v>
      </c>
      <c r="B6479" s="1832"/>
      <c r="D6479" s="2" t="str">
        <f t="shared" si="100"/>
        <v>OK</v>
      </c>
      <c r="E6479" s="4" t="s">
        <v>1972</v>
      </c>
    </row>
    <row r="6480" spans="1:5" x14ac:dyDescent="0.2">
      <c r="A6480" s="126">
        <v>6419</v>
      </c>
      <c r="B6480" s="1832"/>
      <c r="D6480" s="2" t="str">
        <f t="shared" si="100"/>
        <v>OK</v>
      </c>
      <c r="E6480" s="4" t="s">
        <v>1972</v>
      </c>
    </row>
    <row r="6481" spans="1:5" x14ac:dyDescent="0.2">
      <c r="A6481" s="126">
        <v>6420</v>
      </c>
      <c r="B6481" s="1832"/>
      <c r="D6481" s="2" t="str">
        <f t="shared" si="100"/>
        <v>OK</v>
      </c>
      <c r="E6481" s="4" t="s">
        <v>1972</v>
      </c>
    </row>
    <row r="6482" spans="1:5" x14ac:dyDescent="0.2">
      <c r="A6482" s="126">
        <v>6421</v>
      </c>
      <c r="B6482" s="1832"/>
      <c r="D6482" s="2" t="str">
        <f t="shared" si="100"/>
        <v>OK</v>
      </c>
      <c r="E6482" s="4" t="s">
        <v>1972</v>
      </c>
    </row>
    <row r="6483" spans="1:5" x14ac:dyDescent="0.2">
      <c r="A6483" s="126">
        <v>6422</v>
      </c>
      <c r="B6483" s="1832"/>
      <c r="D6483" s="2" t="str">
        <f t="shared" si="100"/>
        <v>OK</v>
      </c>
      <c r="E6483" s="4" t="s">
        <v>1972</v>
      </c>
    </row>
    <row r="6484" spans="1:5" x14ac:dyDescent="0.2">
      <c r="A6484" s="126">
        <v>6423</v>
      </c>
      <c r="B6484" s="1832"/>
      <c r="D6484" s="2" t="str">
        <f t="shared" si="100"/>
        <v>OK</v>
      </c>
      <c r="E6484" s="4" t="s">
        <v>1972</v>
      </c>
    </row>
    <row r="6485" spans="1:5" x14ac:dyDescent="0.2">
      <c r="A6485" s="126">
        <v>6424</v>
      </c>
      <c r="B6485" s="1832"/>
      <c r="D6485" s="2" t="str">
        <f t="shared" si="100"/>
        <v>OK</v>
      </c>
      <c r="E6485" s="4" t="s">
        <v>1972</v>
      </c>
    </row>
    <row r="6486" spans="1:5" x14ac:dyDescent="0.2">
      <c r="A6486" s="126">
        <v>6425</v>
      </c>
      <c r="B6486" s="1832"/>
      <c r="D6486" s="2" t="str">
        <f t="shared" si="100"/>
        <v>OK</v>
      </c>
      <c r="E6486" s="4" t="s">
        <v>1972</v>
      </c>
    </row>
    <row r="6487" spans="1:5" x14ac:dyDescent="0.2">
      <c r="A6487" s="126">
        <v>6426</v>
      </c>
      <c r="B6487" s="1832"/>
      <c r="D6487" s="2" t="str">
        <f t="shared" si="100"/>
        <v>OK</v>
      </c>
      <c r="E6487" s="4" t="s">
        <v>1972</v>
      </c>
    </row>
    <row r="6488" spans="1:5" x14ac:dyDescent="0.2">
      <c r="A6488" s="126">
        <v>6427</v>
      </c>
      <c r="B6488" s="1832"/>
      <c r="D6488" s="2" t="str">
        <f t="shared" si="100"/>
        <v>OK</v>
      </c>
      <c r="E6488" s="4" t="s">
        <v>1972</v>
      </c>
    </row>
    <row r="6489" spans="1:5" x14ac:dyDescent="0.2">
      <c r="A6489" s="126">
        <v>6428</v>
      </c>
      <c r="B6489" s="1832"/>
      <c r="D6489" s="2" t="str">
        <f t="shared" si="100"/>
        <v>OK</v>
      </c>
      <c r="E6489" s="4" t="s">
        <v>1972</v>
      </c>
    </row>
    <row r="6490" spans="1:5" x14ac:dyDescent="0.2">
      <c r="A6490" s="126">
        <v>6429</v>
      </c>
      <c r="B6490" s="1832"/>
      <c r="D6490" s="2" t="str">
        <f t="shared" si="100"/>
        <v>OK</v>
      </c>
      <c r="E6490" s="4" t="s">
        <v>1972</v>
      </c>
    </row>
    <row r="6491" spans="1:5" x14ac:dyDescent="0.2">
      <c r="A6491" s="126">
        <v>6430</v>
      </c>
      <c r="B6491" s="1832"/>
      <c r="D6491" s="2" t="str">
        <f t="shared" si="100"/>
        <v>OK</v>
      </c>
      <c r="E6491" s="4" t="s">
        <v>1972</v>
      </c>
    </row>
    <row r="6492" spans="1:5" x14ac:dyDescent="0.2">
      <c r="A6492" s="126">
        <v>6431</v>
      </c>
      <c r="B6492" s="1832"/>
      <c r="D6492" s="2" t="str">
        <f t="shared" si="100"/>
        <v>OK</v>
      </c>
      <c r="E6492" s="4" t="s">
        <v>1972</v>
      </c>
    </row>
    <row r="6493" spans="1:5" x14ac:dyDescent="0.2">
      <c r="A6493" s="126">
        <v>6432</v>
      </c>
      <c r="B6493" s="1832"/>
      <c r="D6493" s="2" t="str">
        <f t="shared" si="100"/>
        <v>OK</v>
      </c>
      <c r="E6493" s="4" t="s">
        <v>1972</v>
      </c>
    </row>
    <row r="6494" spans="1:5" x14ac:dyDescent="0.2">
      <c r="A6494" s="126">
        <v>6433</v>
      </c>
      <c r="B6494" s="1832"/>
      <c r="D6494" s="2" t="str">
        <f t="shared" si="100"/>
        <v>OK</v>
      </c>
      <c r="E6494" s="4" t="s">
        <v>1972</v>
      </c>
    </row>
    <row r="6495" spans="1:5" x14ac:dyDescent="0.2">
      <c r="A6495" s="126">
        <v>6434</v>
      </c>
      <c r="B6495" s="1832"/>
      <c r="D6495" s="2" t="str">
        <f t="shared" si="100"/>
        <v>OK</v>
      </c>
      <c r="E6495" s="4" t="s">
        <v>1972</v>
      </c>
    </row>
    <row r="6496" spans="1:5" x14ac:dyDescent="0.2">
      <c r="A6496" s="126">
        <v>6435</v>
      </c>
      <c r="B6496" s="1832"/>
      <c r="D6496" s="2" t="str">
        <f t="shared" si="100"/>
        <v>OK</v>
      </c>
      <c r="E6496" s="4" t="s">
        <v>1972</v>
      </c>
    </row>
    <row r="6497" spans="1:5" x14ac:dyDescent="0.2">
      <c r="A6497" s="126">
        <v>6436</v>
      </c>
      <c r="B6497" s="1832"/>
      <c r="D6497" s="2" t="str">
        <f t="shared" si="100"/>
        <v>OK</v>
      </c>
      <c r="E6497" s="4" t="s">
        <v>1972</v>
      </c>
    </row>
    <row r="6498" spans="1:5" x14ac:dyDescent="0.2">
      <c r="A6498" s="126">
        <v>6437</v>
      </c>
      <c r="B6498" s="1832"/>
      <c r="D6498" s="2" t="str">
        <f t="shared" si="100"/>
        <v>OK</v>
      </c>
      <c r="E6498" s="4" t="s">
        <v>1972</v>
      </c>
    </row>
    <row r="6499" spans="1:5" x14ac:dyDescent="0.2">
      <c r="A6499" s="126">
        <v>6438</v>
      </c>
      <c r="B6499" s="1832"/>
      <c r="D6499" s="2" t="str">
        <f t="shared" si="100"/>
        <v>OK</v>
      </c>
      <c r="E6499" s="4" t="s">
        <v>1972</v>
      </c>
    </row>
    <row r="6500" spans="1:5" x14ac:dyDescent="0.2">
      <c r="A6500" s="126">
        <v>6439</v>
      </c>
      <c r="B6500" s="1832"/>
      <c r="D6500" s="2" t="str">
        <f t="shared" si="100"/>
        <v>OK</v>
      </c>
      <c r="E6500" s="4" t="s">
        <v>1972</v>
      </c>
    </row>
    <row r="6501" spans="1:5" x14ac:dyDescent="0.2">
      <c r="A6501" s="126">
        <v>6440</v>
      </c>
      <c r="B6501" s="1832"/>
      <c r="D6501" s="2" t="str">
        <f t="shared" si="100"/>
        <v>OK</v>
      </c>
      <c r="E6501" s="4" t="s">
        <v>1972</v>
      </c>
    </row>
    <row r="6502" spans="1:5" x14ac:dyDescent="0.2">
      <c r="A6502" s="126">
        <v>6441</v>
      </c>
      <c r="B6502" s="1832"/>
      <c r="D6502" s="2" t="str">
        <f t="shared" si="100"/>
        <v>OK</v>
      </c>
      <c r="E6502" s="4" t="s">
        <v>1972</v>
      </c>
    </row>
    <row r="6503" spans="1:5" x14ac:dyDescent="0.2">
      <c r="A6503" s="126">
        <v>6442</v>
      </c>
      <c r="B6503" s="1832"/>
      <c r="D6503" s="2" t="str">
        <f t="shared" si="100"/>
        <v>OK</v>
      </c>
      <c r="E6503" s="4" t="s">
        <v>1972</v>
      </c>
    </row>
    <row r="6504" spans="1:5" x14ac:dyDescent="0.2">
      <c r="A6504" s="126">
        <v>6443</v>
      </c>
      <c r="B6504" s="1832"/>
      <c r="D6504" s="2" t="str">
        <f t="shared" si="100"/>
        <v>OK</v>
      </c>
      <c r="E6504" s="4" t="s">
        <v>1972</v>
      </c>
    </row>
    <row r="6505" spans="1:5" x14ac:dyDescent="0.2">
      <c r="A6505" s="126">
        <v>6444</v>
      </c>
      <c r="B6505" s="1832"/>
      <c r="D6505" s="2" t="str">
        <f t="shared" si="100"/>
        <v>OK</v>
      </c>
      <c r="E6505" s="4" t="s">
        <v>1972</v>
      </c>
    </row>
    <row r="6506" spans="1:5" x14ac:dyDescent="0.2">
      <c r="A6506" s="126">
        <v>6445</v>
      </c>
      <c r="B6506" s="1832"/>
      <c r="D6506" s="2" t="str">
        <f t="shared" si="100"/>
        <v>OK</v>
      </c>
      <c r="E6506" s="4" t="s">
        <v>1972</v>
      </c>
    </row>
    <row r="6507" spans="1:5" x14ac:dyDescent="0.2">
      <c r="A6507" s="126">
        <v>6446</v>
      </c>
      <c r="B6507" s="1832"/>
      <c r="D6507" s="2" t="str">
        <f t="shared" si="100"/>
        <v>OK</v>
      </c>
      <c r="E6507" s="4" t="s">
        <v>1972</v>
      </c>
    </row>
    <row r="6508" spans="1:5" x14ac:dyDescent="0.2">
      <c r="A6508" s="126">
        <v>6447</v>
      </c>
      <c r="B6508" s="1832"/>
      <c r="D6508" s="2" t="str">
        <f t="shared" si="100"/>
        <v>OK</v>
      </c>
      <c r="E6508" s="4" t="s">
        <v>1972</v>
      </c>
    </row>
    <row r="6509" spans="1:5" x14ac:dyDescent="0.2">
      <c r="A6509" s="126">
        <v>6448</v>
      </c>
      <c r="B6509" s="1832"/>
      <c r="D6509" s="2" t="str">
        <f t="shared" si="100"/>
        <v>OK</v>
      </c>
      <c r="E6509" s="4" t="s">
        <v>1972</v>
      </c>
    </row>
    <row r="6510" spans="1:5" x14ac:dyDescent="0.2">
      <c r="A6510" s="126">
        <v>6449</v>
      </c>
      <c r="B6510" s="1832"/>
      <c r="D6510" s="2" t="str">
        <f t="shared" si="100"/>
        <v>OK</v>
      </c>
      <c r="E6510" s="4" t="s">
        <v>1972</v>
      </c>
    </row>
    <row r="6511" spans="1:5" x14ac:dyDescent="0.2">
      <c r="A6511" s="126">
        <v>6450</v>
      </c>
      <c r="B6511" s="1832"/>
      <c r="D6511" s="2" t="str">
        <f t="shared" si="100"/>
        <v>OK</v>
      </c>
      <c r="E6511" s="4" t="s">
        <v>1972</v>
      </c>
    </row>
    <row r="6512" spans="1:5" x14ac:dyDescent="0.2">
      <c r="A6512" s="126">
        <v>6451</v>
      </c>
      <c r="B6512" s="1832"/>
      <c r="D6512" s="2" t="str">
        <f t="shared" si="100"/>
        <v>OK</v>
      </c>
      <c r="E6512" s="4" t="s">
        <v>1972</v>
      </c>
    </row>
    <row r="6513" spans="1:5" x14ac:dyDescent="0.2">
      <c r="A6513" s="126">
        <v>6452</v>
      </c>
      <c r="B6513" s="1832"/>
      <c r="D6513" s="2" t="str">
        <f t="shared" si="100"/>
        <v>OK</v>
      </c>
      <c r="E6513" s="4" t="s">
        <v>1972</v>
      </c>
    </row>
    <row r="6514" spans="1:5" x14ac:dyDescent="0.2">
      <c r="A6514" s="126">
        <v>6453</v>
      </c>
      <c r="B6514" s="1832"/>
      <c r="D6514" s="2" t="str">
        <f t="shared" si="100"/>
        <v>OK</v>
      </c>
      <c r="E6514" s="4" t="s">
        <v>1972</v>
      </c>
    </row>
    <row r="6515" spans="1:5" x14ac:dyDescent="0.2">
      <c r="A6515" s="126">
        <v>6454</v>
      </c>
      <c r="B6515" s="1832"/>
      <c r="D6515" s="2" t="str">
        <f t="shared" si="100"/>
        <v>OK</v>
      </c>
      <c r="E6515" s="4" t="s">
        <v>1972</v>
      </c>
    </row>
    <row r="6516" spans="1:5" x14ac:dyDescent="0.2">
      <c r="A6516" s="126">
        <v>6455</v>
      </c>
      <c r="B6516" s="1832"/>
      <c r="D6516" s="2" t="str">
        <f t="shared" si="100"/>
        <v>OK</v>
      </c>
      <c r="E6516" s="4" t="s">
        <v>1972</v>
      </c>
    </row>
    <row r="6517" spans="1:5" x14ac:dyDescent="0.2">
      <c r="A6517" s="126">
        <v>6456</v>
      </c>
      <c r="B6517" s="1832"/>
      <c r="D6517" s="2" t="str">
        <f t="shared" si="100"/>
        <v>OK</v>
      </c>
      <c r="E6517" s="4" t="s">
        <v>1972</v>
      </c>
    </row>
    <row r="6518" spans="1:5" x14ac:dyDescent="0.2">
      <c r="A6518" s="126">
        <v>6457</v>
      </c>
      <c r="B6518" s="1832"/>
      <c r="D6518" s="2" t="str">
        <f t="shared" si="100"/>
        <v>OK</v>
      </c>
      <c r="E6518" s="4" t="s">
        <v>1972</v>
      </c>
    </row>
    <row r="6519" spans="1:5" x14ac:dyDescent="0.2">
      <c r="A6519" s="126">
        <v>6458</v>
      </c>
      <c r="B6519" s="1832"/>
      <c r="D6519" s="2" t="str">
        <f t="shared" si="100"/>
        <v>OK</v>
      </c>
      <c r="E6519" s="4" t="s">
        <v>1972</v>
      </c>
    </row>
    <row r="6520" spans="1:5" x14ac:dyDescent="0.2">
      <c r="A6520" s="126">
        <v>6459</v>
      </c>
      <c r="B6520" s="1832"/>
      <c r="D6520" s="2" t="str">
        <f t="shared" si="100"/>
        <v>OK</v>
      </c>
      <c r="E6520" s="4" t="s">
        <v>1972</v>
      </c>
    </row>
    <row r="6521" spans="1:5" x14ac:dyDescent="0.2">
      <c r="A6521" s="126">
        <v>6460</v>
      </c>
      <c r="B6521" s="1832"/>
      <c r="D6521" s="2" t="str">
        <f t="shared" si="100"/>
        <v>OK</v>
      </c>
      <c r="E6521" s="4" t="s">
        <v>1972</v>
      </c>
    </row>
    <row r="6522" spans="1:5" x14ac:dyDescent="0.2">
      <c r="A6522" s="126">
        <v>6461</v>
      </c>
      <c r="B6522" s="1832"/>
      <c r="D6522" s="2" t="str">
        <f t="shared" si="100"/>
        <v>OK</v>
      </c>
      <c r="E6522" s="4" t="s">
        <v>1972</v>
      </c>
    </row>
    <row r="6523" spans="1:5" x14ac:dyDescent="0.2">
      <c r="A6523" s="126">
        <v>6462</v>
      </c>
      <c r="B6523" s="1832"/>
      <c r="D6523" s="2" t="str">
        <f t="shared" si="100"/>
        <v>OK</v>
      </c>
      <c r="E6523" s="4" t="s">
        <v>1972</v>
      </c>
    </row>
    <row r="6524" spans="1:5" x14ac:dyDescent="0.2">
      <c r="A6524" s="126">
        <v>6463</v>
      </c>
      <c r="B6524" s="1832"/>
      <c r="D6524" s="2" t="str">
        <f t="shared" si="100"/>
        <v>OK</v>
      </c>
      <c r="E6524" s="4" t="s">
        <v>1972</v>
      </c>
    </row>
    <row r="6525" spans="1:5" x14ac:dyDescent="0.2">
      <c r="A6525" s="126">
        <v>6464</v>
      </c>
      <c r="B6525" s="1832"/>
      <c r="D6525" s="2" t="str">
        <f t="shared" si="100"/>
        <v>OK</v>
      </c>
      <c r="E6525" s="4" t="s">
        <v>1972</v>
      </c>
    </row>
    <row r="6526" spans="1:5" x14ac:dyDescent="0.2">
      <c r="A6526" s="126">
        <v>6465</v>
      </c>
      <c r="B6526" s="1832"/>
      <c r="D6526" s="2" t="str">
        <f t="shared" si="100"/>
        <v>OK</v>
      </c>
      <c r="E6526" s="4" t="s">
        <v>1972</v>
      </c>
    </row>
    <row r="6527" spans="1:5" x14ac:dyDescent="0.2">
      <c r="A6527" s="126">
        <v>6466</v>
      </c>
      <c r="B6527" s="1832"/>
      <c r="D6527" s="2" t="str">
        <f t="shared" ref="D6527:D6590" si="101">IF(ISBLANK(B6527),"OK",IF(A6527-B6527=0,"OK","Error?"))</f>
        <v>OK</v>
      </c>
      <c r="E6527" s="4" t="s">
        <v>1972</v>
      </c>
    </row>
    <row r="6528" spans="1:5" x14ac:dyDescent="0.2">
      <c r="A6528" s="126">
        <v>6467</v>
      </c>
      <c r="B6528" s="1832"/>
      <c r="D6528" s="2" t="str">
        <f t="shared" si="101"/>
        <v>OK</v>
      </c>
      <c r="E6528" s="4" t="s">
        <v>1972</v>
      </c>
    </row>
    <row r="6529" spans="1:5" x14ac:dyDescent="0.2">
      <c r="A6529" s="126">
        <v>6468</v>
      </c>
      <c r="B6529" s="1832"/>
      <c r="D6529" s="2" t="str">
        <f t="shared" si="101"/>
        <v>OK</v>
      </c>
      <c r="E6529" s="4" t="s">
        <v>1972</v>
      </c>
    </row>
    <row r="6530" spans="1:5" x14ac:dyDescent="0.2">
      <c r="A6530" s="126">
        <v>6469</v>
      </c>
      <c r="B6530" s="1832"/>
      <c r="D6530" s="2" t="str">
        <f t="shared" si="101"/>
        <v>OK</v>
      </c>
      <c r="E6530" s="4" t="s">
        <v>1972</v>
      </c>
    </row>
    <row r="6531" spans="1:5" x14ac:dyDescent="0.2">
      <c r="A6531" s="126">
        <v>6470</v>
      </c>
      <c r="B6531" s="1832"/>
      <c r="D6531" s="2" t="str">
        <f t="shared" si="101"/>
        <v>OK</v>
      </c>
      <c r="E6531" s="4" t="s">
        <v>1972</v>
      </c>
    </row>
    <row r="6532" spans="1:5" x14ac:dyDescent="0.2">
      <c r="A6532" s="126">
        <v>6471</v>
      </c>
      <c r="B6532" s="1832"/>
      <c r="D6532" s="2" t="str">
        <f t="shared" si="101"/>
        <v>OK</v>
      </c>
      <c r="E6532" s="4" t="s">
        <v>1972</v>
      </c>
    </row>
    <row r="6533" spans="1:5" x14ac:dyDescent="0.2">
      <c r="A6533" s="126">
        <v>6472</v>
      </c>
      <c r="B6533" s="1832"/>
      <c r="D6533" s="2" t="str">
        <f t="shared" si="101"/>
        <v>OK</v>
      </c>
      <c r="E6533" s="4" t="s">
        <v>1972</v>
      </c>
    </row>
    <row r="6534" spans="1:5" x14ac:dyDescent="0.2">
      <c r="A6534" s="126">
        <v>6473</v>
      </c>
      <c r="B6534" s="1832"/>
      <c r="D6534" s="2" t="str">
        <f t="shared" si="101"/>
        <v>OK</v>
      </c>
      <c r="E6534" s="4" t="s">
        <v>1972</v>
      </c>
    </row>
    <row r="6535" spans="1:5" x14ac:dyDescent="0.2">
      <c r="A6535" s="126">
        <v>6474</v>
      </c>
      <c r="B6535" s="1832"/>
      <c r="D6535" s="2" t="str">
        <f t="shared" si="101"/>
        <v>OK</v>
      </c>
      <c r="E6535" s="4" t="s">
        <v>1972</v>
      </c>
    </row>
    <row r="6536" spans="1:5" x14ac:dyDescent="0.2">
      <c r="A6536" s="126">
        <v>6475</v>
      </c>
      <c r="B6536" s="1832"/>
      <c r="D6536" s="2" t="str">
        <f t="shared" si="101"/>
        <v>OK</v>
      </c>
      <c r="E6536" s="4" t="s">
        <v>1972</v>
      </c>
    </row>
    <row r="6537" spans="1:5" x14ac:dyDescent="0.2">
      <c r="A6537" s="126">
        <v>6476</v>
      </c>
      <c r="B6537" s="1832"/>
      <c r="D6537" s="2" t="str">
        <f t="shared" si="101"/>
        <v>OK</v>
      </c>
      <c r="E6537" s="4" t="s">
        <v>1972</v>
      </c>
    </row>
    <row r="6538" spans="1:5" x14ac:dyDescent="0.2">
      <c r="A6538" s="126">
        <v>6477</v>
      </c>
      <c r="B6538" s="1832"/>
      <c r="D6538" s="2" t="str">
        <f t="shared" si="101"/>
        <v>OK</v>
      </c>
      <c r="E6538" s="4" t="s">
        <v>1972</v>
      </c>
    </row>
    <row r="6539" spans="1:5" x14ac:dyDescent="0.2">
      <c r="A6539" s="126">
        <v>6478</v>
      </c>
      <c r="B6539" s="1832"/>
      <c r="D6539" s="2" t="str">
        <f t="shared" si="101"/>
        <v>OK</v>
      </c>
      <c r="E6539" s="4" t="s">
        <v>1972</v>
      </c>
    </row>
    <row r="6540" spans="1:5" x14ac:dyDescent="0.2">
      <c r="A6540" s="126">
        <v>6479</v>
      </c>
      <c r="B6540" s="1832"/>
      <c r="D6540" s="2" t="str">
        <f t="shared" si="101"/>
        <v>OK</v>
      </c>
      <c r="E6540" s="4" t="s">
        <v>1972</v>
      </c>
    </row>
    <row r="6541" spans="1:5" x14ac:dyDescent="0.2">
      <c r="A6541" s="126">
        <v>6480</v>
      </c>
      <c r="B6541" s="1832"/>
      <c r="D6541" s="2" t="str">
        <f t="shared" si="101"/>
        <v>OK</v>
      </c>
      <c r="E6541" s="4" t="s">
        <v>1972</v>
      </c>
    </row>
    <row r="6542" spans="1:5" x14ac:dyDescent="0.2">
      <c r="A6542" s="126">
        <v>6481</v>
      </c>
      <c r="B6542" s="1832"/>
      <c r="D6542" s="2" t="str">
        <f t="shared" si="101"/>
        <v>OK</v>
      </c>
      <c r="E6542" s="4" t="s">
        <v>1972</v>
      </c>
    </row>
    <row r="6543" spans="1:5" x14ac:dyDescent="0.2">
      <c r="A6543" s="126">
        <v>6482</v>
      </c>
      <c r="B6543" s="1832"/>
      <c r="D6543" s="2" t="str">
        <f t="shared" si="101"/>
        <v>OK</v>
      </c>
      <c r="E6543" s="4" t="s">
        <v>1972</v>
      </c>
    </row>
    <row r="6544" spans="1:5" x14ac:dyDescent="0.2">
      <c r="A6544" s="126">
        <v>6483</v>
      </c>
      <c r="B6544" s="1832"/>
      <c r="D6544" s="2" t="str">
        <f t="shared" si="101"/>
        <v>OK</v>
      </c>
      <c r="E6544" s="4" t="s">
        <v>1972</v>
      </c>
    </row>
    <row r="6545" spans="1:5" x14ac:dyDescent="0.2">
      <c r="A6545" s="126">
        <v>6484</v>
      </c>
      <c r="B6545" s="1832"/>
      <c r="D6545" s="2" t="str">
        <f t="shared" si="101"/>
        <v>OK</v>
      </c>
      <c r="E6545" s="4" t="s">
        <v>1972</v>
      </c>
    </row>
    <row r="6546" spans="1:5" x14ac:dyDescent="0.2">
      <c r="A6546" s="126">
        <v>6485</v>
      </c>
      <c r="B6546" s="1832"/>
      <c r="D6546" s="2" t="str">
        <f t="shared" si="101"/>
        <v>OK</v>
      </c>
      <c r="E6546" s="4" t="s">
        <v>1972</v>
      </c>
    </row>
    <row r="6547" spans="1:5" x14ac:dyDescent="0.2">
      <c r="A6547" s="126">
        <v>6486</v>
      </c>
      <c r="B6547" s="1832"/>
      <c r="D6547" s="2" t="str">
        <f t="shared" si="101"/>
        <v>OK</v>
      </c>
      <c r="E6547" s="4" t="s">
        <v>1972</v>
      </c>
    </row>
    <row r="6548" spans="1:5" x14ac:dyDescent="0.2">
      <c r="A6548" s="126">
        <v>6487</v>
      </c>
      <c r="B6548" s="1832"/>
      <c r="D6548" s="2" t="str">
        <f t="shared" si="101"/>
        <v>OK</v>
      </c>
      <c r="E6548" s="4" t="s">
        <v>1972</v>
      </c>
    </row>
    <row r="6549" spans="1:5" x14ac:dyDescent="0.2">
      <c r="A6549" s="126">
        <v>6488</v>
      </c>
      <c r="B6549" s="1832"/>
      <c r="D6549" s="2" t="str">
        <f t="shared" si="101"/>
        <v>OK</v>
      </c>
      <c r="E6549" s="4" t="s">
        <v>1972</v>
      </c>
    </row>
    <row r="6550" spans="1:5" x14ac:dyDescent="0.2">
      <c r="A6550" s="126">
        <v>6489</v>
      </c>
      <c r="B6550" s="1832"/>
      <c r="D6550" s="2" t="str">
        <f t="shared" si="101"/>
        <v>OK</v>
      </c>
      <c r="E6550" s="4" t="s">
        <v>1972</v>
      </c>
    </row>
    <row r="6551" spans="1:5" x14ac:dyDescent="0.2">
      <c r="A6551" s="126">
        <v>6490</v>
      </c>
      <c r="B6551" s="1832"/>
      <c r="D6551" s="2" t="str">
        <f t="shared" si="101"/>
        <v>OK</v>
      </c>
      <c r="E6551" s="4" t="s">
        <v>1972</v>
      </c>
    </row>
    <row r="6552" spans="1:5" x14ac:dyDescent="0.2">
      <c r="A6552" s="126">
        <v>6491</v>
      </c>
      <c r="B6552" s="1832"/>
      <c r="D6552" s="2" t="str">
        <f t="shared" si="101"/>
        <v>OK</v>
      </c>
      <c r="E6552" s="4" t="s">
        <v>1972</v>
      </c>
    </row>
    <row r="6553" spans="1:5" x14ac:dyDescent="0.2">
      <c r="A6553" s="126">
        <v>6492</v>
      </c>
      <c r="B6553" s="1832"/>
      <c r="D6553" s="2" t="str">
        <f t="shared" si="101"/>
        <v>OK</v>
      </c>
      <c r="E6553" s="4" t="s">
        <v>1972</v>
      </c>
    </row>
    <row r="6554" spans="1:5" x14ac:dyDescent="0.2">
      <c r="A6554" s="126">
        <v>6493</v>
      </c>
      <c r="B6554" s="1832"/>
      <c r="D6554" s="2" t="str">
        <f t="shared" si="101"/>
        <v>OK</v>
      </c>
      <c r="E6554" s="4" t="s">
        <v>1972</v>
      </c>
    </row>
    <row r="6555" spans="1:5" x14ac:dyDescent="0.2">
      <c r="A6555" s="126">
        <v>6494</v>
      </c>
      <c r="B6555" s="1832"/>
      <c r="D6555" s="2" t="str">
        <f t="shared" si="101"/>
        <v>OK</v>
      </c>
      <c r="E6555" s="4" t="s">
        <v>1972</v>
      </c>
    </row>
    <row r="6556" spans="1:5" x14ac:dyDescent="0.2">
      <c r="A6556" s="126">
        <v>6495</v>
      </c>
      <c r="B6556" s="1832"/>
      <c r="D6556" s="2" t="str">
        <f t="shared" si="101"/>
        <v>OK</v>
      </c>
      <c r="E6556" s="4" t="s">
        <v>1972</v>
      </c>
    </row>
    <row r="6557" spans="1:5" x14ac:dyDescent="0.2">
      <c r="A6557" s="126">
        <v>6496</v>
      </c>
      <c r="B6557" s="1832"/>
      <c r="D6557" s="2" t="str">
        <f t="shared" si="101"/>
        <v>OK</v>
      </c>
      <c r="E6557" s="4" t="s">
        <v>1972</v>
      </c>
    </row>
    <row r="6558" spans="1:5" x14ac:dyDescent="0.2">
      <c r="A6558" s="126">
        <v>6497</v>
      </c>
      <c r="B6558" s="1832"/>
      <c r="D6558" s="2" t="str">
        <f t="shared" si="101"/>
        <v>OK</v>
      </c>
      <c r="E6558" s="4" t="s">
        <v>1972</v>
      </c>
    </row>
    <row r="6559" spans="1:5" x14ac:dyDescent="0.2">
      <c r="A6559" s="126">
        <v>6498</v>
      </c>
      <c r="B6559" s="1832"/>
      <c r="D6559" s="2" t="str">
        <f t="shared" si="101"/>
        <v>OK</v>
      </c>
      <c r="E6559" s="4" t="s">
        <v>1972</v>
      </c>
    </row>
    <row r="6560" spans="1:5" x14ac:dyDescent="0.2">
      <c r="A6560" s="126">
        <v>6499</v>
      </c>
      <c r="B6560" s="1832"/>
      <c r="D6560" s="2" t="str">
        <f t="shared" si="101"/>
        <v>OK</v>
      </c>
      <c r="E6560" s="4" t="s">
        <v>1972</v>
      </c>
    </row>
    <row r="6561" spans="1:5" x14ac:dyDescent="0.2">
      <c r="A6561" s="126">
        <v>6500</v>
      </c>
      <c r="B6561" s="1832"/>
      <c r="D6561" s="2" t="str">
        <f t="shared" si="101"/>
        <v>OK</v>
      </c>
      <c r="E6561" s="4" t="s">
        <v>1972</v>
      </c>
    </row>
    <row r="6562" spans="1:5" x14ac:dyDescent="0.2">
      <c r="A6562" s="126">
        <v>6501</v>
      </c>
      <c r="B6562" s="1832"/>
      <c r="D6562" s="2" t="str">
        <f t="shared" si="101"/>
        <v>OK</v>
      </c>
      <c r="E6562" s="4" t="s">
        <v>1972</v>
      </c>
    </row>
    <row r="6563" spans="1:5" x14ac:dyDescent="0.2">
      <c r="A6563" s="126">
        <v>6502</v>
      </c>
      <c r="B6563" s="1832"/>
      <c r="D6563" s="2" t="str">
        <f t="shared" si="101"/>
        <v>OK</v>
      </c>
      <c r="E6563" s="4" t="s">
        <v>1972</v>
      </c>
    </row>
    <row r="6564" spans="1:5" x14ac:dyDescent="0.2">
      <c r="A6564" s="126">
        <v>6503</v>
      </c>
      <c r="B6564" s="1832"/>
      <c r="D6564" s="2" t="str">
        <f t="shared" si="101"/>
        <v>OK</v>
      </c>
      <c r="E6564" s="4" t="s">
        <v>1972</v>
      </c>
    </row>
    <row r="6565" spans="1:5" x14ac:dyDescent="0.2">
      <c r="A6565" s="126">
        <v>6504</v>
      </c>
      <c r="B6565" s="1832"/>
      <c r="D6565" s="2" t="str">
        <f t="shared" si="101"/>
        <v>OK</v>
      </c>
      <c r="E6565" s="4" t="s">
        <v>1972</v>
      </c>
    </row>
    <row r="6566" spans="1:5" x14ac:dyDescent="0.2">
      <c r="A6566" s="126">
        <v>6505</v>
      </c>
      <c r="B6566" s="1832"/>
      <c r="D6566" s="2" t="str">
        <f t="shared" si="101"/>
        <v>OK</v>
      </c>
      <c r="E6566" s="4" t="s">
        <v>1972</v>
      </c>
    </row>
    <row r="6567" spans="1:5" x14ac:dyDescent="0.2">
      <c r="A6567" s="126">
        <v>6506</v>
      </c>
      <c r="B6567" s="1832"/>
      <c r="D6567" s="2" t="str">
        <f t="shared" si="101"/>
        <v>OK</v>
      </c>
      <c r="E6567" s="4" t="s">
        <v>1972</v>
      </c>
    </row>
    <row r="6568" spans="1:5" x14ac:dyDescent="0.2">
      <c r="A6568" s="126">
        <v>6507</v>
      </c>
      <c r="B6568" s="1832"/>
      <c r="D6568" s="2" t="str">
        <f t="shared" si="101"/>
        <v>OK</v>
      </c>
      <c r="E6568" s="4" t="s">
        <v>1972</v>
      </c>
    </row>
    <row r="6569" spans="1:5" x14ac:dyDescent="0.2">
      <c r="A6569" s="126">
        <v>6508</v>
      </c>
      <c r="B6569" s="1832"/>
      <c r="D6569" s="2" t="str">
        <f t="shared" si="101"/>
        <v>OK</v>
      </c>
      <c r="E6569" s="4" t="s">
        <v>1972</v>
      </c>
    </row>
    <row r="6570" spans="1:5" x14ac:dyDescent="0.2">
      <c r="A6570" s="126">
        <v>6509</v>
      </c>
      <c r="B6570" s="1832"/>
      <c r="D6570" s="2" t="str">
        <f t="shared" si="101"/>
        <v>OK</v>
      </c>
      <c r="E6570" s="4" t="s">
        <v>1972</v>
      </c>
    </row>
    <row r="6571" spans="1:5" x14ac:dyDescent="0.2">
      <c r="A6571" s="126">
        <v>6510</v>
      </c>
      <c r="B6571" s="1832"/>
      <c r="D6571" s="2" t="str">
        <f t="shared" si="101"/>
        <v>OK</v>
      </c>
      <c r="E6571" s="4" t="s">
        <v>1972</v>
      </c>
    </row>
    <row r="6572" spans="1:5" x14ac:dyDescent="0.2">
      <c r="A6572" s="126">
        <v>6511</v>
      </c>
      <c r="B6572" s="1832"/>
      <c r="D6572" s="2" t="str">
        <f t="shared" si="101"/>
        <v>OK</v>
      </c>
      <c r="E6572" s="4" t="s">
        <v>1972</v>
      </c>
    </row>
    <row r="6573" spans="1:5" x14ac:dyDescent="0.2">
      <c r="A6573" s="126">
        <v>6512</v>
      </c>
      <c r="B6573" s="1832"/>
      <c r="D6573" s="2" t="str">
        <f t="shared" si="101"/>
        <v>OK</v>
      </c>
      <c r="E6573" s="4" t="s">
        <v>1972</v>
      </c>
    </row>
    <row r="6574" spans="1:5" x14ac:dyDescent="0.2">
      <c r="A6574" s="126">
        <v>6513</v>
      </c>
      <c r="B6574" s="1832"/>
      <c r="D6574" s="2" t="str">
        <f t="shared" si="101"/>
        <v>OK</v>
      </c>
      <c r="E6574" s="4" t="s">
        <v>1972</v>
      </c>
    </row>
    <row r="6575" spans="1:5" x14ac:dyDescent="0.2">
      <c r="A6575" s="126">
        <v>6514</v>
      </c>
      <c r="B6575" s="1832"/>
      <c r="D6575" s="2" t="str">
        <f t="shared" si="101"/>
        <v>OK</v>
      </c>
      <c r="E6575" s="4" t="s">
        <v>1972</v>
      </c>
    </row>
    <row r="6576" spans="1:5" x14ac:dyDescent="0.2">
      <c r="A6576" s="126">
        <v>6515</v>
      </c>
      <c r="B6576" s="1832"/>
      <c r="D6576" s="2" t="str">
        <f t="shared" si="101"/>
        <v>OK</v>
      </c>
      <c r="E6576" s="4" t="s">
        <v>1972</v>
      </c>
    </row>
    <row r="6577" spans="1:5" x14ac:dyDescent="0.2">
      <c r="A6577" s="126">
        <v>6516</v>
      </c>
      <c r="B6577" s="1832"/>
      <c r="D6577" s="2" t="str">
        <f t="shared" si="101"/>
        <v>OK</v>
      </c>
      <c r="E6577" s="4" t="s">
        <v>1972</v>
      </c>
    </row>
    <row r="6578" spans="1:5" x14ac:dyDescent="0.2">
      <c r="A6578" s="126">
        <v>6517</v>
      </c>
      <c r="B6578" s="1832"/>
      <c r="D6578" s="2" t="str">
        <f t="shared" si="101"/>
        <v>OK</v>
      </c>
      <c r="E6578" s="4" t="s">
        <v>1972</v>
      </c>
    </row>
    <row r="6579" spans="1:5" x14ac:dyDescent="0.2">
      <c r="A6579" s="126">
        <v>6518</v>
      </c>
      <c r="B6579" s="1832"/>
      <c r="D6579" s="2" t="str">
        <f t="shared" si="101"/>
        <v>OK</v>
      </c>
      <c r="E6579" s="4" t="s">
        <v>1972</v>
      </c>
    </row>
    <row r="6580" spans="1:5" x14ac:dyDescent="0.2">
      <c r="A6580" s="126">
        <v>6519</v>
      </c>
      <c r="B6580" s="1832"/>
      <c r="D6580" s="2" t="str">
        <f t="shared" si="101"/>
        <v>OK</v>
      </c>
      <c r="E6580" s="4" t="s">
        <v>1972</v>
      </c>
    </row>
    <row r="6581" spans="1:5" x14ac:dyDescent="0.2">
      <c r="A6581" s="126">
        <v>6520</v>
      </c>
      <c r="B6581" s="1832"/>
      <c r="D6581" s="2" t="str">
        <f t="shared" si="101"/>
        <v>OK</v>
      </c>
      <c r="E6581" s="4" t="s">
        <v>1972</v>
      </c>
    </row>
    <row r="6582" spans="1:5" x14ac:dyDescent="0.2">
      <c r="A6582" s="126">
        <v>6521</v>
      </c>
      <c r="B6582" s="1832"/>
      <c r="D6582" s="2" t="str">
        <f t="shared" si="101"/>
        <v>OK</v>
      </c>
      <c r="E6582" s="4" t="s">
        <v>1972</v>
      </c>
    </row>
    <row r="6583" spans="1:5" x14ac:dyDescent="0.2">
      <c r="A6583" s="126">
        <v>6522</v>
      </c>
      <c r="B6583" s="1832"/>
      <c r="D6583" s="2" t="str">
        <f t="shared" si="101"/>
        <v>OK</v>
      </c>
      <c r="E6583" s="4" t="s">
        <v>1972</v>
      </c>
    </row>
    <row r="6584" spans="1:5" x14ac:dyDescent="0.2">
      <c r="A6584" s="126">
        <v>6523</v>
      </c>
      <c r="B6584" s="1832"/>
      <c r="D6584" s="2" t="str">
        <f t="shared" si="101"/>
        <v>OK</v>
      </c>
      <c r="E6584" s="4" t="s">
        <v>1972</v>
      </c>
    </row>
    <row r="6585" spans="1:5" x14ac:dyDescent="0.2">
      <c r="A6585" s="126">
        <v>6524</v>
      </c>
      <c r="B6585" s="1832"/>
      <c r="D6585" s="2" t="str">
        <f t="shared" si="101"/>
        <v>OK</v>
      </c>
      <c r="E6585" s="4" t="s">
        <v>1972</v>
      </c>
    </row>
    <row r="6586" spans="1:5" x14ac:dyDescent="0.2">
      <c r="A6586" s="126">
        <v>6525</v>
      </c>
      <c r="B6586" s="1832"/>
      <c r="D6586" s="2" t="str">
        <f t="shared" si="101"/>
        <v>OK</v>
      </c>
      <c r="E6586" s="4" t="s">
        <v>1972</v>
      </c>
    </row>
    <row r="6587" spans="1:5" x14ac:dyDescent="0.2">
      <c r="A6587" s="126">
        <v>6526</v>
      </c>
      <c r="B6587" s="1832"/>
      <c r="D6587" s="2" t="str">
        <f t="shared" si="101"/>
        <v>OK</v>
      </c>
      <c r="E6587" s="4" t="s">
        <v>1972</v>
      </c>
    </row>
    <row r="6588" spans="1:5" x14ac:dyDescent="0.2">
      <c r="A6588" s="126">
        <v>6527</v>
      </c>
      <c r="B6588" s="1832"/>
      <c r="D6588" s="2" t="str">
        <f t="shared" si="101"/>
        <v>OK</v>
      </c>
      <c r="E6588" s="4" t="s">
        <v>1972</v>
      </c>
    </row>
    <row r="6589" spans="1:5" x14ac:dyDescent="0.2">
      <c r="A6589" s="126">
        <v>6528</v>
      </c>
      <c r="B6589" s="1832"/>
      <c r="D6589" s="2" t="str">
        <f t="shared" si="101"/>
        <v>OK</v>
      </c>
      <c r="E6589" s="4" t="s">
        <v>1972</v>
      </c>
    </row>
    <row r="6590" spans="1:5" x14ac:dyDescent="0.2">
      <c r="A6590" s="126">
        <v>6529</v>
      </c>
      <c r="B6590" s="1832"/>
      <c r="D6590" s="2" t="str">
        <f t="shared" si="101"/>
        <v>OK</v>
      </c>
      <c r="E6590" s="4" t="s">
        <v>1972</v>
      </c>
    </row>
    <row r="6591" spans="1:5" x14ac:dyDescent="0.2">
      <c r="A6591" s="126">
        <v>6530</v>
      </c>
      <c r="B6591" s="1832"/>
      <c r="D6591" s="2" t="str">
        <f t="shared" ref="D6591:D6654" si="102">IF(ISBLANK(B6591),"OK",IF(A6591-B6591=0,"OK","Error?"))</f>
        <v>OK</v>
      </c>
      <c r="E6591" s="4" t="s">
        <v>1972</v>
      </c>
    </row>
    <row r="6592" spans="1:5" x14ac:dyDescent="0.2">
      <c r="A6592" s="126">
        <v>6531</v>
      </c>
      <c r="B6592" s="1832"/>
      <c r="D6592" s="2" t="str">
        <f t="shared" si="102"/>
        <v>OK</v>
      </c>
      <c r="E6592" s="4" t="s">
        <v>1972</v>
      </c>
    </row>
    <row r="6593" spans="1:5" x14ac:dyDescent="0.2">
      <c r="A6593" s="126">
        <v>6532</v>
      </c>
      <c r="B6593" s="1832"/>
      <c r="D6593" s="2" t="str">
        <f t="shared" si="102"/>
        <v>OK</v>
      </c>
      <c r="E6593" s="4" t="s">
        <v>1972</v>
      </c>
    </row>
    <row r="6594" spans="1:5" x14ac:dyDescent="0.2">
      <c r="A6594" s="126">
        <v>6533</v>
      </c>
      <c r="B6594" s="1832"/>
      <c r="D6594" s="2" t="str">
        <f t="shared" si="102"/>
        <v>OK</v>
      </c>
      <c r="E6594" s="4" t="s">
        <v>1972</v>
      </c>
    </row>
    <row r="6595" spans="1:5" x14ac:dyDescent="0.2">
      <c r="A6595" s="126">
        <v>6534</v>
      </c>
      <c r="B6595" s="1832"/>
      <c r="D6595" s="2" t="str">
        <f t="shared" si="102"/>
        <v>OK</v>
      </c>
      <c r="E6595" s="4" t="s">
        <v>1972</v>
      </c>
    </row>
    <row r="6596" spans="1:5" x14ac:dyDescent="0.2">
      <c r="A6596" s="126">
        <v>6535</v>
      </c>
      <c r="B6596" s="1832"/>
      <c r="D6596" s="2" t="str">
        <f t="shared" si="102"/>
        <v>OK</v>
      </c>
      <c r="E6596" s="4" t="s">
        <v>1972</v>
      </c>
    </row>
    <row r="6597" spans="1:5" x14ac:dyDescent="0.2">
      <c r="A6597" s="126">
        <v>6536</v>
      </c>
      <c r="B6597" s="1832"/>
      <c r="D6597" s="2" t="str">
        <f t="shared" si="102"/>
        <v>OK</v>
      </c>
      <c r="E6597" s="4" t="s">
        <v>1972</v>
      </c>
    </row>
    <row r="6598" spans="1:5" x14ac:dyDescent="0.2">
      <c r="A6598" s="126">
        <v>6537</v>
      </c>
      <c r="B6598" s="1832"/>
      <c r="D6598" s="2" t="str">
        <f t="shared" si="102"/>
        <v>OK</v>
      </c>
      <c r="E6598" s="4" t="s">
        <v>1972</v>
      </c>
    </row>
    <row r="6599" spans="1:5" x14ac:dyDescent="0.2">
      <c r="A6599" s="126">
        <v>6538</v>
      </c>
      <c r="B6599" s="1832"/>
      <c r="D6599" s="2" t="str">
        <f t="shared" si="102"/>
        <v>OK</v>
      </c>
      <c r="E6599" s="4" t="s">
        <v>1972</v>
      </c>
    </row>
    <row r="6600" spans="1:5" x14ac:dyDescent="0.2">
      <c r="A6600" s="126">
        <v>6539</v>
      </c>
      <c r="B6600" s="1832"/>
      <c r="D6600" s="2" t="str">
        <f t="shared" si="102"/>
        <v>OK</v>
      </c>
      <c r="E6600" s="4" t="s">
        <v>1972</v>
      </c>
    </row>
    <row r="6601" spans="1:5" x14ac:dyDescent="0.2">
      <c r="A6601" s="126">
        <v>6540</v>
      </c>
      <c r="B6601" s="1832"/>
      <c r="D6601" s="2" t="str">
        <f t="shared" si="102"/>
        <v>OK</v>
      </c>
      <c r="E6601" s="4" t="s">
        <v>1972</v>
      </c>
    </row>
    <row r="6602" spans="1:5" x14ac:dyDescent="0.2">
      <c r="A6602" s="126">
        <v>6541</v>
      </c>
      <c r="B6602" s="1832"/>
      <c r="D6602" s="2" t="str">
        <f t="shared" si="102"/>
        <v>OK</v>
      </c>
      <c r="E6602" s="4" t="s">
        <v>1972</v>
      </c>
    </row>
    <row r="6603" spans="1:5" x14ac:dyDescent="0.2">
      <c r="A6603" s="126">
        <v>6542</v>
      </c>
      <c r="B6603" s="1832"/>
      <c r="D6603" s="2" t="str">
        <f t="shared" si="102"/>
        <v>OK</v>
      </c>
      <c r="E6603" s="4" t="s">
        <v>1972</v>
      </c>
    </row>
    <row r="6604" spans="1:5" x14ac:dyDescent="0.2">
      <c r="A6604" s="126">
        <v>6543</v>
      </c>
      <c r="B6604" s="1832"/>
      <c r="D6604" s="2" t="str">
        <f t="shared" si="102"/>
        <v>OK</v>
      </c>
      <c r="E6604" s="4" t="s">
        <v>1972</v>
      </c>
    </row>
    <row r="6605" spans="1:5" x14ac:dyDescent="0.2">
      <c r="A6605" s="126">
        <v>6544</v>
      </c>
      <c r="B6605" s="1832"/>
      <c r="D6605" s="2" t="str">
        <f t="shared" si="102"/>
        <v>OK</v>
      </c>
      <c r="E6605" s="4" t="s">
        <v>1972</v>
      </c>
    </row>
    <row r="6606" spans="1:5" x14ac:dyDescent="0.2">
      <c r="A6606" s="126">
        <v>6545</v>
      </c>
      <c r="B6606" s="1832"/>
      <c r="D6606" s="2" t="str">
        <f t="shared" si="102"/>
        <v>OK</v>
      </c>
      <c r="E6606" s="4" t="s">
        <v>1972</v>
      </c>
    </row>
    <row r="6607" spans="1:5" x14ac:dyDescent="0.2">
      <c r="A6607" s="126">
        <v>6546</v>
      </c>
      <c r="B6607" s="1832"/>
      <c r="D6607" s="2" t="str">
        <f t="shared" si="102"/>
        <v>OK</v>
      </c>
      <c r="E6607" s="4" t="s">
        <v>1972</v>
      </c>
    </row>
    <row r="6608" spans="1:5" x14ac:dyDescent="0.2">
      <c r="A6608" s="126">
        <v>6547</v>
      </c>
      <c r="B6608" s="1832"/>
      <c r="D6608" s="2" t="str">
        <f t="shared" si="102"/>
        <v>OK</v>
      </c>
      <c r="E6608" s="4" t="s">
        <v>1972</v>
      </c>
    </row>
    <row r="6609" spans="1:5" x14ac:dyDescent="0.2">
      <c r="A6609" s="126">
        <v>6548</v>
      </c>
      <c r="B6609" s="1832"/>
      <c r="D6609" s="2" t="str">
        <f t="shared" si="102"/>
        <v>OK</v>
      </c>
      <c r="E6609" s="4" t="s">
        <v>1972</v>
      </c>
    </row>
    <row r="6610" spans="1:5" x14ac:dyDescent="0.2">
      <c r="A6610" s="126">
        <v>6549</v>
      </c>
      <c r="B6610" s="1832"/>
      <c r="D6610" s="2" t="str">
        <f t="shared" si="102"/>
        <v>OK</v>
      </c>
      <c r="E6610" s="4" t="s">
        <v>1972</v>
      </c>
    </row>
    <row r="6611" spans="1:5" x14ac:dyDescent="0.2">
      <c r="A6611" s="126">
        <v>6550</v>
      </c>
      <c r="B6611" s="1832"/>
      <c r="D6611" s="2" t="str">
        <f t="shared" si="102"/>
        <v>OK</v>
      </c>
      <c r="E6611" s="4" t="s">
        <v>1972</v>
      </c>
    </row>
    <row r="6612" spans="1:5" x14ac:dyDescent="0.2">
      <c r="A6612" s="126">
        <v>6551</v>
      </c>
      <c r="B6612" s="1832"/>
      <c r="D6612" s="2" t="str">
        <f t="shared" si="102"/>
        <v>OK</v>
      </c>
      <c r="E6612" s="4" t="s">
        <v>1972</v>
      </c>
    </row>
    <row r="6613" spans="1:5" x14ac:dyDescent="0.2">
      <c r="A6613" s="126">
        <v>6552</v>
      </c>
      <c r="B6613" s="1832"/>
      <c r="D6613" s="2" t="str">
        <f t="shared" si="102"/>
        <v>OK</v>
      </c>
      <c r="E6613" s="4" t="s">
        <v>1972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1876</v>
      </c>
    </row>
    <row r="6842" spans="1:5" x14ac:dyDescent="0.2">
      <c r="A6842" s="126">
        <v>6781</v>
      </c>
      <c r="B6842" s="1832"/>
      <c r="D6842" s="2" t="str">
        <f t="shared" si="105"/>
        <v>OK</v>
      </c>
      <c r="E6842" s="1" t="s">
        <v>1876</v>
      </c>
    </row>
    <row r="6843" spans="1:5" x14ac:dyDescent="0.2">
      <c r="A6843" s="126">
        <v>6782</v>
      </c>
      <c r="B6843" s="1832"/>
      <c r="D6843" s="2" t="str">
        <f t="shared" si="105"/>
        <v>OK</v>
      </c>
      <c r="E6843" s="1" t="s">
        <v>1876</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3698</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3698</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6628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1973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1973</v>
      </c>
    </row>
    <row r="7641" spans="1:6" x14ac:dyDescent="0.2">
      <c r="A7641" s="126">
        <f t="shared" si="125"/>
        <v>7580</v>
      </c>
      <c r="B7641" s="1833"/>
      <c r="D7641" s="2" t="str">
        <f t="shared" si="124"/>
        <v>OK</v>
      </c>
      <c r="E7641" s="4" t="s">
        <v>1973</v>
      </c>
    </row>
    <row r="7642" spans="1:6" x14ac:dyDescent="0.2">
      <c r="A7642" s="126">
        <f t="shared" si="125"/>
        <v>7581</v>
      </c>
      <c r="B7642" s="1833"/>
      <c r="D7642" s="2" t="str">
        <f t="shared" si="124"/>
        <v>OK</v>
      </c>
      <c r="E7642" s="4" t="s">
        <v>1973</v>
      </c>
    </row>
    <row r="7643" spans="1:6" x14ac:dyDescent="0.2">
      <c r="A7643" s="126">
        <f t="shared" si="125"/>
        <v>7582</v>
      </c>
      <c r="B7643" s="1833"/>
      <c r="D7643" s="2" t="str">
        <f t="shared" si="124"/>
        <v>OK</v>
      </c>
      <c r="E7643" s="4" t="s">
        <v>1973</v>
      </c>
    </row>
    <row r="7644" spans="1:6" x14ac:dyDescent="0.2">
      <c r="A7644" s="126">
        <f t="shared" si="125"/>
        <v>7583</v>
      </c>
      <c r="B7644" s="1833"/>
      <c r="D7644" s="2" t="str">
        <f t="shared" si="124"/>
        <v>OK</v>
      </c>
      <c r="E7644" s="4" t="s">
        <v>1973</v>
      </c>
    </row>
    <row r="7645" spans="1:6" x14ac:dyDescent="0.2">
      <c r="A7645" s="126">
        <f t="shared" si="125"/>
        <v>7584</v>
      </c>
      <c r="B7645" s="1833"/>
      <c r="D7645" s="2" t="str">
        <f t="shared" si="124"/>
        <v>OK</v>
      </c>
      <c r="E7645" s="4" t="s">
        <v>1973</v>
      </c>
    </row>
    <row r="7646" spans="1:6" x14ac:dyDescent="0.2">
      <c r="A7646" s="126">
        <f t="shared" si="125"/>
        <v>7585</v>
      </c>
      <c r="B7646" s="1833"/>
      <c r="D7646" s="2" t="str">
        <f t="shared" si="124"/>
        <v>OK</v>
      </c>
      <c r="E7646" s="4" t="s">
        <v>1973</v>
      </c>
    </row>
    <row r="7647" spans="1:6" x14ac:dyDescent="0.2">
      <c r="A7647" s="126">
        <f t="shared" si="125"/>
        <v>7586</v>
      </c>
      <c r="B7647" s="1833"/>
      <c r="D7647" s="2" t="str">
        <f t="shared" si="124"/>
        <v>OK</v>
      </c>
      <c r="E7647" s="4" t="s">
        <v>1973</v>
      </c>
    </row>
    <row r="7648" spans="1:6" x14ac:dyDescent="0.2">
      <c r="A7648" s="126">
        <f t="shared" si="125"/>
        <v>7587</v>
      </c>
      <c r="B7648" s="1833"/>
      <c r="D7648" s="2" t="str">
        <f t="shared" si="124"/>
        <v>OK</v>
      </c>
      <c r="E7648" s="4" t="s">
        <v>1973</v>
      </c>
    </row>
    <row r="7649" spans="1:5" x14ac:dyDescent="0.2">
      <c r="A7649" s="126">
        <f t="shared" si="125"/>
        <v>7588</v>
      </c>
      <c r="B7649" s="1833"/>
      <c r="D7649" s="2" t="str">
        <f t="shared" si="124"/>
        <v>OK</v>
      </c>
      <c r="E7649" s="4" t="s">
        <v>1973</v>
      </c>
    </row>
    <row r="7650" spans="1:5" x14ac:dyDescent="0.2">
      <c r="A7650" s="126">
        <f t="shared" si="125"/>
        <v>7589</v>
      </c>
      <c r="B7650" s="1833"/>
      <c r="D7650" s="2" t="str">
        <f t="shared" si="124"/>
        <v>OK</v>
      </c>
      <c r="E7650" s="4" t="s">
        <v>1973</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1975</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1804</v>
      </c>
    </row>
    <row r="7775" spans="1:5" x14ac:dyDescent="0.2">
      <c r="A7775">
        <v>7714</v>
      </c>
      <c r="B7775" s="1832">
        <f>'Expenditures 15-22'!H133</f>
        <v>0</v>
      </c>
      <c r="D7775" s="2" t="str">
        <f t="shared" si="127"/>
        <v>Error?</v>
      </c>
      <c r="E7775" s="4" t="s">
        <v>1804</v>
      </c>
    </row>
    <row r="7776" spans="1:5" x14ac:dyDescent="0.2">
      <c r="A7776">
        <v>7715</v>
      </c>
      <c r="B7776" s="1832">
        <f>'Expenditures 15-22'!K133</f>
        <v>0</v>
      </c>
      <c r="D7776" s="2" t="str">
        <f t="shared" si="127"/>
        <v>Error?</v>
      </c>
      <c r="E7776" s="4" t="s">
        <v>1804</v>
      </c>
    </row>
    <row r="7777" spans="1:5" x14ac:dyDescent="0.2">
      <c r="A7777">
        <v>7716</v>
      </c>
      <c r="B7777" s="1832">
        <f>'Expenditures 15-22'!H157</f>
        <v>0</v>
      </c>
      <c r="D7777" s="2" t="str">
        <f t="shared" si="127"/>
        <v>Error?</v>
      </c>
      <c r="E7777" s="4" t="s">
        <v>1804</v>
      </c>
    </row>
    <row r="7778" spans="1:5" x14ac:dyDescent="0.2">
      <c r="A7778">
        <v>7717</v>
      </c>
      <c r="B7778" s="1832">
        <f>'Expenditures 15-22'!K157</f>
        <v>0</v>
      </c>
      <c r="D7778" s="2" t="str">
        <f t="shared" si="127"/>
        <v>Error?</v>
      </c>
      <c r="E7778" s="4" t="s">
        <v>1804</v>
      </c>
    </row>
    <row r="7779" spans="1:5" x14ac:dyDescent="0.2">
      <c r="A7779">
        <v>7718</v>
      </c>
      <c r="B7779" s="1832">
        <f>'Expenditures 15-22'!H158</f>
        <v>0</v>
      </c>
      <c r="D7779" s="2" t="str">
        <f t="shared" si="127"/>
        <v>Error?</v>
      </c>
      <c r="E7779" s="4" t="s">
        <v>1804</v>
      </c>
    </row>
    <row r="7780" spans="1:5" x14ac:dyDescent="0.2">
      <c r="A7780">
        <v>7719</v>
      </c>
      <c r="B7780" s="1832">
        <f>'Expenditures 15-22'!K158</f>
        <v>0</v>
      </c>
      <c r="D7780" s="2" t="str">
        <f t="shared" si="127"/>
        <v>Error?</v>
      </c>
      <c r="E7780" s="4" t="s">
        <v>1804</v>
      </c>
    </row>
    <row r="7781" spans="1:5" x14ac:dyDescent="0.2">
      <c r="A7781">
        <v>7720</v>
      </c>
      <c r="B7781" s="1832">
        <f>'Expenditures 15-22'!H159</f>
        <v>0</v>
      </c>
      <c r="D7781" s="2" t="str">
        <f t="shared" si="127"/>
        <v>Error?</v>
      </c>
      <c r="E7781" s="4" t="s">
        <v>1804</v>
      </c>
    </row>
    <row r="7782" spans="1:5" x14ac:dyDescent="0.2">
      <c r="A7782">
        <v>7721</v>
      </c>
      <c r="B7782" s="1832">
        <f>'Expenditures 15-22'!K159</f>
        <v>0</v>
      </c>
      <c r="D7782" s="2" t="str">
        <f t="shared" si="127"/>
        <v>Error?</v>
      </c>
      <c r="E7782" s="4" t="s">
        <v>1804</v>
      </c>
    </row>
    <row r="7783" spans="1:5" x14ac:dyDescent="0.2">
      <c r="A7783">
        <v>7722</v>
      </c>
      <c r="B7783" s="1832">
        <f>'Expenditures 15-22'!D282</f>
        <v>0</v>
      </c>
      <c r="D7783" s="2" t="str">
        <f t="shared" si="127"/>
        <v>Error?</v>
      </c>
      <c r="E7783" s="4" t="s">
        <v>1804</v>
      </c>
    </row>
    <row r="7784" spans="1:5" x14ac:dyDescent="0.2">
      <c r="A7784">
        <v>7723</v>
      </c>
      <c r="B7784" s="1832">
        <f>'Expenditures 15-22'!K282</f>
        <v>0</v>
      </c>
      <c r="D7784" s="2" t="str">
        <f t="shared" si="127"/>
        <v>Error?</v>
      </c>
      <c r="E7784" s="4" t="s">
        <v>1804</v>
      </c>
    </row>
    <row r="7785" spans="1:5" x14ac:dyDescent="0.2">
      <c r="A7785">
        <v>7724</v>
      </c>
      <c r="B7785" s="1832">
        <f>'Expenditures 15-22'!H332</f>
        <v>0</v>
      </c>
      <c r="D7785" s="2" t="str">
        <f t="shared" si="127"/>
        <v>Error?</v>
      </c>
      <c r="E7785" s="4" t="s">
        <v>1804</v>
      </c>
    </row>
    <row r="7786" spans="1:5" x14ac:dyDescent="0.2">
      <c r="A7786">
        <v>7725</v>
      </c>
      <c r="B7786" s="1832">
        <f>'Expenditures 15-22'!K332</f>
        <v>0</v>
      </c>
      <c r="D7786" s="2" t="str">
        <f t="shared" si="127"/>
        <v>Error?</v>
      </c>
      <c r="E7786" s="4" t="s">
        <v>1804</v>
      </c>
    </row>
    <row r="7787" spans="1:5" x14ac:dyDescent="0.2">
      <c r="A7787">
        <v>7726</v>
      </c>
      <c r="B7787" s="1832">
        <f>'Expenditures 15-22'!H333</f>
        <v>0</v>
      </c>
      <c r="D7787" s="2" t="str">
        <f t="shared" si="127"/>
        <v>Error?</v>
      </c>
      <c r="E7787" s="4" t="s">
        <v>1804</v>
      </c>
    </row>
    <row r="7788" spans="1:5" x14ac:dyDescent="0.2">
      <c r="A7788">
        <v>7727</v>
      </c>
      <c r="B7788" s="1832">
        <f>'Expenditures 15-22'!K333</f>
        <v>0</v>
      </c>
      <c r="D7788" s="2" t="str">
        <f t="shared" si="127"/>
        <v>Error?</v>
      </c>
      <c r="E7788" s="4" t="s">
        <v>1804</v>
      </c>
    </row>
    <row r="7789" spans="1:5" x14ac:dyDescent="0.2">
      <c r="A7789">
        <v>7728</v>
      </c>
      <c r="B7789" s="1832">
        <f>'Expenditures 15-22'!H334</f>
        <v>0</v>
      </c>
      <c r="D7789" s="2" t="str">
        <f t="shared" si="127"/>
        <v>Error?</v>
      </c>
      <c r="E7789" s="4" t="s">
        <v>1804</v>
      </c>
    </row>
    <row r="7790" spans="1:5" x14ac:dyDescent="0.2">
      <c r="A7790">
        <v>7729</v>
      </c>
      <c r="B7790" s="1832">
        <f>'Expenditures 15-22'!K334</f>
        <v>0</v>
      </c>
      <c r="D7790" s="2" t="str">
        <f t="shared" si="127"/>
        <v>Error?</v>
      </c>
      <c r="E7790" s="4" t="s">
        <v>1804</v>
      </c>
    </row>
    <row r="7791" spans="1:5" x14ac:dyDescent="0.2">
      <c r="A7791">
        <v>7730</v>
      </c>
      <c r="B7791" s="1832">
        <f>'Expenditures 15-22'!H354</f>
        <v>0</v>
      </c>
      <c r="D7791" s="2" t="str">
        <f t="shared" si="127"/>
        <v>Error?</v>
      </c>
      <c r="E7791" s="4" t="s">
        <v>1804</v>
      </c>
    </row>
    <row r="7792" spans="1:5" x14ac:dyDescent="0.2">
      <c r="A7792">
        <v>7731</v>
      </c>
      <c r="B7792" s="1832">
        <f>'Expenditures 15-22'!K354</f>
        <v>0</v>
      </c>
      <c r="D7792" s="2" t="str">
        <f t="shared" si="127"/>
        <v>Error?</v>
      </c>
      <c r="E7792" s="4" t="s">
        <v>1804</v>
      </c>
    </row>
    <row r="7793" spans="1:5" x14ac:dyDescent="0.2">
      <c r="A7793">
        <v>7732</v>
      </c>
      <c r="B7793" s="1832">
        <f>'Expenditures 15-22'!H355</f>
        <v>0</v>
      </c>
      <c r="D7793" s="2" t="str">
        <f t="shared" si="127"/>
        <v>Error?</v>
      </c>
      <c r="E7793" s="4" t="s">
        <v>1804</v>
      </c>
    </row>
    <row r="7794" spans="1:5" x14ac:dyDescent="0.2">
      <c r="A7794">
        <v>7733</v>
      </c>
      <c r="B7794" s="1832">
        <f>'Expenditures 15-22'!K355</f>
        <v>0</v>
      </c>
      <c r="D7794" s="2" t="str">
        <f t="shared" si="127"/>
        <v>Error?</v>
      </c>
      <c r="E7794" s="4" t="s">
        <v>1804</v>
      </c>
    </row>
    <row r="7795" spans="1:5" x14ac:dyDescent="0.2">
      <c r="A7795">
        <v>7734</v>
      </c>
      <c r="B7795" s="1832">
        <f>'Expenditures 15-22'!E138</f>
        <v>0</v>
      </c>
      <c r="D7795" s="2" t="str">
        <f t="shared" si="127"/>
        <v>Error?</v>
      </c>
      <c r="E7795" s="4" t="s">
        <v>1804</v>
      </c>
    </row>
    <row r="7796" spans="1:5" x14ac:dyDescent="0.2">
      <c r="A7796">
        <v>7735</v>
      </c>
      <c r="B7796" s="1832">
        <f>'Acct Summary 7-8'!J15</f>
        <v>0</v>
      </c>
      <c r="D7796" s="2" t="str">
        <f t="shared" si="127"/>
        <v>Error?</v>
      </c>
      <c r="E7796" s="4" t="s">
        <v>1804</v>
      </c>
    </row>
    <row r="7797" spans="1:5" x14ac:dyDescent="0.2">
      <c r="A7797" s="126">
        <v>7736</v>
      </c>
      <c r="B7797" s="1832"/>
      <c r="D7797" s="2" t="str">
        <f t="shared" si="127"/>
        <v>OK</v>
      </c>
      <c r="E7797" s="4" t="s">
        <v>1957</v>
      </c>
    </row>
    <row r="7798" spans="1:5" x14ac:dyDescent="0.2">
      <c r="A7798" s="126">
        <v>7737</v>
      </c>
      <c r="B7798" s="1832"/>
      <c r="D7798" s="2" t="str">
        <f t="shared" si="127"/>
        <v>OK</v>
      </c>
      <c r="E7798" s="4" t="s">
        <v>1957</v>
      </c>
    </row>
    <row r="7799" spans="1:5" x14ac:dyDescent="0.2">
      <c r="A7799" s="126">
        <v>7738</v>
      </c>
      <c r="B7799" s="1832"/>
      <c r="D7799" s="2" t="str">
        <f t="shared" si="127"/>
        <v>OK</v>
      </c>
      <c r="E7799" s="4" t="s">
        <v>1957</v>
      </c>
    </row>
    <row r="7800" spans="1:5" x14ac:dyDescent="0.2">
      <c r="A7800">
        <v>7739</v>
      </c>
      <c r="B7800" s="1832">
        <f>'Rest Tax Levies-Tort Im 25'!K23</f>
        <v>0</v>
      </c>
      <c r="D7800" s="2" t="str">
        <f t="shared" si="127"/>
        <v>Error?</v>
      </c>
      <c r="E7800" s="4" t="s">
        <v>1944</v>
      </c>
    </row>
    <row r="7801" spans="1:5" x14ac:dyDescent="0.2">
      <c r="A7801">
        <v>7740</v>
      </c>
      <c r="B7801" s="1832">
        <f>'Revenues 9-14'!C120</f>
        <v>0</v>
      </c>
      <c r="D7801" s="2" t="str">
        <f t="shared" si="127"/>
        <v>Error?</v>
      </c>
      <c r="E7801" s="4" t="s">
        <v>1878</v>
      </c>
    </row>
    <row r="7802" spans="1:5" x14ac:dyDescent="0.2">
      <c r="A7802">
        <v>7741</v>
      </c>
      <c r="B7802" s="1832">
        <f>'Revenues 9-14'!D120</f>
        <v>0</v>
      </c>
      <c r="D7802" s="2" t="str">
        <f t="shared" si="127"/>
        <v>Error?</v>
      </c>
      <c r="E7802" s="4" t="s">
        <v>1878</v>
      </c>
    </row>
    <row r="7803" spans="1:5" x14ac:dyDescent="0.2">
      <c r="A7803">
        <v>7742</v>
      </c>
      <c r="B7803" s="1832">
        <f>'Revenues 9-14'!E120</f>
        <v>0</v>
      </c>
      <c r="D7803" s="2" t="str">
        <f t="shared" si="127"/>
        <v>Error?</v>
      </c>
      <c r="E7803" s="4" t="s">
        <v>1878</v>
      </c>
    </row>
    <row r="7804" spans="1:5" x14ac:dyDescent="0.2">
      <c r="A7804">
        <v>7743</v>
      </c>
      <c r="B7804" s="1832">
        <f>'Revenues 9-14'!F120</f>
        <v>0</v>
      </c>
      <c r="D7804" s="2" t="str">
        <f t="shared" si="127"/>
        <v>Error?</v>
      </c>
      <c r="E7804" s="4" t="s">
        <v>1878</v>
      </c>
    </row>
    <row r="7805" spans="1:5" x14ac:dyDescent="0.2">
      <c r="A7805">
        <v>7744</v>
      </c>
      <c r="B7805" s="1832">
        <f>'Revenues 9-14'!G120</f>
        <v>0</v>
      </c>
      <c r="D7805" s="2" t="str">
        <f t="shared" si="127"/>
        <v>Error?</v>
      </c>
      <c r="E7805" s="4" t="s">
        <v>1878</v>
      </c>
    </row>
    <row r="7806" spans="1:5" x14ac:dyDescent="0.2">
      <c r="A7806">
        <v>7745</v>
      </c>
      <c r="B7806" s="1832">
        <f>'Revenues 9-14'!H120</f>
        <v>0</v>
      </c>
      <c r="D7806" s="2" t="str">
        <f t="shared" si="127"/>
        <v>Error?</v>
      </c>
      <c r="E7806" s="4" t="s">
        <v>1878</v>
      </c>
    </row>
    <row r="7807" spans="1:5" x14ac:dyDescent="0.2">
      <c r="A7807">
        <v>7746</v>
      </c>
      <c r="B7807" s="1832">
        <f>'Revenues 9-14'!J120</f>
        <v>0</v>
      </c>
      <c r="D7807" s="2" t="str">
        <f t="shared" ref="D7807:D7821" si="128">IF(ISBLANK(B7807),"OK",IF(A7807-B7807=0,"OK","Error?"))</f>
        <v>Error?</v>
      </c>
      <c r="E7807" s="4" t="s">
        <v>1878</v>
      </c>
    </row>
    <row r="7808" spans="1:5" x14ac:dyDescent="0.2">
      <c r="A7808">
        <v>7747</v>
      </c>
      <c r="B7808" s="1832">
        <f>'Revenues 9-14'!K120</f>
        <v>0</v>
      </c>
      <c r="D7808" s="2" t="str">
        <f t="shared" si="128"/>
        <v>Error?</v>
      </c>
      <c r="E7808" s="4" t="s">
        <v>1878</v>
      </c>
    </row>
    <row r="7809" spans="1:5" x14ac:dyDescent="0.2">
      <c r="A7809">
        <v>7748</v>
      </c>
      <c r="B7809" s="1832">
        <f>'Revenues 9-14'!C261</f>
        <v>0</v>
      </c>
      <c r="D7809" s="2" t="str">
        <f t="shared" si="128"/>
        <v>Error?</v>
      </c>
      <c r="E7809" s="4" t="s">
        <v>1879</v>
      </c>
    </row>
    <row r="7810" spans="1:5" x14ac:dyDescent="0.2">
      <c r="A7810">
        <v>7749</v>
      </c>
      <c r="B7810" s="1832">
        <f>'Revenues 9-14'!D261</f>
        <v>0</v>
      </c>
      <c r="D7810" s="2" t="str">
        <f t="shared" si="128"/>
        <v>Error?</v>
      </c>
      <c r="E7810" s="4" t="s">
        <v>1879</v>
      </c>
    </row>
    <row r="7811" spans="1:5" x14ac:dyDescent="0.2">
      <c r="A7811">
        <v>7750</v>
      </c>
      <c r="B7811" s="1832">
        <f>'Revenues 9-14'!F261</f>
        <v>0</v>
      </c>
      <c r="D7811" s="2" t="str">
        <f t="shared" si="128"/>
        <v>Error?</v>
      </c>
      <c r="E7811" s="4" t="s">
        <v>1879</v>
      </c>
    </row>
    <row r="7812" spans="1:5" x14ac:dyDescent="0.2">
      <c r="A7812">
        <v>7751</v>
      </c>
      <c r="B7812" s="1832">
        <f>'Revenues 9-14'!G261</f>
        <v>0</v>
      </c>
      <c r="D7812" s="2" t="str">
        <f t="shared" si="128"/>
        <v>Error?</v>
      </c>
      <c r="E7812" s="4" t="s">
        <v>1879</v>
      </c>
    </row>
    <row r="7813" spans="1:5" x14ac:dyDescent="0.2">
      <c r="A7813">
        <v>7752</v>
      </c>
      <c r="B7813" s="1832">
        <f>'Revenues 9-14'!C262</f>
        <v>0</v>
      </c>
      <c r="D7813" s="2" t="str">
        <f t="shared" si="128"/>
        <v>Error?</v>
      </c>
      <c r="E7813" s="4" t="s">
        <v>1880</v>
      </c>
    </row>
    <row r="7814" spans="1:5" x14ac:dyDescent="0.2">
      <c r="A7814">
        <v>7753</v>
      </c>
      <c r="B7814" s="1832">
        <f>'Revenues 9-14'!D262</f>
        <v>0</v>
      </c>
      <c r="D7814" s="2" t="str">
        <f t="shared" si="128"/>
        <v>Error?</v>
      </c>
      <c r="E7814" s="4" t="s">
        <v>1880</v>
      </c>
    </row>
    <row r="7815" spans="1:5" x14ac:dyDescent="0.2">
      <c r="A7815">
        <v>7754</v>
      </c>
      <c r="B7815" s="1832">
        <f>'Revenues 9-14'!F262</f>
        <v>0</v>
      </c>
      <c r="D7815" s="2" t="str">
        <f t="shared" si="128"/>
        <v>Error?</v>
      </c>
      <c r="E7815" s="4" t="s">
        <v>1880</v>
      </c>
    </row>
    <row r="7816" spans="1:5" x14ac:dyDescent="0.2">
      <c r="A7816">
        <v>7755</v>
      </c>
      <c r="B7816" s="1832">
        <f>'Revenues 9-14'!G262</f>
        <v>0</v>
      </c>
      <c r="D7816" s="2" t="str">
        <f t="shared" si="128"/>
        <v>Error?</v>
      </c>
      <c r="E7816" s="4" t="s">
        <v>1880</v>
      </c>
    </row>
    <row r="7817" spans="1:5" x14ac:dyDescent="0.2">
      <c r="A7817">
        <v>7756</v>
      </c>
      <c r="B7817" s="1832">
        <f>'Short-Term Long-Term Debt 24'!C49</f>
        <v>0</v>
      </c>
      <c r="D7817" s="2" t="str">
        <f t="shared" si="128"/>
        <v>Error?</v>
      </c>
      <c r="E7817" s="4" t="s">
        <v>1944</v>
      </c>
    </row>
    <row r="7818" spans="1:5" x14ac:dyDescent="0.2">
      <c r="A7818">
        <v>7757</v>
      </c>
      <c r="B7818" s="1832">
        <f>'PCTC-OEPP 27-28'!F172</f>
        <v>0</v>
      </c>
      <c r="D7818" s="2" t="str">
        <f t="shared" si="128"/>
        <v>Error?</v>
      </c>
      <c r="E7818" s="4" t="s">
        <v>1958</v>
      </c>
    </row>
    <row r="7819" spans="1:5" x14ac:dyDescent="0.2">
      <c r="A7819">
        <v>7758</v>
      </c>
      <c r="B7819" s="1832">
        <f>'PCTC-OEPP 27-28'!F173</f>
        <v>0</v>
      </c>
      <c r="D7819" s="2" t="str">
        <f t="shared" si="128"/>
        <v>Error?</v>
      </c>
      <c r="E7819" s="4" t="s">
        <v>1958</v>
      </c>
    </row>
    <row r="7820" spans="1:5" x14ac:dyDescent="0.2">
      <c r="A7820">
        <v>7759</v>
      </c>
      <c r="B7820" s="1832">
        <f>'ICR Computation 30'!E40</f>
        <v>-19026</v>
      </c>
      <c r="D7820" s="2" t="str">
        <f t="shared" si="128"/>
        <v>Error?</v>
      </c>
    </row>
    <row r="7821" spans="1:5" x14ac:dyDescent="0.2">
      <c r="A7821">
        <v>7760</v>
      </c>
      <c r="B7821" s="1832">
        <f>'ICR Computation 30'!G40</f>
        <v>-19026</v>
      </c>
      <c r="D7821" s="2" t="str">
        <f t="shared" si="128"/>
        <v>Error?</v>
      </c>
    </row>
    <row r="7822" spans="1:5" x14ac:dyDescent="0.2">
      <c r="A7822" s="1">
        <v>7761</v>
      </c>
      <c r="B7822" s="1832">
        <f>'PCTC-OEPP 27-28'!F14</f>
        <v>2884040</v>
      </c>
      <c r="D7822" s="4" t="s">
        <v>1975</v>
      </c>
      <c r="E7822" s="4" t="s">
        <v>1976</v>
      </c>
    </row>
    <row r="7823" spans="1:5" x14ac:dyDescent="0.2">
      <c r="A7823" s="1">
        <v>7762</v>
      </c>
      <c r="B7823" s="1832">
        <f>'PCTC-OEPP 27-28'!F30</f>
        <v>0</v>
      </c>
      <c r="D7823" s="4" t="s">
        <v>1975</v>
      </c>
      <c r="E7823" s="4" t="s">
        <v>1976</v>
      </c>
    </row>
    <row r="7824" spans="1:5" x14ac:dyDescent="0.2">
      <c r="A7824" s="1">
        <v>7763</v>
      </c>
      <c r="B7824" s="1832">
        <f>'PCTC-OEPP 27-28'!F31</f>
        <v>0</v>
      </c>
      <c r="D7824" s="4" t="s">
        <v>1975</v>
      </c>
      <c r="E7824" s="4" t="s">
        <v>1976</v>
      </c>
    </row>
    <row r="7825" spans="1:5" x14ac:dyDescent="0.2">
      <c r="A7825" s="1">
        <v>7764</v>
      </c>
      <c r="B7825" s="1832">
        <f>'PCTC-OEPP 27-28'!F32</f>
        <v>0</v>
      </c>
      <c r="D7825" s="2" t="str">
        <f t="shared" ref="D7825:D7887" si="129">IF(ISBLANK(B7825),"OK",IF(A7825-B7825=0,"OK","Error?"))</f>
        <v>Error?</v>
      </c>
      <c r="E7825" s="4" t="s">
        <v>1976</v>
      </c>
    </row>
    <row r="7826" spans="1:5" x14ac:dyDescent="0.2">
      <c r="A7826">
        <v>7765</v>
      </c>
      <c r="B7826" s="1832">
        <f>'PCTC-OEPP 27-28'!F34</f>
        <v>0</v>
      </c>
      <c r="D7826" s="2" t="str">
        <f t="shared" si="129"/>
        <v>Error?</v>
      </c>
      <c r="E7826" s="4" t="s">
        <v>1976</v>
      </c>
    </row>
    <row r="7827" spans="1:5" x14ac:dyDescent="0.2">
      <c r="A7827">
        <v>7766</v>
      </c>
      <c r="B7827" s="1832">
        <f>'PCTC-OEPP 27-28'!F35</f>
        <v>0</v>
      </c>
      <c r="D7827" s="2" t="str">
        <f t="shared" si="129"/>
        <v>Error?</v>
      </c>
      <c r="E7827" s="4" t="s">
        <v>1976</v>
      </c>
    </row>
    <row r="7828" spans="1:5" x14ac:dyDescent="0.2">
      <c r="A7828">
        <v>7767</v>
      </c>
      <c r="B7828" s="1832">
        <f>'PCTC-OEPP 27-28'!F36</f>
        <v>0</v>
      </c>
      <c r="D7828" s="2" t="str">
        <f t="shared" si="129"/>
        <v>Error?</v>
      </c>
      <c r="E7828" s="4" t="s">
        <v>1976</v>
      </c>
    </row>
    <row r="7829" spans="1:5" x14ac:dyDescent="0.2">
      <c r="A7829">
        <v>7768</v>
      </c>
      <c r="B7829" s="1832">
        <f>'PCTC-OEPP 27-28'!F37</f>
        <v>0</v>
      </c>
      <c r="D7829" s="2" t="str">
        <f t="shared" si="129"/>
        <v>Error?</v>
      </c>
      <c r="E7829" s="4" t="s">
        <v>1976</v>
      </c>
    </row>
    <row r="7830" spans="1:5" x14ac:dyDescent="0.2">
      <c r="A7830">
        <v>7769</v>
      </c>
      <c r="B7830" s="1832">
        <f>'PCTC-OEPP 27-28'!F38</f>
        <v>0</v>
      </c>
      <c r="D7830" s="2" t="str">
        <f t="shared" si="129"/>
        <v>Error?</v>
      </c>
      <c r="E7830" s="4" t="s">
        <v>1976</v>
      </c>
    </row>
    <row r="7831" spans="1:5" x14ac:dyDescent="0.2">
      <c r="A7831">
        <v>7770</v>
      </c>
      <c r="B7831" s="1832">
        <f>'PCTC-OEPP 27-28'!F52</f>
        <v>0</v>
      </c>
      <c r="D7831" s="2" t="str">
        <f t="shared" si="129"/>
        <v>Error?</v>
      </c>
      <c r="E7831" s="4" t="s">
        <v>1976</v>
      </c>
    </row>
    <row r="7832" spans="1:5" x14ac:dyDescent="0.2">
      <c r="A7832">
        <v>7771</v>
      </c>
      <c r="B7832" s="1832">
        <f>'PCTC-OEPP 27-28'!F56</f>
        <v>0</v>
      </c>
      <c r="D7832" s="2" t="str">
        <f t="shared" si="129"/>
        <v>Error?</v>
      </c>
      <c r="E7832" s="4" t="s">
        <v>1976</v>
      </c>
    </row>
    <row r="7833" spans="1:5" x14ac:dyDescent="0.2">
      <c r="A7833">
        <v>7772</v>
      </c>
      <c r="B7833" s="1832">
        <f>'PCTC-OEPP 27-28'!F62</f>
        <v>0</v>
      </c>
      <c r="D7833" s="2" t="str">
        <f t="shared" si="129"/>
        <v>Error?</v>
      </c>
      <c r="E7833" s="4" t="s">
        <v>1976</v>
      </c>
    </row>
    <row r="7834" spans="1:5" x14ac:dyDescent="0.2">
      <c r="A7834">
        <v>7773</v>
      </c>
      <c r="B7834" s="1832">
        <f>'PCTC-OEPP 27-28'!F77</f>
        <v>15967</v>
      </c>
      <c r="D7834" s="2" t="str">
        <f t="shared" si="129"/>
        <v>Error?</v>
      </c>
      <c r="E7834" s="4" t="s">
        <v>1976</v>
      </c>
    </row>
    <row r="7835" spans="1:5" x14ac:dyDescent="0.2">
      <c r="A7835">
        <v>7774</v>
      </c>
      <c r="B7835" s="1832">
        <f>'PCTC-OEPP 27-28'!F78</f>
        <v>2868073</v>
      </c>
      <c r="D7835" s="2" t="str">
        <f t="shared" si="129"/>
        <v>Error?</v>
      </c>
      <c r="E7835" s="4" t="s">
        <v>1976</v>
      </c>
    </row>
    <row r="7836" spans="1:5" x14ac:dyDescent="0.2">
      <c r="A7836" s="126">
        <v>7775</v>
      </c>
      <c r="B7836" s="1832"/>
      <c r="D7836" s="2" t="str">
        <f t="shared" si="129"/>
        <v>OK</v>
      </c>
      <c r="E7836" s="4" t="s">
        <v>1978</v>
      </c>
    </row>
    <row r="7837" spans="1:5" x14ac:dyDescent="0.2">
      <c r="A7837">
        <v>7776</v>
      </c>
      <c r="B7837" s="1832" t="str">
        <f>'PCTC-OEPP 27-28'!F80</f>
        <v xml:space="preserve"> Complete Line 79</v>
      </c>
      <c r="D7837" s="2" t="e">
        <f t="shared" si="129"/>
        <v>#VALUE!</v>
      </c>
      <c r="E7837" s="4" t="s">
        <v>1976</v>
      </c>
    </row>
    <row r="7838" spans="1:5" x14ac:dyDescent="0.2">
      <c r="A7838">
        <v>7777</v>
      </c>
      <c r="B7838" s="1832">
        <f>'PCTC-OEPP 27-28'!F96</f>
        <v>0</v>
      </c>
      <c r="D7838" s="2" t="str">
        <f t="shared" si="129"/>
        <v>Error?</v>
      </c>
      <c r="E7838" s="4" t="s">
        <v>1976</v>
      </c>
    </row>
    <row r="7839" spans="1:5" x14ac:dyDescent="0.2">
      <c r="A7839">
        <v>7778</v>
      </c>
      <c r="B7839" s="1832">
        <f>'PCTC-OEPP 27-28'!F102</f>
        <v>0</v>
      </c>
      <c r="D7839" s="2" t="str">
        <f t="shared" si="129"/>
        <v>Error?</v>
      </c>
      <c r="E7839" s="4" t="s">
        <v>1976</v>
      </c>
    </row>
    <row r="7840" spans="1:5" x14ac:dyDescent="0.2">
      <c r="A7840">
        <v>7779</v>
      </c>
      <c r="B7840" s="1832">
        <f>'PCTC-OEPP 27-28'!F103</f>
        <v>16774</v>
      </c>
      <c r="D7840" s="2" t="str">
        <f t="shared" si="129"/>
        <v>Error?</v>
      </c>
      <c r="E7840" s="4" t="s">
        <v>1976</v>
      </c>
    </row>
    <row r="7841" spans="1:5" x14ac:dyDescent="0.2">
      <c r="A7841">
        <v>7780</v>
      </c>
      <c r="B7841" s="1832">
        <f>'PCTC-OEPP 27-28'!F104</f>
        <v>656751</v>
      </c>
      <c r="D7841" s="2" t="str">
        <f t="shared" si="129"/>
        <v>Error?</v>
      </c>
      <c r="E7841" s="4" t="s">
        <v>1976</v>
      </c>
    </row>
    <row r="7842" spans="1:5" x14ac:dyDescent="0.2">
      <c r="A7842">
        <v>7781</v>
      </c>
      <c r="B7842" s="1832">
        <f>'PCTC-OEPP 27-28'!F106</f>
        <v>260370</v>
      </c>
      <c r="D7842" s="2" t="str">
        <f t="shared" si="129"/>
        <v>Error?</v>
      </c>
      <c r="E7842" s="4" t="s">
        <v>1976</v>
      </c>
    </row>
    <row r="7843" spans="1:5" x14ac:dyDescent="0.2">
      <c r="A7843">
        <v>7782</v>
      </c>
      <c r="B7843" s="1832">
        <f>'PCTC-OEPP 27-28'!F107</f>
        <v>0</v>
      </c>
      <c r="D7843" s="2" t="str">
        <f t="shared" si="129"/>
        <v>Error?</v>
      </c>
      <c r="E7843" s="4" t="s">
        <v>1976</v>
      </c>
    </row>
    <row r="7844" spans="1:5" x14ac:dyDescent="0.2">
      <c r="A7844">
        <v>7783</v>
      </c>
      <c r="B7844" s="1832">
        <f>'PCTC-OEPP 27-28'!F108</f>
        <v>0</v>
      </c>
      <c r="D7844" s="2" t="str">
        <f t="shared" si="129"/>
        <v>Error?</v>
      </c>
      <c r="E7844" s="4" t="s">
        <v>1976</v>
      </c>
    </row>
    <row r="7845" spans="1:5" x14ac:dyDescent="0.2">
      <c r="A7845">
        <v>7784</v>
      </c>
      <c r="B7845" s="1832">
        <f>'PCTC-OEPP 27-28'!F110</f>
        <v>0</v>
      </c>
      <c r="D7845" s="2" t="str">
        <f t="shared" si="129"/>
        <v>Error?</v>
      </c>
      <c r="E7845" s="4" t="s">
        <v>1976</v>
      </c>
    </row>
    <row r="7846" spans="1:5" x14ac:dyDescent="0.2">
      <c r="A7846">
        <v>7785</v>
      </c>
      <c r="B7846" s="1832">
        <f>'PCTC-OEPP 27-28'!F111</f>
        <v>0</v>
      </c>
      <c r="D7846" s="2" t="str">
        <f t="shared" si="129"/>
        <v>Error?</v>
      </c>
      <c r="E7846" s="4" t="s">
        <v>1976</v>
      </c>
    </row>
    <row r="7847" spans="1:5" x14ac:dyDescent="0.2">
      <c r="A7847">
        <v>7786</v>
      </c>
      <c r="B7847" s="1832">
        <f>'PCTC-OEPP 27-28'!F112</f>
        <v>0</v>
      </c>
      <c r="D7847" s="2" t="str">
        <f t="shared" si="129"/>
        <v>Error?</v>
      </c>
      <c r="E7847" s="4" t="s">
        <v>1976</v>
      </c>
    </row>
    <row r="7848" spans="1:5" x14ac:dyDescent="0.2">
      <c r="A7848">
        <v>7787</v>
      </c>
      <c r="B7848" s="1832">
        <f>'PCTC-OEPP 27-28'!F114</f>
        <v>0</v>
      </c>
      <c r="D7848" s="2" t="str">
        <f t="shared" si="129"/>
        <v>Error?</v>
      </c>
      <c r="E7848" s="4" t="s">
        <v>1976</v>
      </c>
    </row>
    <row r="7849" spans="1:5" x14ac:dyDescent="0.2">
      <c r="A7849">
        <v>7788</v>
      </c>
      <c r="B7849" s="1832">
        <f>'PCTC-OEPP 27-28'!F115</f>
        <v>0</v>
      </c>
      <c r="D7849" s="2" t="str">
        <f t="shared" si="129"/>
        <v>Error?</v>
      </c>
      <c r="E7849" s="4" t="s">
        <v>1976</v>
      </c>
    </row>
    <row r="7850" spans="1:5" x14ac:dyDescent="0.2">
      <c r="A7850">
        <v>7789</v>
      </c>
      <c r="B7850" s="1832">
        <f>'PCTC-OEPP 27-28'!F116</f>
        <v>0</v>
      </c>
      <c r="D7850" s="2" t="str">
        <f t="shared" si="129"/>
        <v>Error?</v>
      </c>
      <c r="E7850" s="4" t="s">
        <v>1976</v>
      </c>
    </row>
    <row r="7851" spans="1:5" x14ac:dyDescent="0.2">
      <c r="A7851">
        <v>7790</v>
      </c>
      <c r="B7851" s="1832">
        <f>'PCTC-OEPP 27-28'!F117</f>
        <v>0</v>
      </c>
      <c r="D7851" s="2" t="str">
        <f t="shared" si="129"/>
        <v>Error?</v>
      </c>
      <c r="E7851" s="4" t="s">
        <v>1976</v>
      </c>
    </row>
    <row r="7852" spans="1:5" x14ac:dyDescent="0.2">
      <c r="A7852">
        <v>7791</v>
      </c>
      <c r="B7852" s="1832">
        <f>'PCTC-OEPP 27-28'!F118</f>
        <v>0</v>
      </c>
      <c r="D7852" s="2" t="str">
        <f t="shared" si="129"/>
        <v>Error?</v>
      </c>
      <c r="E7852" s="4" t="s">
        <v>1976</v>
      </c>
    </row>
    <row r="7853" spans="1:5" x14ac:dyDescent="0.2">
      <c r="A7853">
        <v>7792</v>
      </c>
      <c r="B7853" s="1832">
        <f>'PCTC-OEPP 27-28'!F119</f>
        <v>0</v>
      </c>
      <c r="D7853" s="2" t="str">
        <f t="shared" si="129"/>
        <v>Error?</v>
      </c>
      <c r="E7853" s="4" t="s">
        <v>1976</v>
      </c>
    </row>
    <row r="7854" spans="1:5" x14ac:dyDescent="0.2">
      <c r="A7854">
        <v>7793</v>
      </c>
      <c r="B7854" s="1832">
        <f>'PCTC-OEPP 27-28'!F120</f>
        <v>0</v>
      </c>
      <c r="D7854" s="2" t="str">
        <f t="shared" si="129"/>
        <v>Error?</v>
      </c>
      <c r="E7854" s="4" t="s">
        <v>1976</v>
      </c>
    </row>
    <row r="7855" spans="1:5" x14ac:dyDescent="0.2">
      <c r="A7855">
        <v>7794</v>
      </c>
      <c r="B7855" s="1832">
        <f>'PCTC-OEPP 27-28'!F122</f>
        <v>0</v>
      </c>
      <c r="D7855" s="2" t="str">
        <f t="shared" si="129"/>
        <v>Error?</v>
      </c>
      <c r="E7855" s="4" t="s">
        <v>1976</v>
      </c>
    </row>
    <row r="7856" spans="1:5" x14ac:dyDescent="0.2">
      <c r="A7856">
        <v>7795</v>
      </c>
      <c r="B7856" s="1832">
        <f>'PCTC-OEPP 27-28'!F124</f>
        <v>0</v>
      </c>
      <c r="D7856" s="2" t="str">
        <f t="shared" si="129"/>
        <v>Error?</v>
      </c>
      <c r="E7856" s="4" t="s">
        <v>1976</v>
      </c>
    </row>
    <row r="7857" spans="1:5" x14ac:dyDescent="0.2">
      <c r="A7857">
        <v>7796</v>
      </c>
      <c r="B7857" s="1832">
        <f>'PCTC-OEPP 27-28'!F125</f>
        <v>0</v>
      </c>
      <c r="D7857" s="2" t="str">
        <f t="shared" si="129"/>
        <v>Error?</v>
      </c>
      <c r="E7857" s="4" t="s">
        <v>1976</v>
      </c>
    </row>
    <row r="7858" spans="1:5" x14ac:dyDescent="0.2">
      <c r="A7858">
        <v>7797</v>
      </c>
      <c r="B7858" s="1832">
        <f>'PCTC-OEPP 27-28'!F126</f>
        <v>0</v>
      </c>
      <c r="D7858" s="2" t="str">
        <f t="shared" si="129"/>
        <v>Error?</v>
      </c>
      <c r="E7858" s="4" t="s">
        <v>1976</v>
      </c>
    </row>
    <row r="7859" spans="1:5" x14ac:dyDescent="0.2">
      <c r="A7859">
        <v>7798</v>
      </c>
      <c r="B7859" s="1832">
        <f>'PCTC-OEPP 27-28'!F127</f>
        <v>0</v>
      </c>
      <c r="D7859" s="2" t="str">
        <f t="shared" si="129"/>
        <v>Error?</v>
      </c>
      <c r="E7859" s="4" t="s">
        <v>1976</v>
      </c>
    </row>
    <row r="7860" spans="1:5" x14ac:dyDescent="0.2">
      <c r="A7860">
        <v>7799</v>
      </c>
      <c r="B7860" s="1832">
        <f>'PCTC-OEPP 27-28'!F128</f>
        <v>0</v>
      </c>
      <c r="D7860" s="2" t="str">
        <f t="shared" si="129"/>
        <v>Error?</v>
      </c>
      <c r="E7860" s="4" t="s">
        <v>1976</v>
      </c>
    </row>
    <row r="7861" spans="1:5" x14ac:dyDescent="0.2">
      <c r="A7861">
        <v>7800</v>
      </c>
      <c r="B7861" s="1832">
        <f>'PCTC-OEPP 27-28'!F129</f>
        <v>1622351</v>
      </c>
      <c r="D7861" s="2" t="str">
        <f t="shared" si="129"/>
        <v>Error?</v>
      </c>
      <c r="E7861" s="4" t="s">
        <v>1976</v>
      </c>
    </row>
    <row r="7862" spans="1:5" x14ac:dyDescent="0.2">
      <c r="A7862">
        <v>7801</v>
      </c>
      <c r="B7862" s="1832">
        <f>'PCTC-OEPP 27-28'!F130</f>
        <v>0</v>
      </c>
      <c r="D7862" s="2" t="str">
        <f t="shared" si="129"/>
        <v>Error?</v>
      </c>
      <c r="E7862" s="4" t="s">
        <v>1976</v>
      </c>
    </row>
    <row r="7863" spans="1:5" x14ac:dyDescent="0.2">
      <c r="A7863">
        <v>7802</v>
      </c>
      <c r="B7863" s="1832">
        <f>'PCTC-OEPP 27-28'!F131</f>
        <v>0</v>
      </c>
      <c r="D7863" s="2" t="str">
        <f t="shared" si="129"/>
        <v>Error?</v>
      </c>
      <c r="E7863" s="4" t="s">
        <v>1976</v>
      </c>
    </row>
    <row r="7864" spans="1:5" x14ac:dyDescent="0.2">
      <c r="A7864">
        <v>7803</v>
      </c>
      <c r="B7864" s="1832">
        <f>'PCTC-OEPP 27-28'!F132</f>
        <v>0</v>
      </c>
      <c r="D7864" s="2" t="str">
        <f t="shared" si="129"/>
        <v>Error?</v>
      </c>
      <c r="E7864" s="4" t="s">
        <v>1976</v>
      </c>
    </row>
    <row r="7865" spans="1:5" x14ac:dyDescent="0.2">
      <c r="A7865">
        <v>7804</v>
      </c>
      <c r="B7865" s="1832">
        <f>'PCTC-OEPP 27-28'!F133</f>
        <v>0</v>
      </c>
      <c r="D7865" s="2" t="str">
        <f t="shared" si="129"/>
        <v>Error?</v>
      </c>
      <c r="E7865" s="4" t="s">
        <v>1976</v>
      </c>
    </row>
    <row r="7866" spans="1:5" x14ac:dyDescent="0.2">
      <c r="A7866">
        <v>7805</v>
      </c>
      <c r="B7866" s="1832">
        <f>'PCTC-OEPP 27-28'!F158</f>
        <v>0</v>
      </c>
      <c r="D7866" s="2" t="str">
        <f t="shared" si="129"/>
        <v>Error?</v>
      </c>
      <c r="E7866" s="4" t="s">
        <v>1976</v>
      </c>
    </row>
    <row r="7867" spans="1:5" x14ac:dyDescent="0.2">
      <c r="A7867">
        <v>7806</v>
      </c>
      <c r="B7867" s="1832">
        <f>'PCTC-OEPP 27-28'!F160</f>
        <v>0</v>
      </c>
      <c r="D7867" s="2" t="str">
        <f t="shared" si="129"/>
        <v>Error?</v>
      </c>
      <c r="E7867" s="4" t="s">
        <v>1976</v>
      </c>
    </row>
    <row r="7868" spans="1:5" x14ac:dyDescent="0.2">
      <c r="A7868">
        <v>7807</v>
      </c>
      <c r="B7868" s="1832">
        <f>'PCTC-OEPP 27-28'!F161</f>
        <v>0</v>
      </c>
      <c r="D7868" s="2" t="str">
        <f t="shared" si="129"/>
        <v>Error?</v>
      </c>
      <c r="E7868" s="4" t="s">
        <v>1976</v>
      </c>
    </row>
    <row r="7869" spans="1:5" x14ac:dyDescent="0.2">
      <c r="A7869">
        <v>7808</v>
      </c>
      <c r="B7869" s="1832">
        <f>'PCTC-OEPP 27-28'!F162</f>
        <v>0</v>
      </c>
      <c r="D7869" s="2" t="str">
        <f t="shared" si="129"/>
        <v>Error?</v>
      </c>
      <c r="E7869" s="4" t="s">
        <v>1976</v>
      </c>
    </row>
    <row r="7870" spans="1:5" x14ac:dyDescent="0.2">
      <c r="A7870">
        <v>7809</v>
      </c>
      <c r="B7870" s="1832">
        <f>'PCTC-OEPP 27-28'!F163</f>
        <v>0</v>
      </c>
      <c r="D7870" s="2" t="str">
        <f t="shared" si="129"/>
        <v>Error?</v>
      </c>
      <c r="E7870" s="4" t="s">
        <v>1976</v>
      </c>
    </row>
    <row r="7871" spans="1:5" x14ac:dyDescent="0.2">
      <c r="A7871">
        <v>7810</v>
      </c>
      <c r="B7871" s="1832">
        <f>'PCTC-OEPP 27-28'!F164</f>
        <v>0</v>
      </c>
      <c r="D7871" s="2" t="str">
        <f t="shared" si="129"/>
        <v>Error?</v>
      </c>
      <c r="E7871" s="4" t="s">
        <v>1976</v>
      </c>
    </row>
    <row r="7872" spans="1:5" x14ac:dyDescent="0.2">
      <c r="A7872">
        <v>7811</v>
      </c>
      <c r="B7872" s="1832">
        <f>'PCTC-OEPP 27-28'!F165</f>
        <v>0</v>
      </c>
      <c r="D7872" s="2" t="str">
        <f t="shared" si="129"/>
        <v>Error?</v>
      </c>
      <c r="E7872" s="4" t="s">
        <v>1976</v>
      </c>
    </row>
    <row r="7873" spans="1:5" x14ac:dyDescent="0.2">
      <c r="A7873">
        <v>7812</v>
      </c>
      <c r="B7873" s="1832">
        <f>'PCTC-OEPP 27-28'!F166</f>
        <v>0</v>
      </c>
      <c r="D7873" s="2" t="str">
        <f t="shared" si="129"/>
        <v>Error?</v>
      </c>
      <c r="E7873" s="4" t="s">
        <v>1976</v>
      </c>
    </row>
    <row r="7874" spans="1:5" x14ac:dyDescent="0.2">
      <c r="A7874">
        <v>7813</v>
      </c>
      <c r="B7874" s="1832">
        <f>'PCTC-OEPP 27-28'!F169</f>
        <v>93864</v>
      </c>
      <c r="D7874" s="2" t="str">
        <f t="shared" si="129"/>
        <v>Error?</v>
      </c>
      <c r="E7874" s="4" t="s">
        <v>1976</v>
      </c>
    </row>
    <row r="7875" spans="1:5" x14ac:dyDescent="0.2">
      <c r="A7875">
        <v>7814</v>
      </c>
      <c r="B7875" s="1832">
        <f>'PCTC-OEPP 27-28'!F170</f>
        <v>64347</v>
      </c>
      <c r="D7875" s="2" t="str">
        <f t="shared" si="129"/>
        <v>Error?</v>
      </c>
      <c r="E7875" s="4" t="s">
        <v>1976</v>
      </c>
    </row>
    <row r="7876" spans="1:5" x14ac:dyDescent="0.2">
      <c r="A7876">
        <v>7815</v>
      </c>
      <c r="B7876" s="1832">
        <f>'PCTC-OEPP 27-28'!F171</f>
        <v>0</v>
      </c>
      <c r="D7876" s="2" t="str">
        <f t="shared" si="129"/>
        <v>Error?</v>
      </c>
      <c r="E7876" s="4" t="s">
        <v>1976</v>
      </c>
    </row>
    <row r="7877" spans="1:5" x14ac:dyDescent="0.2">
      <c r="A7877">
        <v>7816</v>
      </c>
      <c r="B7877" s="1832">
        <f>'PCTC-OEPP 27-28'!F175</f>
        <v>2714457</v>
      </c>
      <c r="D7877" s="2" t="str">
        <f t="shared" si="129"/>
        <v>Error?</v>
      </c>
      <c r="E7877" s="4" t="s">
        <v>1976</v>
      </c>
    </row>
    <row r="7878" spans="1:5" x14ac:dyDescent="0.2">
      <c r="A7878">
        <v>7817</v>
      </c>
      <c r="B7878" s="1832">
        <f>'PCTC-OEPP 27-28'!F176</f>
        <v>153616</v>
      </c>
      <c r="D7878" s="2" t="str">
        <f t="shared" si="129"/>
        <v>Error?</v>
      </c>
      <c r="E7878" s="4" t="s">
        <v>1976</v>
      </c>
    </row>
    <row r="7879" spans="1:5" x14ac:dyDescent="0.2">
      <c r="A7879">
        <v>7818</v>
      </c>
      <c r="B7879" s="1832">
        <f>'PCTC-OEPP 27-28'!F178</f>
        <v>160244</v>
      </c>
      <c r="D7879" s="2" t="str">
        <f t="shared" si="129"/>
        <v>Error?</v>
      </c>
      <c r="E7879" s="4" t="s">
        <v>1976</v>
      </c>
    </row>
    <row r="7880" spans="1:5" x14ac:dyDescent="0.2">
      <c r="A7880">
        <v>7819</v>
      </c>
      <c r="B7880" s="1832" t="e">
        <f>'PCTC-OEPP 27-28'!F180</f>
        <v>#DIV/0!</v>
      </c>
      <c r="D7880" s="2" t="e">
        <f t="shared" si="129"/>
        <v>#DIV/0!</v>
      </c>
      <c r="E7880" s="4" t="s">
        <v>1976</v>
      </c>
    </row>
    <row r="7881" spans="1:5" x14ac:dyDescent="0.2">
      <c r="A7881">
        <v>7820</v>
      </c>
      <c r="B7881" s="135">
        <f>'PCTC-OEPP 27-28'!F29</f>
        <v>0</v>
      </c>
      <c r="D7881" s="2" t="str">
        <f t="shared" si="129"/>
        <v>Error?</v>
      </c>
      <c r="E7881" s="4" t="s">
        <v>1976</v>
      </c>
    </row>
    <row r="7882" spans="1:5" x14ac:dyDescent="0.2">
      <c r="A7882">
        <v>7821</v>
      </c>
      <c r="B7882" s="135">
        <f>'Revenues 9-14'!H117</f>
        <v>0</v>
      </c>
      <c r="D7882" s="2" t="str">
        <f t="shared" si="129"/>
        <v>Error?</v>
      </c>
      <c r="E7882" s="4" t="s">
        <v>1977</v>
      </c>
    </row>
    <row r="7883" spans="1:5" x14ac:dyDescent="0.2">
      <c r="A7883">
        <v>7822</v>
      </c>
      <c r="B7883" s="135">
        <f>'Revenues 9-14'!H118</f>
        <v>0</v>
      </c>
      <c r="D7883" s="2" t="str">
        <f t="shared" si="129"/>
        <v>Error?</v>
      </c>
      <c r="E7883" s="4" t="s">
        <v>1977</v>
      </c>
    </row>
    <row r="7884" spans="1:5" x14ac:dyDescent="0.2">
      <c r="A7884">
        <v>7823</v>
      </c>
      <c r="B7884" s="135">
        <f>'Revenues 9-14'!H119</f>
        <v>0</v>
      </c>
      <c r="D7884" s="2" t="str">
        <f t="shared" si="129"/>
        <v>Error?</v>
      </c>
      <c r="E7884" s="4" t="s">
        <v>1977</v>
      </c>
    </row>
    <row r="7885" spans="1:5" x14ac:dyDescent="0.2">
      <c r="A7885">
        <v>7824</v>
      </c>
      <c r="B7885" s="135">
        <f>'Revenues 9-14'!H121</f>
        <v>0</v>
      </c>
      <c r="D7885" s="2" t="str">
        <f t="shared" si="129"/>
        <v>Error?</v>
      </c>
      <c r="E7885" s="4" t="s">
        <v>1977</v>
      </c>
    </row>
    <row r="7886" spans="1:5" x14ac:dyDescent="0.2">
      <c r="A7886">
        <v>7825</v>
      </c>
      <c r="B7886" s="135">
        <f>'PCTC-OEPP 27-28'!F75</f>
        <v>0</v>
      </c>
      <c r="D7886" s="2" t="str">
        <f t="shared" si="129"/>
        <v>Error?</v>
      </c>
      <c r="E7886" s="4" t="s">
        <v>1976</v>
      </c>
    </row>
    <row r="7887" spans="1:5" x14ac:dyDescent="0.2">
      <c r="A7887">
        <v>7826</v>
      </c>
      <c r="B7887" s="135">
        <f>'PCTC-OEPP 27-28'!F76</f>
        <v>0</v>
      </c>
      <c r="D7887" s="2" t="str">
        <f t="shared" si="129"/>
        <v>Error?</v>
      </c>
      <c r="E7887" s="4" t="s">
        <v>1976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A41" sqref="A4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BMP Tri Cty Special Ed</v>
      </c>
      <c r="B7" s="2516"/>
      <c r="C7" s="2516"/>
      <c r="D7" s="2554"/>
      <c r="E7" s="2555">
        <f>COVER!A13</f>
        <v>35059005061</v>
      </c>
      <c r="F7" s="2556"/>
      <c r="G7" s="2522" t="str">
        <f>COVER!T23</f>
        <v>066-004501</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HOPKINS &amp; ASSOCIATES, CPAS</v>
      </c>
      <c r="H9" s="2529"/>
      <c r="I9" s="2529"/>
      <c r="J9" s="2529"/>
      <c r="K9" s="2529"/>
      <c r="L9" s="2530"/>
    </row>
    <row r="10" spans="1:29" ht="13.5" customHeight="1" x14ac:dyDescent="0.2">
      <c r="A10" s="2512" t="str">
        <f>COVER!A38</f>
        <v>GWEN GARVER</v>
      </c>
      <c r="B10" s="2513"/>
      <c r="C10" s="2513"/>
      <c r="D10" s="2513"/>
      <c r="E10" s="2513"/>
      <c r="F10" s="2514"/>
      <c r="G10" s="2528" t="str">
        <f>COVER!T17</f>
        <v>314 S MCCOY STREET</v>
      </c>
      <c r="H10" s="2541"/>
      <c r="I10" s="2541"/>
      <c r="J10" s="2541"/>
      <c r="K10" s="2541"/>
      <c r="L10" s="2542"/>
    </row>
    <row r="11" spans="1:29" ht="13.5" customHeight="1" x14ac:dyDescent="0.2">
      <c r="A11" s="963" t="s">
        <v>1502</v>
      </c>
      <c r="B11" s="964"/>
      <c r="C11" s="965"/>
      <c r="D11" s="970"/>
      <c r="E11" s="965"/>
      <c r="F11" s="969"/>
      <c r="G11" s="2528" t="str">
        <f>COVER!T19</f>
        <v>GRANVILLE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joel@hopkinsoffice.com</v>
      </c>
      <c r="J13" s="2550"/>
      <c r="K13" s="2550"/>
      <c r="L13" s="2551"/>
    </row>
    <row r="14" spans="1:29" ht="13.5" customHeight="1" x14ac:dyDescent="0.2">
      <c r="A14" s="2528" t="str">
        <f>COVER!A19</f>
        <v>400 GALENA ST., PO BOX 239</v>
      </c>
      <c r="B14" s="2541"/>
      <c r="C14" s="2541"/>
      <c r="D14" s="2541"/>
      <c r="E14" s="2541"/>
      <c r="F14" s="2542"/>
      <c r="G14" s="974" t="s">
        <v>1175</v>
      </c>
      <c r="H14" s="972"/>
      <c r="I14" s="972"/>
      <c r="J14" s="972"/>
      <c r="K14" s="972"/>
      <c r="L14" s="973"/>
    </row>
    <row r="15" spans="1:29" ht="13.5" customHeight="1" x14ac:dyDescent="0.2">
      <c r="A15" s="2528" t="str">
        <f>COVER!A21</f>
        <v>TISKILWA</v>
      </c>
      <c r="B15" s="2541"/>
      <c r="C15" s="2541"/>
      <c r="D15" s="2541"/>
      <c r="E15" s="2541"/>
      <c r="F15" s="2542"/>
      <c r="G15" s="2538" t="str">
        <f>COVER!T15</f>
        <v>JOEL HOPKINS</v>
      </c>
      <c r="H15" s="2539"/>
      <c r="I15" s="2539"/>
      <c r="J15" s="2539"/>
      <c r="K15" s="2539"/>
      <c r="L15" s="2540"/>
    </row>
    <row r="16" spans="1:29" ht="12.2" customHeight="1" x14ac:dyDescent="0.2">
      <c r="A16" s="2518">
        <f>COVER!A25</f>
        <v>61368</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815-339-6630</v>
      </c>
      <c r="H18" s="2516"/>
      <c r="I18" s="2516"/>
      <c r="J18" s="2516"/>
      <c r="K18" s="2515" t="str">
        <f>COVER!X21</f>
        <v>815-339-6643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2029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2029</v>
      </c>
      <c r="C26" s="981" t="s">
        <v>1677</v>
      </c>
    </row>
    <row r="27" spans="1:13" s="977" customFormat="1" ht="9" customHeight="1" x14ac:dyDescent="0.2">
      <c r="B27" s="982"/>
      <c r="C27" s="981"/>
    </row>
    <row r="28" spans="1:13" s="977" customFormat="1" ht="12.2" customHeight="1" x14ac:dyDescent="0.2">
      <c r="A28" s="984"/>
      <c r="B28" s="980" t="s">
        <v>2029</v>
      </c>
      <c r="C28" s="981" t="s">
        <v>1678</v>
      </c>
    </row>
    <row r="29" spans="1:13" s="977" customFormat="1" ht="9" customHeight="1" x14ac:dyDescent="0.2">
      <c r="A29" s="984"/>
      <c r="B29" s="982"/>
      <c r="C29" s="981"/>
    </row>
    <row r="30" spans="1:13" s="977" customFormat="1" ht="12.2" customHeight="1" x14ac:dyDescent="0.2">
      <c r="B30" s="980" t="s">
        <v>2029</v>
      </c>
      <c r="C30" s="981" t="s">
        <v>1545</v>
      </c>
      <c r="D30" s="975"/>
      <c r="E30" s="975"/>
    </row>
    <row r="31" spans="1:13" s="977" customFormat="1" ht="9" customHeight="1" x14ac:dyDescent="0.2">
      <c r="B31" s="982"/>
      <c r="C31" s="981"/>
      <c r="D31" s="975"/>
      <c r="E31" s="975"/>
    </row>
    <row r="32" spans="1:13" s="977" customFormat="1" ht="12.2" customHeight="1" x14ac:dyDescent="0.2">
      <c r="B32" s="980" t="s">
        <v>2029</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2029</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2029</v>
      </c>
      <c r="C38" s="981" t="s">
        <v>1549</v>
      </c>
    </row>
    <row r="39" spans="1:8" ht="9" customHeight="1" x14ac:dyDescent="0.2">
      <c r="B39" s="982"/>
      <c r="C39" s="985"/>
    </row>
    <row r="40" spans="1:8" s="977" customFormat="1" ht="13.5" customHeight="1" x14ac:dyDescent="0.2">
      <c r="B40" s="980" t="s">
        <v>2029</v>
      </c>
      <c r="C40" s="981" t="s">
        <v>1550</v>
      </c>
    </row>
    <row r="41" spans="1:8" ht="9" customHeight="1" x14ac:dyDescent="0.2">
      <c r="A41" s="986"/>
      <c r="B41" s="982"/>
      <c r="C41" s="985"/>
    </row>
    <row r="42" spans="1:8" s="977" customFormat="1" ht="13.5" customHeight="1" x14ac:dyDescent="0.2">
      <c r="B42" s="980" t="s">
        <v>2029</v>
      </c>
      <c r="C42" s="981" t="s">
        <v>1787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&amp;C51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6"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BMP Tri Cty Special Ed</v>
      </c>
      <c r="B1" s="2558"/>
      <c r="C1" s="2558"/>
      <c r="D1" s="2558"/>
    </row>
    <row r="2" spans="1:11" s="991" customFormat="1" ht="12.75" x14ac:dyDescent="0.2">
      <c r="A2" s="2559">
        <f>'Single Audit Cover'!E7</f>
        <v>35059005061</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1947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1788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BMP Tri Cty Special Ed</v>
      </c>
      <c r="B1" s="2562"/>
      <c r="C1" s="2562"/>
      <c r="D1" s="2562"/>
      <c r="E1" s="2562"/>
    </row>
    <row r="2" spans="1:5" x14ac:dyDescent="0.2">
      <c r="A2" s="2563">
        <f>'Single Audit Cover'!E7</f>
        <v>35059005061</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1859168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1982</v>
      </c>
      <c r="B14" s="1038"/>
      <c r="C14" s="1038"/>
      <c r="D14" s="1040">
        <f>'ICR Computation 30'!E11</f>
        <v>0</v>
      </c>
    </row>
    <row r="15" spans="1:5" x14ac:dyDescent="0.2">
      <c r="A15" s="1037"/>
      <c r="B15" s="1038"/>
      <c r="C15" s="1038"/>
    </row>
    <row r="16" spans="1:5" x14ac:dyDescent="0.2">
      <c r="A16" s="1037" t="s">
        <v>1793</v>
      </c>
      <c r="B16" s="1038"/>
      <c r="C16" s="1038"/>
    </row>
    <row r="17" spans="1:4" x14ac:dyDescent="0.2">
      <c r="A17" s="1037" t="s">
        <v>1942</v>
      </c>
      <c r="B17" s="1038" t="s">
        <v>1225</v>
      </c>
      <c r="C17" s="1038"/>
      <c r="D17" s="1040">
        <f>-SUM('Revenues 9-14'!C264:D264,'Revenues 9-14'!F264:G264)</f>
        <v>-64347</v>
      </c>
    </row>
    <row r="19" spans="1:4" ht="13.5" thickBot="1" x14ac:dyDescent="0.25">
      <c r="A19" s="1041" t="s">
        <v>1224</v>
      </c>
      <c r="D19" s="1042">
        <f>SUM(D10:D17)</f>
        <v>1794821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1794821</v>
      </c>
    </row>
    <row r="33" spans="1:4" x14ac:dyDescent="0.2">
      <c r="D33" s="1045"/>
    </row>
    <row r="34" spans="1:4" x14ac:dyDescent="0.2">
      <c r="A34" s="295" t="s">
        <v>1221</v>
      </c>
    </row>
    <row r="35" spans="1:4" x14ac:dyDescent="0.2">
      <c r="A35" s="295" t="s">
        <v>1220</v>
      </c>
      <c r="B35" s="1034" t="s">
        <v>1219</v>
      </c>
      <c r="D35" s="1046">
        <v>1794821</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1794821</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&amp;C52</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D34" sqref="D3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BMP Tri Cty Special Ed</v>
      </c>
      <c r="C1" s="2566"/>
      <c r="D1" s="2566"/>
      <c r="E1" s="2566"/>
      <c r="F1" s="2566"/>
      <c r="G1" s="2566"/>
      <c r="H1" s="2566"/>
      <c r="I1" s="2566"/>
      <c r="J1" s="2566"/>
      <c r="K1" s="2566"/>
      <c r="L1" s="2566"/>
      <c r="M1" s="2566"/>
    </row>
    <row r="2" spans="2:14" ht="15" x14ac:dyDescent="0.2">
      <c r="B2" s="2567">
        <f>'Single Audit Cover'!E7</f>
        <v>35059005061</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2085</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x14ac:dyDescent="0.2">
      <c r="B9" s="1101" t="s">
        <v>1248</v>
      </c>
      <c r="C9" s="1089" t="s">
        <v>2083</v>
      </c>
      <c r="D9" s="1090" t="s">
        <v>2084</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2053</v>
      </c>
      <c r="C11" s="1821"/>
      <c r="D11" s="1822"/>
      <c r="E11" s="1823"/>
      <c r="F11" s="1823"/>
      <c r="G11" s="1823"/>
      <c r="H11" s="1823"/>
      <c r="I11" s="1823"/>
      <c r="J11" s="1823"/>
      <c r="K11" s="1823"/>
      <c r="L11" s="1823"/>
      <c r="M11" s="1823"/>
    </row>
    <row r="12" spans="2:14" ht="20.100000000000001" customHeight="1" x14ac:dyDescent="0.2">
      <c r="B12" s="1113" t="s">
        <v>2054</v>
      </c>
      <c r="C12" s="1824"/>
      <c r="D12" s="1825"/>
      <c r="E12" s="1826"/>
      <c r="F12" s="1826"/>
      <c r="G12" s="1826"/>
      <c r="H12" s="1826"/>
      <c r="I12" s="1826"/>
      <c r="J12" s="1826"/>
      <c r="K12" s="1826"/>
      <c r="L12" s="1823"/>
      <c r="M12" s="1826"/>
    </row>
    <row r="13" spans="2:14" ht="20.100000000000001" customHeight="1" x14ac:dyDescent="0.2">
      <c r="B13" s="1113" t="s">
        <v>2055</v>
      </c>
      <c r="C13" s="1824" t="s">
        <v>2063</v>
      </c>
      <c r="D13" s="1825" t="s">
        <v>2065</v>
      </c>
      <c r="E13" s="1826">
        <v>10298</v>
      </c>
      <c r="F13" s="1826">
        <v>0</v>
      </c>
      <c r="G13" s="1826">
        <v>0</v>
      </c>
      <c r="H13" s="1826">
        <v>0</v>
      </c>
      <c r="I13" s="1826">
        <v>0</v>
      </c>
      <c r="J13" s="1826">
        <v>0</v>
      </c>
      <c r="K13" s="1826">
        <v>0</v>
      </c>
      <c r="L13" s="1823">
        <f t="shared" ref="L13:L26" si="0">+G13+I13+K13</f>
        <v>0</v>
      </c>
      <c r="M13" s="1826">
        <v>70890</v>
      </c>
    </row>
    <row r="14" spans="2:14" ht="20.100000000000001" customHeight="1" x14ac:dyDescent="0.2">
      <c r="B14" s="1113" t="s">
        <v>2055</v>
      </c>
      <c r="C14" s="1824" t="s">
        <v>2063</v>
      </c>
      <c r="D14" s="1825" t="s">
        <v>2066</v>
      </c>
      <c r="E14" s="1826">
        <v>74795</v>
      </c>
      <c r="F14" s="1826">
        <v>0</v>
      </c>
      <c r="G14" s="1826">
        <v>74795</v>
      </c>
      <c r="H14" s="1826">
        <v>0</v>
      </c>
      <c r="I14" s="1826">
        <v>0</v>
      </c>
      <c r="J14" s="1826">
        <v>0</v>
      </c>
      <c r="K14" s="1826">
        <v>0</v>
      </c>
      <c r="L14" s="1823">
        <f t="shared" si="0"/>
        <v>74795</v>
      </c>
      <c r="M14" s="1826">
        <v>71075</v>
      </c>
    </row>
    <row r="15" spans="2:14" ht="20.100000000000001" customHeight="1" x14ac:dyDescent="0.2">
      <c r="B15" s="1113" t="s">
        <v>2055</v>
      </c>
      <c r="C15" s="1824" t="s">
        <v>2063</v>
      </c>
      <c r="D15" s="1825" t="s">
        <v>2067</v>
      </c>
      <c r="E15" s="1826">
        <v>0</v>
      </c>
      <c r="F15" s="1826">
        <v>78606</v>
      </c>
      <c r="G15" s="1826">
        <v>0</v>
      </c>
      <c r="H15" s="1826">
        <v>0</v>
      </c>
      <c r="I15" s="1826">
        <v>78606</v>
      </c>
      <c r="J15" s="1826">
        <v>0</v>
      </c>
      <c r="K15" s="1826">
        <v>0</v>
      </c>
      <c r="L15" s="1823">
        <f t="shared" si="0"/>
        <v>78606</v>
      </c>
      <c r="M15" s="1826">
        <v>78606</v>
      </c>
    </row>
    <row r="16" spans="2:14" ht="20.100000000000001" customHeight="1" x14ac:dyDescent="0.2">
      <c r="B16" s="1113" t="s">
        <v>2056</v>
      </c>
      <c r="C16" s="1824" t="s">
        <v>2064</v>
      </c>
      <c r="D16" s="1825" t="s">
        <v>2068</v>
      </c>
      <c r="E16" s="1826">
        <v>127491</v>
      </c>
      <c r="F16" s="1826">
        <v>0</v>
      </c>
      <c r="G16" s="1826">
        <v>0</v>
      </c>
      <c r="H16" s="1826">
        <v>0</v>
      </c>
      <c r="I16" s="1826">
        <v>0</v>
      </c>
      <c r="J16" s="1826">
        <v>0</v>
      </c>
      <c r="K16" s="1826">
        <v>0</v>
      </c>
      <c r="L16" s="1823">
        <f t="shared" si="0"/>
        <v>0</v>
      </c>
      <c r="M16" s="1826">
        <v>1540567</v>
      </c>
    </row>
    <row r="17" spans="2:14" ht="20.100000000000001" customHeight="1" x14ac:dyDescent="0.2">
      <c r="B17" s="1113" t="s">
        <v>2056</v>
      </c>
      <c r="C17" s="1824" t="s">
        <v>2064</v>
      </c>
      <c r="D17" s="1825" t="s">
        <v>2069</v>
      </c>
      <c r="E17" s="1826">
        <v>1556146</v>
      </c>
      <c r="F17" s="1826">
        <v>6815</v>
      </c>
      <c r="G17" s="1826">
        <v>1556146</v>
      </c>
      <c r="H17" s="1826">
        <v>6815</v>
      </c>
      <c r="I17" s="1826">
        <v>0</v>
      </c>
      <c r="J17" s="1826">
        <v>0</v>
      </c>
      <c r="K17" s="1826">
        <v>0</v>
      </c>
      <c r="L17" s="1823">
        <f t="shared" si="0"/>
        <v>1556146</v>
      </c>
      <c r="M17" s="1826">
        <v>1566998</v>
      </c>
    </row>
    <row r="18" spans="2:14" ht="20.100000000000001" customHeight="1" x14ac:dyDescent="0.2">
      <c r="B18" s="1113" t="s">
        <v>2056</v>
      </c>
      <c r="C18" s="1824" t="s">
        <v>2064</v>
      </c>
      <c r="D18" s="1825" t="s">
        <v>2070</v>
      </c>
      <c r="E18" s="1826">
        <v>0</v>
      </c>
      <c r="F18" s="1826">
        <v>1615536</v>
      </c>
      <c r="G18" s="1826">
        <v>0</v>
      </c>
      <c r="H18" s="1826">
        <v>0</v>
      </c>
      <c r="I18" s="1826">
        <v>1639892</v>
      </c>
      <c r="J18" s="1826">
        <f>8674+849</f>
        <v>9523</v>
      </c>
      <c r="K18" s="1826">
        <v>0</v>
      </c>
      <c r="L18" s="1823">
        <f t="shared" si="0"/>
        <v>1639892</v>
      </c>
      <c r="M18" s="1826">
        <v>1621719</v>
      </c>
    </row>
    <row r="19" spans="2:14" ht="20.100000000000001" customHeight="1" x14ac:dyDescent="0.2">
      <c r="B19" s="1113" t="s">
        <v>2057</v>
      </c>
      <c r="C19" s="1824"/>
      <c r="D19" s="1825"/>
      <c r="E19" s="1826">
        <f t="shared" ref="E19:K19" si="1">SUM(E13:E18)</f>
        <v>1768730</v>
      </c>
      <c r="F19" s="1826">
        <f t="shared" si="1"/>
        <v>1700957</v>
      </c>
      <c r="G19" s="1826">
        <f t="shared" si="1"/>
        <v>1630941</v>
      </c>
      <c r="H19" s="1826">
        <f t="shared" si="1"/>
        <v>6815</v>
      </c>
      <c r="I19" s="1826">
        <f t="shared" si="1"/>
        <v>1718498</v>
      </c>
      <c r="J19" s="1826">
        <f t="shared" si="1"/>
        <v>9523</v>
      </c>
      <c r="K19" s="1826">
        <f t="shared" si="1"/>
        <v>0</v>
      </c>
      <c r="L19" s="1823">
        <f t="shared" si="0"/>
        <v>3349439</v>
      </c>
      <c r="M19" s="1826">
        <f>SUM(M13:M18)</f>
        <v>4949855</v>
      </c>
    </row>
    <row r="20" spans="2:14" ht="20.100000000000001" customHeight="1" x14ac:dyDescent="0.2">
      <c r="B20" s="1113" t="s">
        <v>2058</v>
      </c>
      <c r="C20" s="1824"/>
      <c r="D20" s="1825"/>
      <c r="E20" s="1826"/>
      <c r="F20" s="1826"/>
      <c r="G20" s="1826"/>
      <c r="H20" s="1826"/>
      <c r="I20" s="1826"/>
      <c r="J20" s="1826"/>
      <c r="K20" s="1826"/>
      <c r="L20" s="1823"/>
      <c r="M20" s="1826"/>
    </row>
    <row r="21" spans="2:14" ht="20.100000000000001" customHeight="1" x14ac:dyDescent="0.2">
      <c r="B21" s="1113" t="s">
        <v>2059</v>
      </c>
      <c r="C21" s="1824"/>
      <c r="D21" s="1825"/>
      <c r="E21" s="1826"/>
      <c r="F21" s="1826"/>
      <c r="G21" s="1826"/>
      <c r="H21" s="1826"/>
      <c r="I21" s="1826"/>
      <c r="J21" s="1826"/>
      <c r="K21" s="1826"/>
      <c r="L21" s="1823"/>
      <c r="M21" s="1826"/>
    </row>
    <row r="22" spans="2:14" ht="20.100000000000001" customHeight="1" x14ac:dyDescent="0.2">
      <c r="B22" s="1113" t="s">
        <v>2060</v>
      </c>
      <c r="C22" s="1824">
        <v>93.778000000000006</v>
      </c>
      <c r="D22" s="1825" t="s">
        <v>2071</v>
      </c>
      <c r="E22" s="1826">
        <v>100222</v>
      </c>
      <c r="F22" s="1826">
        <v>0</v>
      </c>
      <c r="G22" s="1826">
        <v>100222</v>
      </c>
      <c r="H22" s="1826">
        <v>0</v>
      </c>
      <c r="I22" s="1826">
        <v>0</v>
      </c>
      <c r="J22" s="1826">
        <v>0</v>
      </c>
      <c r="K22" s="1826">
        <v>0</v>
      </c>
      <c r="L22" s="1823">
        <f t="shared" si="0"/>
        <v>100222</v>
      </c>
      <c r="M22" s="1826">
        <v>20000</v>
      </c>
    </row>
    <row r="23" spans="2:14" ht="20.100000000000001" customHeight="1" x14ac:dyDescent="0.2">
      <c r="B23" s="1113" t="s">
        <v>2060</v>
      </c>
      <c r="C23" s="1824">
        <v>93.778000000000006</v>
      </c>
      <c r="D23" s="1825" t="s">
        <v>2072</v>
      </c>
      <c r="E23" s="1826">
        <v>0</v>
      </c>
      <c r="F23" s="1826">
        <v>93864</v>
      </c>
      <c r="G23" s="1826">
        <v>0</v>
      </c>
      <c r="H23" s="1826">
        <v>0</v>
      </c>
      <c r="I23" s="1826">
        <v>93864</v>
      </c>
      <c r="J23" s="1826">
        <v>0</v>
      </c>
      <c r="K23" s="1826">
        <v>0</v>
      </c>
      <c r="L23" s="1823">
        <f t="shared" si="0"/>
        <v>93864</v>
      </c>
      <c r="M23" s="1826"/>
    </row>
    <row r="24" spans="2:14" ht="20.100000000000001" customHeight="1" x14ac:dyDescent="0.2">
      <c r="B24" s="1113" t="s">
        <v>2061</v>
      </c>
      <c r="C24" s="1824"/>
      <c r="D24" s="1825"/>
      <c r="E24" s="1826">
        <f>SUM(E22:E23)</f>
        <v>100222</v>
      </c>
      <c r="F24" s="1826">
        <f>SUM(F22:F23)</f>
        <v>93864</v>
      </c>
      <c r="G24" s="1826">
        <f>SUM(G22:G23)</f>
        <v>100222</v>
      </c>
      <c r="H24" s="1826">
        <f>SUM(H22:H23)</f>
        <v>0</v>
      </c>
      <c r="I24" s="1826">
        <f>SUM(I22:I23)</f>
        <v>93864</v>
      </c>
      <c r="J24" s="1826">
        <v>0</v>
      </c>
      <c r="K24" s="1826">
        <v>0</v>
      </c>
      <c r="L24" s="1823">
        <f t="shared" si="0"/>
        <v>194086</v>
      </c>
      <c r="M24" s="1826">
        <f>SUM(M22:M23)</f>
        <v>20000</v>
      </c>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t="s">
        <v>2062</v>
      </c>
      <c r="C26" s="1824"/>
      <c r="D26" s="1825"/>
      <c r="E26" s="1826">
        <f t="shared" ref="E26:J26" si="2">E19+E24</f>
        <v>1868952</v>
      </c>
      <c r="F26" s="1826">
        <f t="shared" si="2"/>
        <v>1794821</v>
      </c>
      <c r="G26" s="1826">
        <f t="shared" si="2"/>
        <v>1731163</v>
      </c>
      <c r="H26" s="1826">
        <f t="shared" si="2"/>
        <v>6815</v>
      </c>
      <c r="I26" s="1826">
        <f t="shared" si="2"/>
        <v>1812362</v>
      </c>
      <c r="J26" s="1826">
        <f t="shared" si="2"/>
        <v>9523</v>
      </c>
      <c r="K26" s="1826">
        <v>0</v>
      </c>
      <c r="L26" s="1823">
        <f t="shared" si="0"/>
        <v>3543525</v>
      </c>
      <c r="M26" s="1826">
        <f>M19+M24</f>
        <v>4969855</v>
      </c>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1790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hidden="1" customHeight="1" x14ac:dyDescent="0.2">
      <c r="B36" s="1133"/>
      <c r="G36" s="295"/>
      <c r="H36" s="295"/>
      <c r="I36" s="295"/>
      <c r="J36" s="295"/>
    </row>
    <row r="37" spans="2:13" ht="11.25" hidden="1" customHeight="1" x14ac:dyDescent="0.2">
      <c r="B37" s="1134" t="s">
        <v>1707</v>
      </c>
      <c r="C37" s="1135"/>
      <c r="D37" s="1135"/>
      <c r="E37" s="1135"/>
      <c r="F37" s="1135"/>
      <c r="G37" s="1135"/>
      <c r="H37" s="1135"/>
      <c r="I37" s="1136"/>
      <c r="J37" s="1136"/>
      <c r="K37" s="1136"/>
      <c r="L37" s="1136"/>
      <c r="M37" s="1136"/>
    </row>
    <row r="38" spans="2:13" ht="11.25" hidden="1" customHeight="1" x14ac:dyDescent="0.2">
      <c r="B38" s="1137" t="s">
        <v>1567</v>
      </c>
      <c r="C38" s="1136"/>
      <c r="D38" s="1136"/>
      <c r="E38" s="1136"/>
      <c r="F38" s="1136"/>
      <c r="G38" s="1136"/>
      <c r="H38" s="1136"/>
      <c r="I38" s="1136"/>
      <c r="J38" s="1136"/>
      <c r="K38" s="1136"/>
      <c r="L38" s="1136"/>
      <c r="M38" s="1136"/>
    </row>
    <row r="39" spans="2:13" ht="3.95" hidden="1" customHeight="1" x14ac:dyDescent="0.2">
      <c r="B39" s="1137"/>
      <c r="C39" s="1136"/>
      <c r="D39" s="1136"/>
      <c r="E39" s="1136"/>
      <c r="F39" s="1136"/>
      <c r="G39" s="1136"/>
      <c r="H39" s="1136"/>
      <c r="I39" s="1136"/>
      <c r="J39" s="1136"/>
      <c r="K39" s="1136"/>
      <c r="L39" s="1136"/>
      <c r="M39" s="1136"/>
    </row>
    <row r="40" spans="2:13" ht="11.25" hidden="1" customHeight="1" x14ac:dyDescent="0.2">
      <c r="B40" s="1134" t="s">
        <v>1708</v>
      </c>
      <c r="C40" s="1136"/>
      <c r="D40" s="1136"/>
      <c r="E40" s="1136"/>
      <c r="F40" s="1136"/>
      <c r="G40" s="1136"/>
      <c r="H40" s="1136"/>
      <c r="I40" s="1136"/>
      <c r="J40" s="1136"/>
      <c r="K40" s="1136"/>
      <c r="L40" s="1136"/>
      <c r="M40" s="1136"/>
    </row>
    <row r="41" spans="2:13" ht="11.25" hidden="1" customHeight="1" x14ac:dyDescent="0.2">
      <c r="B41" s="1076" t="s">
        <v>1568</v>
      </c>
      <c r="C41" s="1138"/>
      <c r="D41" s="1139"/>
      <c r="E41" s="1076"/>
      <c r="F41" s="1076"/>
      <c r="G41" s="1076"/>
      <c r="H41" s="1076"/>
      <c r="I41" s="1076"/>
      <c r="J41" s="1076"/>
      <c r="K41" s="1140"/>
      <c r="L41" s="1140"/>
      <c r="M41" s="1076"/>
    </row>
    <row r="42" spans="2:13" ht="3.95" hidden="1" customHeight="1" x14ac:dyDescent="0.2">
      <c r="B42" s="1076"/>
      <c r="C42" s="1138"/>
      <c r="D42" s="1139"/>
      <c r="E42" s="1076"/>
      <c r="F42" s="1076"/>
      <c r="G42" s="1076"/>
      <c r="H42" s="1076"/>
      <c r="I42" s="1076"/>
      <c r="J42" s="1076"/>
      <c r="K42" s="1140"/>
      <c r="L42" s="1140"/>
      <c r="M42" s="1076"/>
    </row>
    <row r="43" spans="2:13" ht="11.25" hidden="1" customHeight="1" x14ac:dyDescent="0.2">
      <c r="B43" s="1141" t="s">
        <v>1709</v>
      </c>
      <c r="C43" s="1138"/>
      <c r="D43" s="1139"/>
      <c r="E43" s="1076"/>
      <c r="F43" s="1076"/>
      <c r="G43" s="1076"/>
      <c r="H43" s="1076"/>
      <c r="I43" s="1076"/>
      <c r="J43" s="1076"/>
      <c r="K43" s="1140"/>
      <c r="L43" s="1140"/>
      <c r="M43" s="1076"/>
    </row>
    <row r="44" spans="2:13" ht="3.95" hidden="1" customHeight="1" x14ac:dyDescent="0.2">
      <c r="B44" s="1141"/>
      <c r="C44" s="1138"/>
      <c r="D44" s="1139"/>
      <c r="E44" s="1076"/>
      <c r="F44" s="1076"/>
      <c r="G44" s="1076"/>
      <c r="H44" s="1076"/>
      <c r="I44" s="1076"/>
      <c r="J44" s="1076"/>
      <c r="K44" s="1140"/>
      <c r="L44" s="1140"/>
      <c r="M44" s="1076"/>
    </row>
    <row r="45" spans="2:13" ht="11.25" hidden="1" customHeight="1" x14ac:dyDescent="0.2">
      <c r="B45" s="1142" t="s">
        <v>1710</v>
      </c>
      <c r="C45" s="1138"/>
      <c r="D45" s="1139"/>
      <c r="E45" s="1076"/>
      <c r="F45" s="1076"/>
      <c r="G45" s="1076"/>
      <c r="H45" s="1076"/>
      <c r="I45" s="1076"/>
      <c r="J45" s="1076"/>
      <c r="K45" s="1140"/>
      <c r="L45" s="1140"/>
      <c r="M45" s="1076"/>
    </row>
    <row r="46" spans="2:13" ht="11.25" hidden="1"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&amp;C53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34" sqref="B3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BMP Tri Cty Special Ed</v>
      </c>
      <c r="B1" s="2571"/>
      <c r="C1" s="2571"/>
      <c r="D1" s="2571"/>
      <c r="E1" s="2571"/>
      <c r="F1" s="2571"/>
    </row>
    <row r="2" spans="1:7" ht="13.5" customHeight="1" x14ac:dyDescent="0.2">
      <c r="A2" s="2567">
        <f>'Single Audit Cover'!E7</f>
        <v>35059005061</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2086</v>
      </c>
      <c r="C6" s="295"/>
      <c r="D6" s="295"/>
    </row>
    <row r="7" spans="1:7" ht="60.95" customHeight="1" x14ac:dyDescent="0.2">
      <c r="A7" s="2570" t="s">
        <v>2074</v>
      </c>
      <c r="B7" s="2570"/>
      <c r="C7" s="2570"/>
      <c r="D7" s="2570"/>
      <c r="E7" s="2570"/>
      <c r="F7" s="2570"/>
    </row>
    <row r="8" spans="1:7" ht="12" customHeight="1" x14ac:dyDescent="0.2">
      <c r="A8" s="1052"/>
      <c r="B8" s="1058"/>
      <c r="C8" s="1058"/>
      <c r="D8" s="1058"/>
    </row>
    <row r="9" spans="1:7" ht="15" customHeight="1" x14ac:dyDescent="0.2">
      <c r="A9" s="1053" t="s">
        <v>2087</v>
      </c>
      <c r="B9" s="1056"/>
      <c r="C9" s="1056"/>
      <c r="D9" s="1056"/>
      <c r="E9" s="1054"/>
      <c r="F9" s="1054"/>
      <c r="G9" s="1054"/>
    </row>
    <row r="10" spans="1:7" ht="15" customHeight="1" x14ac:dyDescent="0.2">
      <c r="A10" s="1055" t="s">
        <v>1530</v>
      </c>
      <c r="B10" s="1056"/>
      <c r="C10" s="1057"/>
      <c r="D10" s="1056" t="s">
        <v>1531</v>
      </c>
      <c r="E10" s="1057" t="s">
        <v>2029</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21" customHeight="1" x14ac:dyDescent="0.2">
      <c r="A13" s="2570" t="s">
        <v>2073</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t="s">
        <v>2075</v>
      </c>
      <c r="C17" s="1061">
        <v>84.027000000000001</v>
      </c>
      <c r="D17" s="2574">
        <v>849</v>
      </c>
      <c r="E17" s="2574"/>
      <c r="F17" s="2574"/>
    </row>
    <row r="18" spans="1:6" ht="20.65" customHeight="1" x14ac:dyDescent="0.2">
      <c r="A18" s="1059"/>
      <c r="B18" s="1060" t="s">
        <v>2076</v>
      </c>
      <c r="C18" s="1061">
        <v>84.027000000000001</v>
      </c>
      <c r="D18" s="2574">
        <v>8674</v>
      </c>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2077</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1789</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1705</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hidden="1" customHeight="1" x14ac:dyDescent="0.2">
      <c r="A49" s="1075">
        <v>5</v>
      </c>
      <c r="B49" s="2581" t="s">
        <v>1573</v>
      </c>
      <c r="C49" s="2581"/>
      <c r="D49" s="2581"/>
      <c r="E49" s="1168"/>
    </row>
    <row r="50" spans="1:5" s="1076" customFormat="1" ht="3.75" hidden="1" customHeight="1" x14ac:dyDescent="0.2">
      <c r="A50" s="1075"/>
      <c r="B50" s="1475"/>
      <c r="C50" s="1475"/>
      <c r="D50" s="1475"/>
      <c r="E50" s="1168"/>
    </row>
    <row r="51" spans="1:5" s="1076" customFormat="1" ht="20.25" hidden="1" customHeight="1" x14ac:dyDescent="0.2">
      <c r="A51" s="1077">
        <v>6</v>
      </c>
      <c r="B51" s="2577" t="s">
        <v>1534</v>
      </c>
      <c r="C51" s="2577"/>
      <c r="D51" s="2577"/>
    </row>
    <row r="52" spans="1:5" ht="14.25" customHeight="1" x14ac:dyDescent="0.2">
      <c r="A52" s="1077"/>
      <c r="B52" s="2577"/>
      <c r="C52" s="2577"/>
      <c r="D52" s="257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8" firstPageNumber="39" orientation="portrait" useFirstPageNumber="1" r:id="rId1"/>
  <headerFooter alignWithMargins="0">
    <oddFooter>&amp;C54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1748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1747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1850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1968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1967</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1967</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1971</v>
      </c>
      <c r="C92" s="174"/>
      <c r="E92" s="255"/>
      <c r="F92" s="274"/>
      <c r="H92" s="275"/>
    </row>
    <row r="93" spans="1:10" s="176" customFormat="1" ht="16.5" customHeight="1" x14ac:dyDescent="0.2">
      <c r="A93" s="214"/>
      <c r="B93" s="276"/>
      <c r="C93" s="242" t="s">
        <v>1970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2045</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1851</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9"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BMP Tri Cty Special Ed</v>
      </c>
      <c r="C1" s="2587"/>
      <c r="D1" s="2587"/>
      <c r="E1" s="2587"/>
      <c r="F1" s="2587"/>
      <c r="G1" s="2587"/>
      <c r="H1" s="2587"/>
      <c r="I1" s="2587"/>
      <c r="J1" s="1178"/>
    </row>
    <row r="2" spans="2:10" s="295" customFormat="1" ht="12.75" customHeight="1" x14ac:dyDescent="0.2">
      <c r="B2" s="2588">
        <f>'Single Audit Cover'!E7</f>
        <v>35059005061</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t="s">
        <v>1154</v>
      </c>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2029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2029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2029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2029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2029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t="s">
        <v>2078</v>
      </c>
      <c r="E29" s="2593"/>
      <c r="F29" s="2593"/>
      <c r="G29" s="2593"/>
      <c r="H29" s="2593"/>
      <c r="I29" s="2593"/>
    </row>
    <row r="30" spans="2:9" s="295" customFormat="1" x14ac:dyDescent="0.2">
      <c r="B30" s="1138"/>
      <c r="C30" s="300"/>
      <c r="D30" s="1189" t="s">
        <v>1425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2029</v>
      </c>
      <c r="H33" s="1076" t="s">
        <v>99</v>
      </c>
    </row>
    <row r="35" spans="2:9" x14ac:dyDescent="0.2">
      <c r="B35" s="1197" t="s">
        <v>2088</v>
      </c>
      <c r="C35" s="1198"/>
      <c r="D35" s="1043"/>
    </row>
    <row r="36" spans="2:9" ht="6" customHeight="1" x14ac:dyDescent="0.2">
      <c r="B36" s="1197"/>
      <c r="C36" s="1198"/>
      <c r="D36" s="1043"/>
    </row>
    <row r="37" spans="2:9" ht="17.25" customHeight="1" x14ac:dyDescent="0.2">
      <c r="B37" s="1199" t="s">
        <v>2089</v>
      </c>
      <c r="C37" s="2594" t="s">
        <v>2090</v>
      </c>
      <c r="D37" s="2595"/>
      <c r="E37" s="2595"/>
      <c r="F37" s="2596"/>
      <c r="G37" s="2594" t="s">
        <v>1575</v>
      </c>
      <c r="H37" s="2595"/>
      <c r="I37" s="2596"/>
    </row>
    <row r="38" spans="2:9" ht="16.5" customHeight="1" x14ac:dyDescent="0.2">
      <c r="B38" s="1200" t="s">
        <v>2079</v>
      </c>
      <c r="C38" s="2582" t="s">
        <v>2080</v>
      </c>
      <c r="D38" s="2583"/>
      <c r="E38" s="2583"/>
      <c r="F38" s="2584"/>
      <c r="G38" s="2597">
        <v>1718498</v>
      </c>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1718498</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1812362</v>
      </c>
      <c r="E45" s="2605"/>
    </row>
    <row r="46" spans="2:9" ht="5.25" customHeight="1" x14ac:dyDescent="0.2">
      <c r="B46" s="1201"/>
      <c r="D46" s="1202"/>
      <c r="E46" s="1203"/>
    </row>
    <row r="47" spans="2:9" ht="12.75" customHeight="1" x14ac:dyDescent="0.2">
      <c r="B47" s="1076" t="s">
        <v>1577</v>
      </c>
      <c r="C47" s="1076"/>
      <c r="D47" s="1204">
        <f>+G43/D45</f>
        <v>0.94820902225935</v>
      </c>
      <c r="E47" s="1205"/>
      <c r="F47" s="1206"/>
      <c r="I47" s="1207"/>
    </row>
    <row r="48" spans="2:9" ht="9.9499999999999993" customHeight="1" x14ac:dyDescent="0.2"/>
    <row r="49" spans="1:9" x14ac:dyDescent="0.2">
      <c r="B49" s="1138" t="s">
        <v>1262</v>
      </c>
      <c r="C49" s="1058"/>
      <c r="D49" s="1058"/>
      <c r="E49" s="2606">
        <v>750000</v>
      </c>
      <c r="F49" s="2606"/>
      <c r="G49" s="2606"/>
      <c r="H49" s="300"/>
    </row>
    <row r="51" spans="1:9" ht="13.5" customHeight="1" x14ac:dyDescent="0.2">
      <c r="B51" s="1138" t="s">
        <v>1261</v>
      </c>
      <c r="C51" s="1058"/>
      <c r="E51" s="1194"/>
      <c r="F51" s="1076" t="s">
        <v>879</v>
      </c>
      <c r="G51" s="1194" t="s">
        <v>2029</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hidden="1" x14ac:dyDescent="0.2">
      <c r="A54" s="1214"/>
      <c r="B54" s="1215" t="s">
        <v>1714</v>
      </c>
      <c r="C54" s="1216"/>
      <c r="D54" s="1216"/>
    </row>
    <row r="55" spans="1:9" s="1217" customFormat="1" ht="12.75" hidden="1" customHeight="1" x14ac:dyDescent="0.2">
      <c r="A55" s="1214"/>
      <c r="B55" s="1218" t="s">
        <v>1578</v>
      </c>
      <c r="C55" s="1214"/>
      <c r="D55" s="1214"/>
    </row>
    <row r="56" spans="1:9" s="1217" customFormat="1" ht="12.75" hidden="1" customHeight="1" x14ac:dyDescent="0.2">
      <c r="A56" s="1214"/>
      <c r="B56" s="1218" t="s">
        <v>1579</v>
      </c>
      <c r="C56" s="1214"/>
      <c r="D56" s="1214"/>
    </row>
    <row r="57" spans="1:9" s="1217" customFormat="1" ht="3.95" hidden="1" customHeight="1" x14ac:dyDescent="0.2">
      <c r="A57" s="1214"/>
      <c r="B57" s="1218"/>
      <c r="C57" s="1214"/>
      <c r="D57" s="1214"/>
    </row>
    <row r="58" spans="1:9" s="1217" customFormat="1" ht="13.5" hidden="1" customHeight="1" x14ac:dyDescent="0.2">
      <c r="A58" s="1214"/>
      <c r="B58" s="1219" t="s">
        <v>1715</v>
      </c>
      <c r="C58" s="1220"/>
      <c r="D58" s="1220"/>
    </row>
    <row r="59" spans="1:9" s="1217" customFormat="1" ht="3.95" hidden="1" customHeight="1" x14ac:dyDescent="0.2">
      <c r="A59" s="1214"/>
      <c r="B59" s="1219"/>
      <c r="C59" s="1220"/>
      <c r="D59" s="1220"/>
    </row>
    <row r="60" spans="1:9" s="1217" customFormat="1" ht="13.5" hidden="1" customHeight="1" x14ac:dyDescent="0.2">
      <c r="A60" s="1214"/>
      <c r="B60" s="1219" t="s">
        <v>1716</v>
      </c>
      <c r="C60" s="1220"/>
      <c r="D60" s="1220"/>
    </row>
    <row r="61" spans="1:9" s="1217" customFormat="1" ht="3.95" hidden="1" customHeight="1" x14ac:dyDescent="0.2">
      <c r="A61" s="1214"/>
      <c r="B61" s="1219"/>
      <c r="C61" s="1220"/>
      <c r="D61" s="1220"/>
    </row>
    <row r="62" spans="1:9" s="1217" customFormat="1" ht="12.75" hidden="1" customHeight="1" x14ac:dyDescent="0.2">
      <c r="A62" s="1214"/>
      <c r="B62" s="1219" t="s">
        <v>1717</v>
      </c>
      <c r="C62" s="1220"/>
      <c r="D62" s="1220"/>
    </row>
    <row r="63" spans="1:9" s="1217" customFormat="1" ht="13.5" hidden="1" customHeight="1" x14ac:dyDescent="0.2">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Footer>&amp;C55</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A35" sqref="A35:XFD4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BMP Tri Cty Special Ed</v>
      </c>
      <c r="C1" s="2586"/>
      <c r="D1" s="2586"/>
      <c r="E1" s="2586"/>
      <c r="F1" s="2586"/>
      <c r="G1" s="2586"/>
      <c r="H1" s="2586"/>
      <c r="I1" s="2586"/>
      <c r="J1" s="2586"/>
      <c r="K1" s="2586"/>
      <c r="L1" s="1144"/>
      <c r="M1" s="1144"/>
    </row>
    <row r="2" spans="1:13" ht="12" customHeight="1" x14ac:dyDescent="0.2">
      <c r="B2" s="2588">
        <f>'Single Audit Cover'!E7</f>
        <v>35059005061</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2091</v>
      </c>
      <c r="C10" s="1919" t="str">
        <f>'AFR20'!$E$2&amp;"-"</f>
        <v>2020-</v>
      </c>
      <c r="D10" s="1155" t="s">
        <v>2081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2092</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2093</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hidden="1" customHeight="1" x14ac:dyDescent="0.2">
      <c r="B35" s="1175" t="s">
        <v>1711</v>
      </c>
      <c r="C35" s="1175"/>
      <c r="D35" s="300"/>
      <c r="E35" s="300"/>
      <c r="F35" s="300"/>
      <c r="L35" s="1151"/>
    </row>
    <row r="36" spans="1:13" ht="9.6" hidden="1" customHeight="1" x14ac:dyDescent="0.2">
      <c r="B36" s="1076" t="s">
        <v>1791</v>
      </c>
      <c r="C36" s="1076"/>
      <c r="L36" s="1151"/>
    </row>
    <row r="37" spans="1:13" ht="9.6" hidden="1" customHeight="1" x14ac:dyDescent="0.2">
      <c r="B37" s="1076" t="s">
        <v>1792</v>
      </c>
      <c r="C37" s="1076"/>
    </row>
    <row r="38" spans="1:13" ht="11.85" hidden="1" customHeight="1" x14ac:dyDescent="0.2">
      <c r="B38" s="1176" t="s">
        <v>1712</v>
      </c>
      <c r="C38" s="1176"/>
    </row>
    <row r="39" spans="1:13" ht="9.6" hidden="1" customHeight="1" x14ac:dyDescent="0.2">
      <c r="B39" s="1076" t="s">
        <v>1275</v>
      </c>
      <c r="C39" s="1076"/>
      <c r="M39" s="1177"/>
    </row>
    <row r="40" spans="1:13" ht="12.6" hidden="1" customHeight="1" x14ac:dyDescent="0.2">
      <c r="B40" s="1176" t="s">
        <v>1713</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&amp;C56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41" sqref="B41:K4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BMP Tri Cty Special Ed</v>
      </c>
      <c r="C1" s="2613"/>
      <c r="D1" s="2613"/>
      <c r="E1" s="2613"/>
      <c r="F1" s="2613"/>
      <c r="G1" s="2613"/>
      <c r="H1" s="2613"/>
      <c r="I1" s="2613"/>
      <c r="J1" s="2613"/>
      <c r="K1" s="2613"/>
      <c r="L1" s="1221"/>
    </row>
    <row r="2" spans="1:12" ht="12.75" customHeight="1" x14ac:dyDescent="0.2">
      <c r="B2" s="2614">
        <f>'Single Audit Cover'!E7</f>
        <v>35059005061</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2094</v>
      </c>
      <c r="C8" s="1919" t="str">
        <f>'AFR20'!$E$2&amp;"-"</f>
        <v>2020-</v>
      </c>
      <c r="D8" s="1223" t="s">
        <v>2081</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2095</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2096</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2097</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2098</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hidden="1" customHeight="1" x14ac:dyDescent="0.2">
      <c r="B44" s="1175" t="s">
        <v>1718</v>
      </c>
      <c r="C44" s="1175"/>
      <c r="D44" s="300"/>
      <c r="E44" s="300"/>
      <c r="F44" s="300"/>
    </row>
    <row r="45" spans="2:12" ht="10.5" hidden="1" customHeight="1" x14ac:dyDescent="0.2">
      <c r="B45" s="1176" t="s">
        <v>1719</v>
      </c>
      <c r="C45" s="1176"/>
      <c r="G45" s="295"/>
      <c r="I45" s="295"/>
    </row>
    <row r="46" spans="2:12" ht="11.1" hidden="1" customHeight="1" x14ac:dyDescent="0.2">
      <c r="B46" s="1176" t="s">
        <v>1720</v>
      </c>
      <c r="C46" s="1176"/>
      <c r="G46" s="295"/>
      <c r="I46" s="295"/>
    </row>
    <row r="47" spans="2:12" ht="11.1" hidden="1" customHeight="1" x14ac:dyDescent="0.2">
      <c r="B47" s="1176" t="s">
        <v>1721</v>
      </c>
      <c r="C47" s="1176"/>
      <c r="G47" s="295"/>
      <c r="I47" s="295"/>
    </row>
    <row r="48" spans="2:12" ht="11.1" hidden="1" customHeight="1" x14ac:dyDescent="0.2">
      <c r="B48" s="1176" t="s">
        <v>1722</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&amp;C57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40" sqref="B4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BMP Tri Cty Special Ed</v>
      </c>
      <c r="C1" s="2586"/>
      <c r="D1" s="2586"/>
      <c r="E1" s="1240"/>
    </row>
    <row r="2" spans="2:5" s="1058" customFormat="1" ht="12.75" customHeight="1" x14ac:dyDescent="0.2">
      <c r="B2" s="2588">
        <f>'Single Audit Cover'!E7</f>
        <v>35059005061</v>
      </c>
      <c r="C2" s="2588"/>
      <c r="D2" s="2588"/>
      <c r="E2" s="1241"/>
    </row>
    <row r="3" spans="2:5" ht="12.75" customHeight="1" x14ac:dyDescent="0.2">
      <c r="B3" s="2609" t="s">
        <v>2099</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1723</v>
      </c>
      <c r="C5" s="306"/>
      <c r="D5" s="306"/>
      <c r="E5" s="306"/>
    </row>
    <row r="6" spans="2:5" s="1058" customFormat="1" ht="13.5" customHeight="1" x14ac:dyDescent="0.2">
      <c r="B6" s="1244" t="s">
        <v>1304</v>
      </c>
      <c r="C6" s="1244" t="s">
        <v>1303</v>
      </c>
      <c r="D6" s="1244" t="s">
        <v>2100</v>
      </c>
    </row>
    <row r="7" spans="2:5" ht="13.5" customHeight="1" x14ac:dyDescent="0.2">
      <c r="B7" s="1245" t="s">
        <v>2082</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hidden="1" customHeight="1" x14ac:dyDescent="0.2">
      <c r="B44" s="1033" t="s">
        <v>1302</v>
      </c>
      <c r="C44" s="300"/>
    </row>
    <row r="45" spans="2:5" ht="12.2" hidden="1" customHeight="1" x14ac:dyDescent="0.2">
      <c r="B45" s="1254" t="s">
        <v>1724</v>
      </c>
    </row>
    <row r="46" spans="2:5" ht="12.2" hidden="1" customHeight="1" x14ac:dyDescent="0.2">
      <c r="B46" s="1254" t="s">
        <v>1725</v>
      </c>
    </row>
    <row r="47" spans="2:5" ht="12.2" hidden="1" customHeight="1" x14ac:dyDescent="0.2">
      <c r="B47" s="1255" t="s">
        <v>1301</v>
      </c>
    </row>
    <row r="48" spans="2:5" ht="12.2" hidden="1" customHeight="1" x14ac:dyDescent="0.2">
      <c r="B48" s="1255" t="s">
        <v>1300</v>
      </c>
    </row>
    <row r="49" spans="2:5" ht="12.2" hidden="1" customHeight="1" x14ac:dyDescent="0.2">
      <c r="B49" s="1255" t="s">
        <v>1299</v>
      </c>
    </row>
    <row r="50" spans="2:5" ht="12.2" hidden="1"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&amp;C58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2800917</v>
      </c>
      <c r="E16" s="1547"/>
      <c r="F16" s="1546">
        <f>SUM('Acct Summary 7-8'!C17,'Acct Summary 7-8'!D17,'Acct Summary 7-8'!F17)</f>
        <v>2884040</v>
      </c>
      <c r="G16" s="1547"/>
      <c r="H16" s="1546">
        <f>SUM(D16-F16)</f>
        <v>-83123</v>
      </c>
      <c r="I16" s="1548"/>
      <c r="J16" s="1546">
        <f>SUM('Acct Summary 7-8'!C81,'Acct Summary 7-8'!D81,'Acct Summary 7-8'!F81,'Acct Summary 7-8'!I81)</f>
        <v>210410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1983</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1943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BMP Tri Cty Special Ed</v>
      </c>
      <c r="E7" s="368"/>
      <c r="G7" s="247"/>
      <c r="H7" s="364"/>
      <c r="I7" s="364"/>
      <c r="J7" s="364"/>
      <c r="K7" s="364"/>
      <c r="L7" s="307"/>
      <c r="M7" s="307"/>
      <c r="N7" s="307"/>
      <c r="O7" s="307"/>
      <c r="P7" s="307"/>
    </row>
    <row r="8" spans="1:18" ht="12.75" x14ac:dyDescent="0.2">
      <c r="A8" s="307"/>
      <c r="B8" s="307"/>
      <c r="C8" s="366" t="s">
        <v>1115</v>
      </c>
      <c r="D8" s="369">
        <f>COVER!A13</f>
        <v>35059005061</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210410</v>
      </c>
      <c r="I12" s="380"/>
      <c r="J12" s="380"/>
      <c r="K12" s="1559">
        <f>TRUNC((H12/H13*100000),5)/100000</f>
        <v>7.5121826099999997E-2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2800917</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2884040</v>
      </c>
      <c r="I17" s="380"/>
      <c r="J17" s="389"/>
      <c r="K17" s="1559">
        <f>TRUNC((H17/H18*100000),5)/100000</f>
        <v>1.0296770664000001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2800917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-0.83829620000000005</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f>IF(K24&gt;=180,"4",IF(K24&gt;=90,"3",IF(K24&gt;=30,"2",1)))</f>
        <v>1</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210410</v>
      </c>
      <c r="I24" s="394"/>
      <c r="J24" s="394"/>
      <c r="K24" s="1555">
        <f>TRUNC(((H24/H25*100000)/100000),2)</f>
        <v>26.26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8011.2222199999997</v>
      </c>
      <c r="I25" s="396"/>
      <c r="J25" s="396"/>
      <c r="K25" s="1558"/>
      <c r="L25" s="213"/>
      <c r="M25" s="337" t="s">
        <v>1135</v>
      </c>
      <c r="N25" s="337"/>
      <c r="O25" s="1563">
        <f>O23*O24</f>
        <v>0.1</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1871</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210410</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210410</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19827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113041+98545</f>
        <v>211586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231413</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210410</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231413</v>
      </c>
      <c r="N40" s="1604"/>
    </row>
    <row r="41" spans="1:14" ht="13.5" customHeight="1" thickBot="1" x14ac:dyDescent="0.25">
      <c r="A41" s="1426" t="s">
        <v>650</v>
      </c>
      <c r="B41" s="1405"/>
      <c r="C41" s="1594">
        <f>(SUM(C34,C37,C38,C39))</f>
        <v>210410</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231413</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681379</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260370</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1859168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2800917</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1325441</v>
      </c>
      <c r="D9" s="1613"/>
      <c r="E9" s="1586"/>
      <c r="F9" s="1586"/>
      <c r="G9" s="1614"/>
      <c r="H9" s="1586"/>
      <c r="I9" s="1609" t="s">
        <v>1159</v>
      </c>
      <c r="J9" s="1583"/>
      <c r="K9" s="1586"/>
      <c r="L9" s="325"/>
    </row>
    <row r="10" spans="1:13" s="452" customFormat="1" ht="13.5" thickBot="1" x14ac:dyDescent="0.25">
      <c r="A10" s="1426" t="s">
        <v>1163</v>
      </c>
      <c r="B10" s="1407"/>
      <c r="C10" s="1594">
        <f>SUM(C8:C9)</f>
        <v>4126358</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20289</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2850621</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13130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2884040</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1325441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4209481</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-83123</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1749</v>
      </c>
      <c r="B30" s="455">
        <v>7160</v>
      </c>
      <c r="C30" s="1582"/>
      <c r="D30" s="1574"/>
      <c r="E30" s="1582"/>
      <c r="F30" s="1582"/>
      <c r="G30" s="1582"/>
      <c r="H30" s="1582"/>
      <c r="I30" s="1582"/>
      <c r="J30" s="1582"/>
      <c r="K30" s="1582"/>
      <c r="L30" s="453"/>
    </row>
    <row r="31" spans="1:12" s="433" customFormat="1" ht="26.25" x14ac:dyDescent="0.2">
      <c r="A31" s="1260" t="s">
        <v>1753</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1752</v>
      </c>
      <c r="B52" s="432">
        <v>8160</v>
      </c>
      <c r="C52" s="1582"/>
      <c r="D52" s="1582"/>
      <c r="E52" s="1582"/>
      <c r="F52" s="1582"/>
      <c r="G52" s="1582"/>
      <c r="H52" s="1582"/>
      <c r="I52" s="1582"/>
      <c r="J52" s="1582"/>
      <c r="K52" s="1607">
        <f>D30</f>
        <v>0</v>
      </c>
      <c r="L52" s="453"/>
    </row>
    <row r="53" spans="1:12" s="433" customFormat="1" ht="26.25" x14ac:dyDescent="0.2">
      <c r="A53" s="1261" t="s">
        <v>1751</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-83123</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293533</v>
      </c>
      <c r="D79" s="1630"/>
      <c r="E79" s="1630"/>
      <c r="F79" s="1630"/>
      <c r="G79" s="1630"/>
      <c r="H79" s="1630"/>
      <c r="I79" s="1630"/>
      <c r="J79" s="1630"/>
      <c r="K79" s="1630"/>
      <c r="L79" s="325"/>
    </row>
    <row r="80" spans="1:12" x14ac:dyDescent="0.2">
      <c r="A80" s="2233" t="s">
        <v>1750</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210410</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-83123</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-0.39505251651537476</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8" activePane="bottomLeft" state="frozen"/>
      <selection pane="bottomLeft" activeCell="C104" sqref="C10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1757</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1971+78</f>
        <v>2049</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2049</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16774</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656751</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5805</v>
      </c>
      <c r="D107" s="1573"/>
      <c r="E107" s="1573"/>
      <c r="F107" s="1573"/>
      <c r="G107" s="1573"/>
      <c r="H107" s="1573"/>
      <c r="I107" s="1573"/>
      <c r="J107" s="1574"/>
      <c r="K107" s="1573"/>
    </row>
    <row r="108" spans="1:12" ht="12.75" customHeight="1" thickBot="1" x14ac:dyDescent="0.25">
      <c r="A108" s="1406" t="s">
        <v>484</v>
      </c>
      <c r="B108" s="1408"/>
      <c r="C108" s="1633">
        <f>SUM(C95:C107)</f>
        <v>679330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681379</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1754</v>
      </c>
      <c r="B118" s="478">
        <v>3002</v>
      </c>
      <c r="C118" s="1632"/>
      <c r="D118" s="1573"/>
      <c r="E118" s="1573"/>
      <c r="F118" s="1573"/>
      <c r="G118" s="1573"/>
      <c r="H118" s="1573"/>
      <c r="I118" s="1575"/>
      <c r="J118" s="1574"/>
      <c r="K118" s="1573"/>
    </row>
    <row r="119" spans="1:11" ht="12.75" customHeight="1" x14ac:dyDescent="0.2">
      <c r="A119" s="427" t="s">
        <v>1755</v>
      </c>
      <c r="B119" s="478">
        <v>3005</v>
      </c>
      <c r="C119" s="1632"/>
      <c r="D119" s="1573"/>
      <c r="E119" s="1573"/>
      <c r="F119" s="1573"/>
      <c r="G119" s="1573"/>
      <c r="H119" s="1573"/>
      <c r="I119" s="1575"/>
      <c r="J119" s="1574"/>
      <c r="K119" s="1573"/>
    </row>
    <row r="120" spans="1:11" ht="12.75" customHeight="1" x14ac:dyDescent="0.2">
      <c r="A120" s="1539" t="s">
        <v>1873</v>
      </c>
      <c r="B120" s="478">
        <v>3030</v>
      </c>
      <c r="C120" s="1632"/>
      <c r="D120" s="1573"/>
      <c r="E120" s="1573"/>
      <c r="F120" s="1573"/>
      <c r="G120" s="1573"/>
      <c r="H120" s="1573"/>
      <c r="I120" s="1575"/>
      <c r="J120" s="1574"/>
      <c r="K120" s="1573"/>
    </row>
    <row r="121" spans="1:11" x14ac:dyDescent="0.2">
      <c r="A121" s="1266" t="s">
        <v>1756</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v>260370</v>
      </c>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260370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260370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260370</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1758</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78606</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1622351</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1700957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1874</v>
      </c>
      <c r="B261" s="429">
        <v>4981</v>
      </c>
      <c r="C261" s="1650"/>
      <c r="D261" s="1651"/>
      <c r="E261" s="1575"/>
      <c r="F261" s="1651"/>
      <c r="G261" s="1651"/>
      <c r="H261" s="1575"/>
      <c r="I261" s="1575"/>
      <c r="J261" s="1575"/>
      <c r="K261" s="1575"/>
    </row>
    <row r="262" spans="1:11" ht="12.75" customHeight="1" thickTop="1" thickBot="1" x14ac:dyDescent="0.25">
      <c r="A262" s="1540" t="s">
        <v>1875</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93864</v>
      </c>
      <c r="D263" s="1651"/>
      <c r="E263" s="1575"/>
      <c r="F263" s="1651"/>
      <c r="G263" s="1651"/>
      <c r="H263" s="1575"/>
      <c r="I263" s="1575"/>
      <c r="J263" s="1575"/>
      <c r="K263" s="1575"/>
    </row>
    <row r="264" spans="1:11" ht="12.75" customHeight="1" thickTop="1" thickBot="1" x14ac:dyDescent="0.25">
      <c r="A264" s="427" t="s">
        <v>374</v>
      </c>
      <c r="B264" s="429">
        <v>4992</v>
      </c>
      <c r="C264" s="1650">
        <v>64347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1859168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1859168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2800917</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9" activePane="bottomLeft" state="frozen"/>
      <selection pane="bottomLeft" activeCell="L94" sqref="L9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1757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17672</v>
      </c>
      <c r="D8" s="1573">
        <f>1782+835</f>
        <v>2617</v>
      </c>
      <c r="E8" s="1573"/>
      <c r="F8" s="1573"/>
      <c r="G8" s="1573"/>
      <c r="H8" s="1573"/>
      <c r="I8" s="1574"/>
      <c r="J8" s="1574"/>
      <c r="K8" s="1672">
        <f t="shared" si="0"/>
        <v>20289</v>
      </c>
      <c r="L8" s="1573">
        <f>13975+1382+135+129+129</f>
        <v>15750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17672</v>
      </c>
      <c r="D33" s="1674">
        <f t="shared" ref="D33:L33" si="1">SUM(D5:D32)</f>
        <v>2617</v>
      </c>
      <c r="E33" s="1674">
        <f t="shared" si="1"/>
        <v>0</v>
      </c>
      <c r="F33" s="1674">
        <f t="shared" si="1"/>
        <v>0</v>
      </c>
      <c r="G33" s="1674">
        <f t="shared" si="1"/>
        <v>0</v>
      </c>
      <c r="H33" s="1674">
        <f t="shared" si="1"/>
        <v>0</v>
      </c>
      <c r="I33" s="1674">
        <f t="shared" si="1"/>
        <v>0</v>
      </c>
      <c r="J33" s="1674">
        <f t="shared" si="1"/>
        <v>0</v>
      </c>
      <c r="K33" s="1674">
        <f t="shared" si="1"/>
        <v>20289</v>
      </c>
      <c r="L33" s="1674">
        <f t="shared" si="1"/>
        <v>15750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546424</v>
      </c>
      <c r="D36" s="1586">
        <v>96503</v>
      </c>
      <c r="E36" s="1586">
        <v>18584</v>
      </c>
      <c r="F36" s="1586">
        <v>1500</v>
      </c>
      <c r="G36" s="1586"/>
      <c r="H36" s="1586"/>
      <c r="I36" s="1574"/>
      <c r="J36" s="1574"/>
      <c r="K36" s="1672">
        <f t="shared" ref="K36:K41" si="2">SUM(C36:J36)</f>
        <v>663011</v>
      </c>
      <c r="L36" s="1573">
        <f>485456+50276+49713+3335+7671+1689+230+17280+9000+855+6325+4047+1500+4641+8066+15796+1558</f>
        <v>667438</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461126</v>
      </c>
      <c r="D38" s="1573">
        <f>76823+35700+5191+211</f>
        <v>117925</v>
      </c>
      <c r="E38" s="1573">
        <f>11201+479+3153+2113</f>
        <v>16946</v>
      </c>
      <c r="F38" s="1573">
        <v>3000</v>
      </c>
      <c r="G38" s="1573"/>
      <c r="H38" s="1573"/>
      <c r="I38" s="1574"/>
      <c r="J38" s="1574"/>
      <c r="K38" s="1672">
        <f t="shared" si="2"/>
        <v>598997</v>
      </c>
      <c r="L38" s="1573">
        <f>424358+71803+6609+25475+29667+190+2500+12500+855+6323+4047+3000+669</f>
        <v>587996</v>
      </c>
    </row>
    <row r="39" spans="1:14" x14ac:dyDescent="0.2">
      <c r="A39" s="1274" t="s">
        <v>197</v>
      </c>
      <c r="B39" s="503">
        <v>2140</v>
      </c>
      <c r="C39" s="1573">
        <f>437232+14629+20700</f>
        <v>472561</v>
      </c>
      <c r="D39" s="1573">
        <f>34370+1303+6743+256+3830+145+11339+895+5308+10120+212+163+214</f>
        <v>74898</v>
      </c>
      <c r="E39" s="1573">
        <f>9836+479+7357+4047+1057</f>
        <v>22776</v>
      </c>
      <c r="F39" s="1573">
        <v>5000</v>
      </c>
      <c r="G39" s="1573"/>
      <c r="H39" s="1573"/>
      <c r="I39" s="1574"/>
      <c r="J39" s="1574"/>
      <c r="K39" s="1672">
        <f t="shared" si="2"/>
        <v>575235</v>
      </c>
      <c r="L39" s="1573">
        <f>444768+32500+39201+8242+6631+3776+218+12000+855+6323+4047+5000+3659+6359+13198+669</f>
        <v>587446</v>
      </c>
    </row>
    <row r="40" spans="1:14" x14ac:dyDescent="0.2">
      <c r="A40" s="1274" t="s">
        <v>198</v>
      </c>
      <c r="B40" s="503">
        <v>2150</v>
      </c>
      <c r="C40" s="1573">
        <v>15191</v>
      </c>
      <c r="D40" s="1573">
        <f>1370+269+153+944+220+27</f>
        <v>2983</v>
      </c>
      <c r="E40" s="1573"/>
      <c r="F40" s="1573"/>
      <c r="G40" s="1573"/>
      <c r="H40" s="1573"/>
      <c r="I40" s="1574"/>
      <c r="J40" s="1574"/>
      <c r="K40" s="1672">
        <f t="shared" si="2"/>
        <v>18174</v>
      </c>
      <c r="L40" s="1573">
        <f>14123+1100+1506+221+8+141+244+929</f>
        <v>18272</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1495302</v>
      </c>
      <c r="D42" s="1674">
        <f t="shared" ref="D42:L42" si="3">SUM(D36:D41)</f>
        <v>292309</v>
      </c>
      <c r="E42" s="1674">
        <f t="shared" si="3"/>
        <v>58306</v>
      </c>
      <c r="F42" s="1674">
        <f t="shared" si="3"/>
        <v>9500</v>
      </c>
      <c r="G42" s="1674">
        <f t="shared" si="3"/>
        <v>0</v>
      </c>
      <c r="H42" s="1674">
        <f t="shared" si="3"/>
        <v>0</v>
      </c>
      <c r="I42" s="1674">
        <f t="shared" si="3"/>
        <v>0</v>
      </c>
      <c r="J42" s="1674">
        <f t="shared" si="3"/>
        <v>0</v>
      </c>
      <c r="K42" s="1674">
        <f t="shared" si="3"/>
        <v>1855417</v>
      </c>
      <c r="L42" s="1674">
        <f t="shared" si="3"/>
        <v>1861152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f>51263+44739+838</f>
        <v>96840</v>
      </c>
      <c r="D44" s="1586">
        <f>2689+4035+528+792+300+450+895+2858+3296+2217+649+27+27</f>
        <v>18763</v>
      </c>
      <c r="E44" s="1586">
        <f>9100+4600+6069+1150+11000+500+319+237+485+485+151+149+14103</f>
        <v>48348</v>
      </c>
      <c r="F44" s="1586">
        <v>391</v>
      </c>
      <c r="G44" s="1586"/>
      <c r="H44" s="1586"/>
      <c r="I44" s="1574"/>
      <c r="J44" s="1574"/>
      <c r="K44" s="1678">
        <f>SUM(C44:J44)</f>
        <v>164342</v>
      </c>
      <c r="L44" s="1586">
        <f>90042+7000+7389+3021+1407+1384+62+2703+3607+300+690+1203+3787+29600+1615+28000</f>
        <v>181810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96840</v>
      </c>
      <c r="D47" s="1674">
        <f t="shared" ref="D47:K47" si="4">SUM(D44:D46)</f>
        <v>18763</v>
      </c>
      <c r="E47" s="1674">
        <f t="shared" si="4"/>
        <v>48348</v>
      </c>
      <c r="F47" s="1674">
        <f t="shared" si="4"/>
        <v>391</v>
      </c>
      <c r="G47" s="1674">
        <f t="shared" si="4"/>
        <v>0</v>
      </c>
      <c r="H47" s="1674">
        <f t="shared" si="4"/>
        <v>0</v>
      </c>
      <c r="I47" s="1674">
        <f t="shared" si="4"/>
        <v>0</v>
      </c>
      <c r="J47" s="1674">
        <f t="shared" si="4"/>
        <v>0</v>
      </c>
      <c r="K47" s="1674">
        <f t="shared" si="4"/>
        <v>164342</v>
      </c>
      <c r="L47" s="1674">
        <f>SUM(L44:L46)</f>
        <v>181810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v>1201</v>
      </c>
      <c r="I49" s="1574"/>
      <c r="J49" s="1574"/>
      <c r="K49" s="1678">
        <f>SUM(C49:J49)</f>
        <v>1201</v>
      </c>
      <c r="L49" s="1586">
        <f>498500+49302+52012+7921+189+2200+13669+20000+14000+855+7925+6323+4047+4855+8438+17106+1447+4000</f>
        <v>712789</v>
      </c>
    </row>
    <row r="50" spans="1:14" x14ac:dyDescent="0.2">
      <c r="A50" s="1274" t="s">
        <v>813</v>
      </c>
      <c r="B50" s="503">
        <v>2320</v>
      </c>
      <c r="C50" s="1573">
        <v>117482</v>
      </c>
      <c r="D50" s="1573">
        <v>37116</v>
      </c>
      <c r="E50" s="1573">
        <v>36877</v>
      </c>
      <c r="F50" s="1573">
        <v>9000</v>
      </c>
      <c r="G50" s="1573">
        <v>2837</v>
      </c>
      <c r="H50" s="1573"/>
      <c r="I50" s="1574"/>
      <c r="J50" s="1574"/>
      <c r="K50" s="1678">
        <f>SUM(C50:J50)</f>
        <v>203312</v>
      </c>
      <c r="L50" s="1573">
        <v>9000</v>
      </c>
    </row>
    <row r="51" spans="1:14" x14ac:dyDescent="0.2">
      <c r="A51" s="1274" t="s">
        <v>42</v>
      </c>
      <c r="B51" s="503">
        <v>2330</v>
      </c>
      <c r="C51" s="1573">
        <v>407542</v>
      </c>
      <c r="D51" s="1573">
        <v>71087</v>
      </c>
      <c r="E51" s="1573">
        <f>7988+479+7620+4209+1295</f>
        <v>21591</v>
      </c>
      <c r="F51" s="1573"/>
      <c r="G51" s="1573"/>
      <c r="H51" s="1573"/>
      <c r="I51" s="1574"/>
      <c r="J51" s="1574"/>
      <c r="K51" s="1678">
        <f>SUM(C51:J51)</f>
        <v>500220</v>
      </c>
      <c r="L51" s="1573">
        <v>6500</v>
      </c>
    </row>
    <row r="52" spans="1:14" ht="22.5" x14ac:dyDescent="0.2">
      <c r="A52" s="1275" t="s">
        <v>295</v>
      </c>
      <c r="B52" s="511" t="s">
        <v>363</v>
      </c>
      <c r="C52" s="1579"/>
      <c r="D52" s="1579"/>
      <c r="E52" s="1579">
        <v>3698</v>
      </c>
      <c r="F52" s="1579"/>
      <c r="G52" s="1579"/>
      <c r="H52" s="1579"/>
      <c r="I52" s="1579"/>
      <c r="J52" s="1579"/>
      <c r="K52" s="1678">
        <f>SUM(C52:J52)</f>
        <v>3698</v>
      </c>
      <c r="L52" s="1579">
        <v>9000</v>
      </c>
    </row>
    <row r="53" spans="1:14" ht="12.75" customHeight="1" thickBot="1" x14ac:dyDescent="0.25">
      <c r="A53" s="1380" t="s">
        <v>712</v>
      </c>
      <c r="B53" s="1381" t="s">
        <v>33</v>
      </c>
      <c r="C53" s="1674">
        <f>SUM(C49:C52)</f>
        <v>525024</v>
      </c>
      <c r="D53" s="1674">
        <f t="shared" ref="D53:L53" si="5">SUM(D49:D52)</f>
        <v>108203</v>
      </c>
      <c r="E53" s="1674">
        <f t="shared" si="5"/>
        <v>62166</v>
      </c>
      <c r="F53" s="1674">
        <f t="shared" si="5"/>
        <v>9000</v>
      </c>
      <c r="G53" s="1674">
        <f t="shared" si="5"/>
        <v>2837</v>
      </c>
      <c r="H53" s="1674">
        <f t="shared" si="5"/>
        <v>1201</v>
      </c>
      <c r="I53" s="1674">
        <f t="shared" si="5"/>
        <v>0</v>
      </c>
      <c r="J53" s="1674">
        <f t="shared" si="5"/>
        <v>0</v>
      </c>
      <c r="K53" s="1674">
        <f t="shared" si="5"/>
        <v>708431</v>
      </c>
      <c r="L53" s="1674">
        <f t="shared" si="5"/>
        <v>737289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v>4505</v>
      </c>
      <c r="I59" s="1574"/>
      <c r="J59" s="1574"/>
      <c r="K59" s="1678">
        <f t="shared" ref="K59:K64" si="7">SUM(C59:J59)</f>
        <v>4505</v>
      </c>
      <c r="L59" s="1586">
        <v>13000</v>
      </c>
      <c r="M59" s="501"/>
      <c r="N59" s="501"/>
    </row>
    <row r="60" spans="1:14" s="321" customFormat="1" x14ac:dyDescent="0.2">
      <c r="A60" s="1274" t="s">
        <v>460</v>
      </c>
      <c r="B60" s="503">
        <v>2520</v>
      </c>
      <c r="C60" s="1573">
        <v>47460</v>
      </c>
      <c r="D60" s="1573">
        <f>7019+3802+27</f>
        <v>10848</v>
      </c>
      <c r="E60" s="1573">
        <f>472+5387+486+147</f>
        <v>6492</v>
      </c>
      <c r="F60" s="1573">
        <v>3000</v>
      </c>
      <c r="G60" s="1573"/>
      <c r="H60" s="1573"/>
      <c r="I60" s="1574"/>
      <c r="J60" s="1574"/>
      <c r="K60" s="1678">
        <f t="shared" si="7"/>
        <v>67800</v>
      </c>
      <c r="L60" s="1573">
        <f>43960+3500+6422+668+2943+27+550+5170+3500</f>
        <v>66740</v>
      </c>
      <c r="M60" s="501"/>
      <c r="N60" s="501"/>
    </row>
    <row r="61" spans="1:14" s="321" customFormat="1" x14ac:dyDescent="0.2">
      <c r="A61" s="1274" t="s">
        <v>195</v>
      </c>
      <c r="B61" s="503">
        <v>2540</v>
      </c>
      <c r="C61" s="1573"/>
      <c r="D61" s="1573"/>
      <c r="E61" s="1573">
        <f>41825+2201+1058</f>
        <v>45084</v>
      </c>
      <c r="F61" s="1573"/>
      <c r="G61" s="1573"/>
      <c r="H61" s="1573"/>
      <c r="I61" s="1574"/>
      <c r="J61" s="1574"/>
      <c r="K61" s="1678">
        <f t="shared" si="7"/>
        <v>45084</v>
      </c>
      <c r="L61" s="1573">
        <f>44843+2041</f>
        <v>46884</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v>5042</v>
      </c>
      <c r="F64" s="1586"/>
      <c r="G64" s="1586"/>
      <c r="H64" s="1586"/>
      <c r="I64" s="1574"/>
      <c r="J64" s="1574"/>
      <c r="K64" s="1678">
        <f t="shared" si="7"/>
        <v>5042</v>
      </c>
      <c r="L64" s="1586">
        <v>5028</v>
      </c>
    </row>
    <row r="65" spans="1:14" s="321" customFormat="1" ht="12.75" customHeight="1" thickBot="1" x14ac:dyDescent="0.25">
      <c r="A65" s="1380" t="s">
        <v>714</v>
      </c>
      <c r="B65" s="1381" t="s">
        <v>35</v>
      </c>
      <c r="C65" s="1674">
        <f>SUM(C59:C64)</f>
        <v>47460</v>
      </c>
      <c r="D65" s="1674">
        <f t="shared" ref="D65:L65" si="8">SUM(D59:D64)</f>
        <v>10848</v>
      </c>
      <c r="E65" s="1674">
        <f t="shared" si="8"/>
        <v>56618</v>
      </c>
      <c r="F65" s="1674">
        <f t="shared" si="8"/>
        <v>3000</v>
      </c>
      <c r="G65" s="1674">
        <f t="shared" si="8"/>
        <v>0</v>
      </c>
      <c r="H65" s="1674">
        <f t="shared" si="8"/>
        <v>4505</v>
      </c>
      <c r="I65" s="1674">
        <f t="shared" si="8"/>
        <v>0</v>
      </c>
      <c r="J65" s="1674">
        <f t="shared" si="8"/>
        <v>0</v>
      </c>
      <c r="K65" s="1674">
        <f t="shared" si="8"/>
        <v>122431</v>
      </c>
      <c r="L65" s="1674">
        <f t="shared" si="8"/>
        <v>131652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2164626</v>
      </c>
      <c r="D74" s="1681">
        <f t="shared" ref="D74:K74" si="10">SUM(D42,D47,D53,D57,D65,D72,D73)</f>
        <v>430123</v>
      </c>
      <c r="E74" s="1681">
        <f t="shared" si="10"/>
        <v>225438</v>
      </c>
      <c r="F74" s="1681">
        <f t="shared" si="10"/>
        <v>21891</v>
      </c>
      <c r="G74" s="1681">
        <f t="shared" si="10"/>
        <v>2837</v>
      </c>
      <c r="H74" s="1681">
        <f t="shared" si="10"/>
        <v>5706</v>
      </c>
      <c r="I74" s="1681">
        <f t="shared" si="10"/>
        <v>0</v>
      </c>
      <c r="J74" s="1681">
        <f t="shared" si="10"/>
        <v>0</v>
      </c>
      <c r="K74" s="1681">
        <f t="shared" si="10"/>
        <v>2850621</v>
      </c>
      <c r="L74" s="1681">
        <f>SUM(L42,L47,L53,L57,L65,L72,L73)</f>
        <v>2911903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9523</v>
      </c>
      <c r="I79" s="1582"/>
      <c r="J79" s="1582"/>
      <c r="K79" s="1672">
        <f t="shared" si="11"/>
        <v>9523</v>
      </c>
      <c r="L79" s="1573">
        <v>10109</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3607</v>
      </c>
      <c r="I83" s="1582"/>
      <c r="J83" s="1582"/>
      <c r="K83" s="1672">
        <f t="shared" si="11"/>
        <v>3607</v>
      </c>
      <c r="L83" s="1573"/>
    </row>
    <row r="84" spans="1:12" ht="13.5" thickBot="1" x14ac:dyDescent="0.25">
      <c r="A84" s="1380" t="s">
        <v>1468</v>
      </c>
      <c r="B84" s="1385">
        <v>4100</v>
      </c>
      <c r="C84" s="1673"/>
      <c r="D84" s="1673"/>
      <c r="E84" s="1674">
        <f>SUM(E78:E83)</f>
        <v>0</v>
      </c>
      <c r="F84" s="1673"/>
      <c r="G84" s="1673"/>
      <c r="H84" s="1674">
        <f>SUM(H78:H83)</f>
        <v>13130</v>
      </c>
      <c r="I84" s="1582"/>
      <c r="J84" s="1582"/>
      <c r="K84" s="1674">
        <f>SUM(K78:K83)</f>
        <v>13130</v>
      </c>
      <c r="L84" s="1674">
        <f>SUM(L78:L83)</f>
        <v>10109</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13130</v>
      </c>
      <c r="I102" s="1582"/>
      <c r="J102" s="1582"/>
      <c r="K102" s="1681">
        <f>SUM(K84,K92,K100,K101)</f>
        <v>13130</v>
      </c>
      <c r="L102" s="1681">
        <f>SUM(L84,L92,L100,L101)</f>
        <v>10109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2182298</v>
      </c>
      <c r="D114" s="1674">
        <f t="shared" ref="D114:K114" si="13">SUM(D33,D74,D75,D102,D112,D113)</f>
        <v>432740</v>
      </c>
      <c r="E114" s="1674">
        <f t="shared" si="13"/>
        <v>225438</v>
      </c>
      <c r="F114" s="1674">
        <f t="shared" si="13"/>
        <v>21891</v>
      </c>
      <c r="G114" s="1674">
        <f t="shared" si="13"/>
        <v>2837</v>
      </c>
      <c r="H114" s="1674">
        <f>SUM(H33,H74,H75,H102,H112,H113)</f>
        <v>18836</v>
      </c>
      <c r="I114" s="1674">
        <f t="shared" si="13"/>
        <v>0</v>
      </c>
      <c r="J114" s="1674">
        <f t="shared" si="13"/>
        <v>0</v>
      </c>
      <c r="K114" s="1674">
        <f t="shared" si="13"/>
        <v>2884040</v>
      </c>
      <c r="L114" s="1674">
        <f>SUM(L33,L74,L75,L102,L112,L113)</f>
        <v>2937762</v>
      </c>
    </row>
    <row r="115" spans="1:14" ht="13.5" thickTop="1" x14ac:dyDescent="0.2">
      <c r="A115" s="2261" t="s">
        <v>989</v>
      </c>
      <c r="B115" s="2262"/>
      <c r="C115" s="1675"/>
      <c r="D115" s="1675"/>
      <c r="E115" s="1675"/>
      <c r="F115" s="1675"/>
      <c r="G115" s="1675"/>
      <c r="H115" s="1675"/>
      <c r="I115" s="1675"/>
      <c r="J115" s="1675"/>
      <c r="K115" s="1689">
        <f>'Revenues 9-14'!C268-'Expenditures 15-22'!K114</f>
        <v>-83123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1941</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1794</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1795</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1794</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1796</v>
      </c>
      <c r="C158" s="1673"/>
      <c r="D158" s="1673"/>
      <c r="E158" s="1673"/>
      <c r="F158" s="1673"/>
      <c r="G158" s="1673"/>
      <c r="H158" s="1574"/>
      <c r="I158" s="1673"/>
      <c r="J158" s="1673"/>
      <c r="K158" s="1672">
        <f>H158</f>
        <v>0</v>
      </c>
      <c r="L158" s="1574"/>
      <c r="M158" s="505"/>
      <c r="N158" s="505"/>
    </row>
    <row r="159" spans="1:14" s="506" customFormat="1" ht="12" x14ac:dyDescent="0.2">
      <c r="A159" s="1462" t="s">
        <v>1797</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1798</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1941</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1760</v>
      </c>
      <c r="B249" s="557" t="s">
        <v>280</v>
      </c>
      <c r="C249" s="1673"/>
      <c r="D249" s="1579"/>
      <c r="E249" s="1673"/>
      <c r="F249" s="1673"/>
      <c r="G249" s="1673"/>
      <c r="H249" s="1673"/>
      <c r="I249" s="1673"/>
      <c r="J249" s="1673"/>
      <c r="K249" s="1678">
        <f t="shared" si="21"/>
        <v>0</v>
      </c>
      <c r="L249" s="1573"/>
    </row>
    <row r="250" spans="1:12" x14ac:dyDescent="0.2">
      <c r="A250" s="1275" t="s">
        <v>1761</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1759</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1794</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1799</v>
      </c>
      <c r="B306" s="562" t="s">
        <v>1794</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1760</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1800</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1794</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1796</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1801</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1802</v>
      </c>
      <c r="B354" s="557" t="s">
        <v>1794</v>
      </c>
      <c r="C354" s="1673"/>
      <c r="D354" s="1673"/>
      <c r="E354" s="1673"/>
      <c r="F354" s="1673"/>
      <c r="G354" s="1673"/>
      <c r="H354" s="1579"/>
      <c r="I354" s="1716"/>
      <c r="J354" s="1673"/>
      <c r="K354" s="1713">
        <f>H354</f>
        <v>0</v>
      </c>
      <c r="L354" s="1577"/>
    </row>
    <row r="355" spans="1:14" ht="12.75" customHeight="1" x14ac:dyDescent="0.2">
      <c r="A355" s="1283" t="s">
        <v>1803</v>
      </c>
      <c r="B355" s="562" t="s">
        <v>1796</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d21dc803-237d-4c68-8692-8d731fd29118"/>
    <ds:schemaRef ds:uri="http://purl.org/dc/terms/"/>
    <ds:schemaRef ds:uri="http://schemas.microsoft.com/office/infopath/2007/PartnerControls"/>
    <ds:schemaRef ds:uri="6ce3111e-7420-4802-b50a-75d4e9a0b980"/>
    <ds:schemaRef ds:uri="4d435f69-8686-490b-bd6d-b153bf22ab50"/>
    <ds:schemaRef ds:uri="http://schemas.microsoft.com/office/2006/documentManagement/types"/>
    <ds:schemaRef ds:uri="http://schemas.microsoft.com/sharepoint/v3"/>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2020-09-15T13:25:17Z</cp:lastPrinted>
  <dcterms:created xsi:type="dcterms:W3CDTF">2003-10-29T19:06:34Z</dcterms:created>
  <dcterms:modified xsi:type="dcterms:W3CDTF">2020-10-04T00:40:25Z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