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71142149-9927-40FD-8B79-896230F5C518}" xr6:coauthVersionLast="36" xr6:coauthVersionMax="36" xr10:uidLastSave="{00000000-0000-0000-0000-000000000000}"/>
  <bookViews>
    <workbookView xWindow="-120" yWindow="-120" windowWidth="29040" windowHeight="15840" tabRatio="78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4" i="29" l="1"/>
  <c r="H81" i="29"/>
  <c r="E81" i="29"/>
  <c r="F51" i="29"/>
  <c r="E51" i="29"/>
  <c r="D51" i="29"/>
  <c r="F44" i="29"/>
  <c r="D44" i="29"/>
  <c r="F37" i="29"/>
  <c r="E37" i="29"/>
  <c r="D37" i="29"/>
  <c r="F13" i="29"/>
  <c r="G13" i="29"/>
  <c r="E13" i="29"/>
  <c r="C112" i="5"/>
  <c r="C111" i="5"/>
  <c r="C113" i="5"/>
  <c r="C220" i="5"/>
  <c r="C135" i="5"/>
  <c r="C96" i="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696" i="106" l="1"/>
  <c r="D7696" i="106" s="1"/>
  <c r="E66" i="184"/>
  <c r="N66" i="184" s="1"/>
  <c r="B7135" i="106"/>
  <c r="D7135" i="106" s="1"/>
  <c r="E58" i="184"/>
  <c r="N58" i="184" s="1"/>
  <c r="B7162" i="106"/>
  <c r="D7162" i="106" s="1"/>
  <c r="E61" i="184"/>
  <c r="N61" i="184" s="1"/>
  <c r="H15" i="184"/>
  <c r="B7198" i="106"/>
  <c r="D7198" i="106" s="1"/>
  <c r="E65" i="184"/>
  <c r="N65" i="184" s="1"/>
  <c r="F70" i="34"/>
  <c r="F37" i="34"/>
  <c r="B7829" i="106" s="1"/>
  <c r="D7829" i="106" s="1"/>
  <c r="F34" i="34"/>
  <c r="B7826" i="106" s="1"/>
  <c r="D7826" i="106" s="1"/>
  <c r="G30" i="108"/>
  <c r="D68" i="36"/>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71" i="106"/>
  <c r="D7171" i="106" s="1"/>
  <c r="E62" i="184"/>
  <c r="N62" i="184" s="1"/>
  <c r="B7126" i="106"/>
  <c r="D7126" i="106" s="1"/>
  <c r="E57" i="184"/>
  <c r="H33" i="118"/>
  <c r="H12" i="184"/>
  <c r="E19" i="184"/>
  <c r="F71" i="34"/>
  <c r="C342" i="29"/>
  <c r="B7216" i="106" s="1"/>
  <c r="D7216" i="106" s="1"/>
  <c r="B7705" i="106"/>
  <c r="D7705" i="106" s="1"/>
  <c r="E67" i="184"/>
  <c r="N67" i="184" s="1"/>
  <c r="B7180" i="106"/>
  <c r="D7180" i="106" s="1"/>
  <c r="E63" i="184"/>
  <c r="N63" i="184" s="1"/>
  <c r="J210" i="29"/>
  <c r="B7072" i="106" s="1"/>
  <c r="D7072" i="106" s="1"/>
  <c r="F77" i="4"/>
  <c r="B3255" i="106" s="1"/>
  <c r="D3255" i="106"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L16" i="11"/>
  <c r="B2061" i="106" s="1"/>
  <c r="D2061"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F41" i="108" l="1"/>
  <c r="G43" i="108" s="1"/>
  <c r="E367" i="29"/>
  <c r="B3635" i="106"/>
  <c r="B7235" i="106"/>
  <c r="D7235" i="106" s="1"/>
  <c r="H19" i="184"/>
  <c r="L20" i="184" s="1"/>
  <c r="J16" i="4"/>
  <c r="B6226" i="106" s="1"/>
  <c r="D6226" i="106" s="1"/>
  <c r="B7215" i="106"/>
  <c r="D7215" i="106" s="1"/>
  <c r="B7220" i="106"/>
  <c r="D7220" i="106" s="1"/>
  <c r="F75" i="34"/>
  <c r="B7886" i="106" s="1"/>
  <c r="D7886" i="106" s="1"/>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F77" i="34" l="1"/>
  <c r="B7834" i="106" s="1"/>
  <c r="D7834" i="106" s="1"/>
  <c r="J10" i="4"/>
  <c r="B6225" i="106" s="1"/>
  <c r="D6225" i="106" s="1"/>
  <c r="F8" i="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<sst xmlns="http://schemas.openxmlformats.org/spreadsheetml/2006/main" count="5128" uniqueCount="2072">
  <si>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</si>
  <si>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</si>
  <si>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</si>
  <si>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</si>
  <si>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</si>
  <si>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</si>
  <si>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</si>
  <si>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</si>
  <si>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</si>
  <si>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</si>
  <si>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</si>
  <si>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</si>
  <si>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</si>
  <si>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</si>
  <si>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</si>
  <si>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</si>
  <si>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</si>
  <si>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</si>
  <si>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</si>
  <si>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</si>
  <si>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</si>
  <si>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</si>
  <si>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</si>
  <si>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</si>
  <si>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</si>
  <si>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</si>
  <si>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</si>
  <si>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</si>
  <si>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</si>
  <si>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</si>
  <si>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</si>
  <si>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</si>
  <si>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</si>
  <si>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</si>
  <si>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</si>
  <si>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</si>
  <si>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</si>
  <si>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</si>
  <si>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</si>
  <si>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</si>
  <si>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</si>
  <si>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</si>
  <si>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</si>
  <si>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</si>
  <si>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</si>
  <si>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</si>
  <si>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</si>
  <si>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</si>
  <si>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</si>
  <si>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</si>
  <si>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</si>
  <si>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</si>
  <si>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</si>
  <si>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</si>
  <si>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</si>
  <si>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</si>
  <si>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</si>
  <si>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</si>
  <si>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</si>
  <si>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</si>
  <si>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</si>
  <si>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</si>
  <si>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</si>
  <si>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</si>
  <si>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</si>
  <si>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</si>
  <si>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</si>
  <si>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</si>
  <si>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</si>
  <si>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</si>
  <si>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</si>
  <si>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</si>
  <si>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</si>
  <si>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</si>
  <si>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</si>
  <si>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</si>
  <si>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</si>
  <si>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</si>
  <si>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</si>
  <si>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</si>
  <si>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</si>
  <si>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</si>
  <si>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</si>
  <si>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</si>
  <si>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</si>
  <si>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</si>
  <si>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</si>
  <si>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</si>
  <si>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</si>
  <si>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</si>
  <si>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</si>
  <si>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</si>
  <si>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</si>
  <si>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</si>
  <si>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</si>
  <si>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</si>
  <si>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</si>
  <si>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</si>
  <si>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</si>
  <si>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</si>
  <si>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</si>
  <si>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</si>
  <si>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</si>
  <si>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</si>
  <si>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</si>
  <si>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</si>
  <si>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</si>
  <si>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</si>
  <si>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</si>
  <si>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</si>
  <si>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</si>
  <si>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</si>
  <si>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</si>
  <si>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</si>
  <si>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</si>
  <si>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</si>
  <si>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</si>
  <si>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</si>
  <si>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</si>
  <si>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</si>
  <si>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</si>
  <si>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</si>
  <si>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</si>
  <si>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</si>
  <si>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</si>
  <si>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</si>
  <si>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</si>
  <si>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</si>
  <si>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</si>
  <si>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</si>
  <si>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</si>
  <si>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</si>
  <si>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</si>
  <si>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</si>
  <si>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</si>
  <si>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</si>
  <si>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</si>
  <si>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</si>
  <si>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</si>
  <si>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</si>
  <si>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</si>
  <si>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</si>
  <si>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</si>
  <si>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</si>
  <si>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</si>
  <si>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</si>
  <si>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</si>
  <si>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</si>
  <si>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</si>
  <si>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</si>
  <si>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</si>
  <si>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</si>
  <si>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</si>
  <si>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</si>
  <si>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</si>
  <si>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</si>
  <si>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</si>
  <si>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</si>
  <si>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</si>
  <si>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</si>
  <si>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</si>
  <si>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</si>
  <si>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</si>
  <si>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</si>
  <si>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</si>
  <si>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</si>
  <si>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</si>
  <si>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</si>
  <si>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</si>
  <si>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</si>
  <si>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</si>
  <si>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</si>
  <si>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</si>
  <si>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</si>
  <si>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</si>
  <si>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</si>
  <si>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</si>
  <si>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</si>
  <si>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</si>
  <si>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</si>
  <si>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</si>
  <si>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</si>
  <si>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</si>
  <si>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</si>
  <si>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</si>
  <si>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</si>
  <si>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</si>
  <si>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</si>
  <si>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</si>
  <si>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</si>
  <si>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</si>
  <si>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</si>
  <si>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</si>
  <si>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</si>
  <si>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</si>
  <si>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</si>
  <si>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</si>
  <si>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</si>
  <si>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</si>
  <si>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</si>
  <si>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</si>
  <si>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</si>
  <si>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</si>
  <si>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</si>
  <si>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</si>
  <si>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</si>
  <si>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</si>
  <si>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</si>
  <si>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</si>
  <si>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</si>
  <si>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</si>
  <si>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</si>
  <si>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</si>
  <si>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</si>
  <si>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</si>
  <si>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</si>
  <si>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</si>
  <si>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</si>
  <si>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</si>
  <si>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</si>
  <si>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</si>
  <si>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</si>
  <si>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</si>
  <si>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</si>
  <si>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</si>
  <si>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</si>
  <si>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</si>
  <si>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</si>
  <si>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</si>
  <si>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</si>
  <si>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</si>
  <si>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</si>
  <si>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</si>
  <si>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</si>
  <si>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</si>
  <si>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</si>
  <si>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</si>
  <si>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</si>
  <si>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</si>
  <si>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</si>
  <si>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</si>
  <si>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</si>
  <si>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</si>
  <si>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</si>
  <si>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</si>
  <si>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</si>
  <si>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</si>
  <si>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</si>
  <si>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</si>
  <si>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</si>
  <si>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</si>
  <si>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</si>
  <si>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</si>
  <si>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</si>
  <si>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</si>
  <si>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</si>
  <si>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</si>
  <si>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</si>
  <si>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</si>
  <si>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</si>
  <si>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</si>
  <si>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</si>
  <si>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</si>
  <si>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</si>
  <si>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</si>
  <si>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</si>
  <si>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</si>
  <si>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</si>
  <si>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</si>
  <si>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</si>
  <si>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</si>
  <si>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</si>
  <si>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</si>
  <si>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</si>
  <si>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</si>
  <si>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</si>
  <si>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</si>
  <si>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</si>
  <si>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</si>
  <si>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</si>
  <si>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</si>
  <si>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</si>
  <si>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</si>
  <si>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</si>
  <si>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</si>
  <si>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</si>
  <si>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</si>
  <si>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</si>
  <si>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</si>
  <si>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</si>
  <si>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</si>
  <si>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</si>
  <si>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</si>
  <si>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</si>
  <si>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</si>
  <si>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</si>
  <si>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</si>
  <si>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</si>
  <si>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</si>
  <si>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</si>
  <si>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</si>
  <si>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</si>
  <si>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</si>
  <si>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</si>
  <si>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</si>
  <si>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</si>
  <si>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</si>
  <si>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</si>
  <si>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</si>
  <si>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</si>
  <si>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</si>
  <si>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</si>
  <si>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</si>
  <si>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</si>
  <si>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</si>
  <si>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</si>
  <si>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</si>
  <si>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</si>
  <si>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</si>
  <si>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</si>
  <si>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</si>
  <si>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</si>
  <si>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</si>
  <si>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</si>
  <si>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</si>
  <si>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</si>
  <si>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</si>
  <si>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</si>
  <si>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</si>
  <si>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</si>
  <si>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</si>
  <si>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</si>
  <si>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</si>
  <si>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</si>
  <si>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</si>
  <si>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</si>
  <si>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</si>
  <si>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</si>
  <si>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</si>
  <si>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</si>
  <si>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</si>
  <si>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</si>
  <si>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</si>
  <si>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</si>
  <si>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</si>
  <si>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</si>
  <si>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</si>
  <si>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</si>
  <si>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</si>
  <si>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</si>
  <si>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</si>
  <si>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</si>
  <si>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</si>
  <si>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</si>
  <si>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</si>
  <si>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</si>
  <si>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</si>
  <si>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</si>
  <si>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</si>
  <si>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</si>
  <si>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</si>
  <si>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</si>
  <si>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</si>
  <si>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</si>
  <si>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</si>
  <si>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</si>
  <si>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</si>
  <si>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</si>
  <si>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</si>
  <si>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</si>
  <si>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</si>
  <si>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</si>
  <si>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</si>
  <si>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</si>
  <si>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</si>
  <si>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</si>
  <si>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</si>
  <si>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</si>
  <si>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</si>
  <si>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</si>
  <si>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</si>
  <si>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</si>
  <si>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</si>
  <si>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</si>
  <si>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</si>
  <si>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</si>
  <si>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</si>
  <si>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</si>
  <si>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</si>
  <si>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</si>
  <si>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</si>
  <si>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</si>
  <si>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</si>
  <si>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</si>
  <si>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</si>
  <si>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</si>
  <si>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</si>
  <si>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</si>
  <si>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</si>
  <si>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</si>
  <si>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</si>
  <si>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</si>
  <si>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</si>
  <si>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</si>
  <si>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</si>
  <si>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</si>
  <si>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</si>
  <si>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</si>
  <si>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</si>
  <si>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</si>
  <si>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</si>
  <si>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</si>
  <si>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</si>
  <si>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</si>
  <si>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</si>
  <si>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</si>
  <si>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</si>
  <si>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</si>
  <si>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</si>
  <si>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</si>
  <si>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</si>
  <si>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</si>
  <si>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</si>
  <si>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</si>
  <si>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</si>
  <si>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</si>
  <si>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</si>
  <si>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</si>
  <si>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</si>
  <si>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</si>
  <si>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</si>
  <si>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</si>
  <si>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</si>
  <si>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</si>
  <si>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</si>
  <si>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</si>
  <si>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</si>
  <si>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</si>
  <si>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</si>
  <si>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</si>
  <si>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</si>
  <si>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</si>
  <si>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</si>
  <si>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</si>
  <si>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</si>
  <si>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</si>
  <si>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</si>
  <si>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</si>
  <si>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</si>
  <si>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</si>
  <si>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</si>
  <si>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</si>
  <si>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</si>
  <si>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</si>
  <si>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</si>
  <si>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</si>
  <si>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</si>
  <si>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</si>
  <si>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</si>
  <si>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</si>
  <si>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</si>
  <si>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</si>
  <si>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</si>
  <si>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</si>
  <si>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</si>
  <si>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</si>
  <si>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</si>
  <si>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</si>
  <si>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</si>
  <si>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</si>
  <si>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</si>
  <si>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</si>
  <si>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</si>
  <si>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</si>
  <si>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</si>
  <si>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</si>
  <si>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</si>
  <si>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</si>
  <si>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</si>
  <si>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</si>
  <si>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</si>
  <si>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</si>
  <si>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</si>
  <si>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</si>
  <si>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</si>
  <si>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</si>
  <si>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</si>
  <si>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</si>
  <si>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</si>
  <si>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</si>
  <si>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</si>
  <si>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</si>
  <si>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</si>
  <si>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</si>
  <si>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</si>
  <si>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</si>
  <si>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</si>
  <si>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</si>
  <si>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</si>
  <si>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</si>
  <si>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</si>
  <si>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</si>
  <si>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</si>
  <si>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</si>
  <si>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</si>
  <si>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</si>
  <si>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</si>
  <si>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</si>
  <si>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</si>
  <si>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</si>
  <si>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</si>
  <si>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</si>
  <si>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</si>
  <si>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</si>
  <si>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</si>
  <si>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</si>
  <si>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</si>
  <si>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</si>
  <si>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</si>
  <si>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</si>
  <si>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</si>
  <si>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</si>
  <si>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</si>
  <si>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</si>
  <si>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</si>
  <si>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</si>
  <si>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</si>
  <si>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</si>
  <si>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</si>
  <si>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</si>
  <si>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</si>
  <si>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</si>
  <si>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</si>
  <si>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</si>
  <si>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</si>
  <si>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</si>
  <si>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</si>
  <si>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</si>
  <si>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</si>
  <si>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</si>
  <si>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</si>
  <si>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</si>
  <si>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</si>
  <si>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</si>
  <si>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</si>
  <si>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</si>
  <si>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</si>
  <si>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</si>
  <si>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</si>
  <si>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</si>
  <si>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</si>
  <si>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</si>
  <si>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</si>
  <si>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</si>
  <si>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</si>
  <si>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</si>
  <si>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</si>
  <si>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</si>
  <si>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</si>
  <si>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</si>
  <si>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</si>
  <si>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</si>
  <si>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</si>
  <si>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</si>
  <si>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</si>
  <si>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</si>
  <si>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</si>
  <si>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</si>
  <si>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</si>
  <si>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</si>
  <si>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</si>
  <si>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</si>
  <si>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</si>
  <si>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</si>
  <si>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</si>
  <si>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</si>
  <si>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</si>
  <si>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</si>
  <si>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</si>
  <si>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</si>
  <si>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</si>
  <si>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</si>
  <si>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</si>
  <si>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</si>
  <si>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</si>
  <si>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</si>
  <si>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</si>
  <si>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</si>
  <si>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</si>
  <si>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</si>
  <si>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</si>
  <si>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</si>
  <si>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</si>
  <si>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</si>
  <si>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</si>
  <si>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</si>
  <si>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</si>
  <si>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</si>
  <si>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</si>
  <si>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</si>
  <si>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</si>
  <si>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</si>
  <si>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</si>
  <si>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</si>
  <si>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</si>
  <si>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</si>
  <si>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</si>
  <si>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</si>
  <si>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</si>
  <si>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</si>
  <si>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</si>
  <si>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</si>
  <si>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</si>
  <si>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</si>
  <si>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</si>
  <si>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</si>
  <si>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</si>
  <si>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</si>
  <si>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</si>
  <si>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</si>
  <si>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</si>
  <si>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</si>
  <si>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</si>
  <si>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</si>
  <si>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</si>
  <si>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</si>
  <si>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</si>
  <si>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</si>
  <si>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</si>
  <si>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</si>
  <si>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</si>
  <si>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</si>
  <si>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</si>
  <si>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</si>
  <si>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</si>
  <si>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</si>
  <si>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</si>
  <si>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</si>
  <si>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</si>
  <si>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</si>
  <si>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</si>
  <si>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</si>
  <si>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</si>
  <si>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</si>
  <si>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</si>
  <si>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</si>
  <si>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</si>
  <si>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</si>
  <si>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</si>
  <si>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</si>
  <si>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</si>
  <si>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</si>
  <si>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</si>
  <si>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</si>
  <si>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</si>
  <si>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</si>
  <si>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</si>
  <si>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</si>
  <si>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</si>
  <si>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</si>
  <si>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</si>
  <si>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</si>
  <si>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</si>
  <si>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</si>
  <si>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</si>
  <si>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</si>
  <si>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</si>
  <si>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</si>
  <si>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</si>
  <si>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</si>
  <si>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</si>
  <si>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</si>
  <si>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</si>
  <si>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</si>
  <si>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</si>
  <si>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</si>
  <si>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</si>
  <si>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</si>
  <si>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</si>
  <si>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</si>
  <si>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</si>
  <si>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</si>
  <si>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</si>
  <si>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</si>
  <si>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</si>
  <si>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</si>
  <si>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</si>
  <si>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</si>
  <si>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</si>
  <si>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</si>
  <si>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</si>
  <si>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</si>
  <si>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</si>
  <si>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</si>
  <si>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</si>
  <si>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</si>
  <si>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</si>
  <si>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</si>
  <si>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</si>
  <si>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</si>
  <si>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</si>
  <si>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</si>
  <si>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</si>
  <si>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</si>
  <si>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</si>
  <si>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</si>
  <si>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</si>
  <si>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</si>
  <si>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</si>
  <si>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</si>
  <si>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</si>
  <si>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</si>
  <si>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</si>
  <si>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</si>
  <si>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</si>
  <si>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</si>
  <si>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</si>
  <si>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</si>
  <si>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</si>
  <si>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</si>
  <si>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</si>
  <si>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</si>
  <si>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</si>
  <si>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</si>
  <si>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</si>
  <si>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</si>
  <si>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</si>
  <si>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</si>
  <si>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</si>
  <si>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</si>
  <si>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</si>
  <si>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</si>
  <si>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</si>
  <si>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</si>
  <si>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</si>
  <si>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</si>
  <si>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</si>
  <si>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</si>
  <si>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</si>
  <si>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</si>
  <si>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</si>
  <si>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</si>
  <si>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</si>
  <si>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</si>
  <si>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</si>
  <si>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</si>
  <si>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</si>
  <si>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</si>
  <si>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</si>
  <si>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</si>
  <si>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</si>
  <si>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</si>
  <si>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</si>
  <si>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</si>
  <si>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</si>
  <si>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</si>
  <si>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</si>
  <si>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</si>
  <si>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</si>
  <si>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</si>
  <si>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</si>
  <si>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</si>
  <si>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</si>
  <si>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</si>
  <si>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</si>
  <si>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</si>
  <si>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</si>
  <si>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</si>
  <si>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</si>
  <si>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</si>
  <si>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</si>
  <si>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</si>
  <si>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</si>
  <si>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</si>
  <si>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</si>
  <si>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</si>
  <si>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</si>
  <si>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</si>
  <si>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</si>
  <si>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</si>
  <si>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</si>
  <si>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</si>
  <si>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</si>
  <si>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</si>
  <si>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</si>
  <si>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</si>
  <si>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</si>
  <si>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</si>
  <si>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</si>
  <si>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</si>
  <si>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</si>
  <si>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</si>
  <si>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</si>
  <si>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</si>
  <si>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</si>
  <si>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</si>
  <si>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</si>
  <si>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</si>
  <si>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</si>
  <si>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</si>
  <si>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</si>
  <si>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</si>
  <si>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</si>
  <si>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</si>
  <si>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</si>
  <si>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</si>
  <si>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</si>
  <si>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</si>
  <si>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</si>
  <si>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</si>
  <si>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</si>
  <si>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</si>
  <si>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</si>
  <si>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</si>
  <si>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</si>
  <si>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</si>
  <si>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</si>
  <si>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</si>
  <si>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</si>
  <si>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</si>
  <si>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</si>
  <si>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</si>
  <si>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</si>
  <si>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</si>
  <si>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</si>
  <si>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</si>
  <si>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</si>
  <si>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</si>
  <si>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</si>
  <si>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</si>
  <si>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</si>
  <si>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</si>
  <si>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</si>
  <si>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</si>
  <si>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</si>
  <si>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</si>
  <si>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</si>
  <si>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</si>
  <si>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</si>
  <si>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</si>
  <si>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</si>
  <si>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</si>
  <si>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</si>
  <si>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</si>
  <si>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</si>
  <si>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</si>
  <si>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</si>
  <si>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</si>
  <si>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</si>
  <si>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</si>
  <si>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</si>
  <si>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</si>
  <si>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</si>
  <si>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</si>
  <si>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</si>
  <si>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</si>
  <si>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</si>
  <si>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</si>
  <si>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</si>
  <si>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</si>
  <si>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</si>
  <si>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</si>
  <si>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</si>
  <si>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</si>
  <si>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</si>
  <si>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</si>
  <si>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</si>
  <si>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</si>
  <si>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</si>
  <si>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</si>
  <si>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</si>
  <si>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</si>
  <si>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</si>
  <si>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</si>
  <si>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</si>
  <si>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</si>
  <si>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</si>
  <si>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</si>
  <si>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</si>
  <si>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</si>
  <si>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</si>
  <si>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</si>
  <si>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</si>
  <si>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</si>
  <si>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</si>
  <si>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</si>
  <si>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</si>
  <si>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</si>
  <si>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</si>
  <si>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</si>
  <si>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</si>
  <si>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</si>
  <si>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</si>
  <si>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</si>
  <si>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</si>
  <si>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</si>
  <si>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</si>
  <si>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</si>
  <si>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</si>
  <si>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</si>
  <si>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</si>
  <si>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</si>
  <si>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</si>
  <si>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</si>
  <si>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</si>
  <si>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</si>
  <si>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</si>
  <si>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</si>
  <si>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</si>
  <si>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</si>
  <si>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</si>
  <si>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</si>
  <si>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</si>
  <si>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</si>
  <si>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</si>
  <si>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</si>
  <si>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</si>
  <si>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</si>
  <si>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</si>
  <si>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</si>
  <si>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</si>
  <si>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</si>
  <si>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</si>
  <si>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</si>
  <si>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</si>
  <si>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</si>
  <si>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</si>
  <si>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</si>
  <si>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</si>
  <si>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</si>
  <si>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</si>
  <si>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</si>
  <si>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</si>
  <si>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</si>
  <si>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</si>
  <si>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</si>
  <si>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</si>
  <si>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</si>
  <si>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</si>
  <si>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</si>
  <si>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</si>
  <si>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</si>
  <si>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</si>
  <si>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</si>
  <si>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</si>
  <si>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</si>
  <si>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</si>
  <si>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</si>
  <si>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</si>
  <si>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</si>
  <si>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</si>
  <si>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</si>
  <si>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</si>
  <si>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</si>
  <si>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</si>
  <si>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</si>
  <si>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</si>
  <si>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</si>
  <si>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</si>
  <si>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</si>
  <si>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</si>
  <si>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</si>
  <si>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</si>
  <si>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</si>
  <si>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</si>
  <si>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</si>
  <si>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</si>
  <si>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</si>
  <si>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</si>
  <si>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</si>
  <si>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</si>
  <si>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</si>
  <si>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</si>
  <si>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</si>
  <si>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</si>
  <si>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</si>
  <si>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</si>
  <si>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</si>
  <si>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</si>
  <si>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</si>
  <si>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</si>
  <si>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</si>
  <si>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</si>
  <si>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</si>
  <si>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</si>
  <si>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</si>
  <si>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</si>
  <si>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</si>
  <si>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</si>
  <si>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</si>
  <si>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</si>
  <si>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</si>
  <si>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</si>
  <si>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</si>
  <si>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</si>
  <si>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</si>
  <si>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</si>
  <si>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</si>
  <si>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</si>
  <si>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</si>
  <si>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</si>
  <si>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</si>
  <si>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</si>
  <si>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</si>
  <si>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</si>
  <si>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</si>
  <si>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</si>
  <si>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</si>
  <si>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</si>
  <si>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</si>
  <si>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</si>
  <si>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</si>
  <si>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</si>
  <si>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</si>
  <si>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</si>
  <si>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</si>
  <si>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</si>
  <si>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</si>
  <si>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</si>
  <si>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</si>
  <si>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</si>
  <si>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</si>
  <si>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</si>
  <si>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</si>
  <si>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</si>
  <si>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</si>
  <si>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</si>
  <si>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</si>
  <si>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</si>
  <si>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</si>
  <si>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</si>
  <si>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</si>
  <si>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</si>
  <si>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</si>
  <si>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</si>
  <si>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</si>
  <si>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</si>
  <si>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</si>
  <si>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</si>
  <si>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</si>
  <si>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</si>
  <si>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</si>
  <si>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</si>
  <si>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</si>
  <si>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</si>
  <si>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</si>
  <si>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</si>
  <si>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</si>
  <si>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</si>
  <si>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</si>
  <si>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</si>
  <si>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</si>
  <si>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</si>
  <si>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</si>
  <si>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</si>
  <si>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</si>
  <si>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</si>
  <si>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</si>
  <si>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</si>
  <si>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</si>
  <si>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</si>
  <si>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</si>
  <si>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</si>
  <si>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</si>
  <si>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</si>
  <si>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</si>
  <si>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</si>
  <si>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</si>
  <si>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</si>
  <si>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</si>
  <si>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</si>
  <si>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</si>
  <si>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</si>
  <si>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</si>
  <si>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</si>
  <si>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</si>
  <si>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</si>
  <si>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</si>
  <si>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</si>
  <si>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</si>
  <si>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</si>
  <si>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</si>
  <si>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</si>
  <si>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</si>
  <si>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</si>
  <si>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</si>
  <si>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</si>
  <si>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</si>
  <si>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</si>
  <si>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</si>
  <si>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</si>
  <si>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</si>
  <si>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</si>
  <si>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</si>
  <si>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</si>
  <si>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</si>
  <si>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</si>
  <si>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</si>
  <si>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</si>
  <si>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</si>
  <si>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</si>
  <si>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</si>
  <si>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</si>
  <si>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</si>
  <si>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</si>
  <si>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</si>
  <si>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</si>
  <si>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</si>
  <si>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</si>
  <si>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</si>
  <si>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</si>
  <si>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</si>
  <si>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</si>
  <si>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</si>
  <si>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</si>
  <si>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</si>
  <si>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</si>
  <si>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</si>
  <si>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</si>
  <si>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</si>
  <si>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</si>
  <si>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</si>
  <si>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</si>
  <si>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</si>
  <si>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</si>
  <si>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</si>
  <si>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</si>
  <si>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</si>
  <si>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</si>
  <si>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</si>
  <si>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</si>
  <si>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</si>
  <si>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</si>
  <si>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</si>
  <si>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</si>
  <si>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</si>
  <si>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</si>
  <si>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</si>
  <si>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</si>
  <si>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</si>
  <si>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</si>
  <si>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</si>
  <si>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</si>
  <si>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</si>
  <si>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</si>
  <si>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</si>
  <si>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</si>
  <si>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</si>
  <si>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</si>
  <si>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</si>
  <si>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</si>
  <si>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</si>
  <si>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</si>
  <si>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</si>
  <si>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</si>
  <si>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</si>
  <si>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</si>
  <si>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</si>
  <si>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</si>
  <si>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</si>
  <si>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</si>
  <si>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</si>
  <si>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</si>
  <si>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</si>
  <si>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</si>
  <si>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</si>
  <si>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</si>
  <si>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</si>
  <si>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</si>
  <si>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</si>
  <si>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</si>
  <si>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</si>
  <si>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</si>
  <si>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</si>
  <si>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</si>
  <si>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</si>
  <si>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</si>
  <si>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</si>
  <si>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</si>
  <si>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</si>
  <si>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</si>
  <si>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</si>
  <si>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</si>
  <si>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</si>
  <si>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</si>
  <si>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</si>
  <si>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</si>
  <si>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</si>
  <si>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</si>
  <si>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</si>
  <si>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</si>
  <si>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</si>
  <si>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</si>
  <si>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</si>
  <si>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</si>
  <si>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</si>
  <si>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</si>
  <si>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</si>
  <si>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</si>
  <si>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</si>
  <si>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</si>
  <si>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</si>
  <si>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</si>
  <si>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</si>
  <si>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</si>
  <si>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</si>
  <si>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</si>
  <si>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</si>
  <si>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</si>
  <si>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</si>
  <si>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</si>
  <si>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</si>
  <si>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</si>
  <si>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</si>
  <si>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</si>
  <si>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</si>
  <si>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</si>
  <si>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</si>
  <si>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</si>
  <si>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</si>
  <si>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</si>
  <si>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</si>
  <si>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</si>
  <si>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</si>
  <si>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</si>
  <si>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</si>
  <si>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</si>
  <si>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</si>
  <si>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</si>
  <si>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</si>
  <si>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</si>
  <si>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</si>
  <si>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</si>
  <si>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</si>
  <si>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</si>
  <si>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</si>
  <si>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</si>
  <si>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</si>
  <si>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</si>
  <si>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</si>
  <si>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</si>
  <si>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</si>
  <si>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</si>
  <si>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</si>
  <si>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</si>
  <si>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</si>
  <si>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</si>
  <si>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</si>
  <si>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</si>
  <si>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</si>
  <si>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</si>
  <si>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</si>
  <si>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</si>
  <si>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</si>
  <si>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</si>
  <si>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</si>
  <si>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</si>
  <si>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</si>
  <si>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</si>
  <si>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</si>
  <si>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</si>
  <si>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</si>
  <si>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</si>
  <si>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</si>
  <si>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</si>
  <si>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</si>
  <si>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</si>
  <si>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</si>
  <si>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</si>
  <si>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</si>
  <si>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</si>
  <si>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</si>
  <si>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</si>
  <si>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</si>
  <si>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</si>
  <si>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</si>
  <si>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</si>
  <si>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</si>
  <si>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</si>
  <si>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</si>
  <si>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</si>
  <si>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</si>
  <si>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</si>
  <si>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</si>
  <si>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</si>
  <si>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</si>
  <si>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</si>
  <si>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</si>
  <si>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</si>
  <si>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</si>
  <si>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</si>
  <si>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</si>
  <si>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</si>
  <si>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</si>
  <si>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</si>
  <si>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</si>
  <si>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</si>
  <si>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</si>
  <si>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</si>
  <si>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</si>
  <si>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</si>
  <si>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</si>
  <si>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</si>
  <si>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</si>
  <si>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</si>
  <si>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</si>
  <si>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</si>
  <si>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</si>
  <si>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</si>
  <si>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</si>
  <si>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</si>
  <si>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</si>
  <si>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</si>
  <si>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</si>
  <si>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</si>
  <si>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</si>
  <si>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</si>
  <si>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</si>
  <si>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</si>
  <si>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</si>
  <si>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</si>
  <si>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</si>
  <si>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</si>
  <si>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</si>
  <si>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</si>
  <si>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</si>
  <si>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</si>
  <si>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</si>
  <si>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</si>
  <si>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</si>
  <si>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</si>
  <si>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</si>
  <si>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</si>
  <si>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</si>
  <si>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</si>
  <si>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</si>
  <si>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</si>
  <si>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</si>
  <si>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</si>
  <si>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</si>
  <si>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</si>
  <si>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</si>
  <si>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</si>
  <si>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</si>
  <si>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</si>
  <si>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</si>
  <si>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</si>
  <si>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</si>
  <si>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</si>
  <si>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</si>
  <si>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</si>
  <si>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</si>
  <si>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</si>
  <si>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</si>
  <si>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</si>
  <si>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</si>
  <si>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</si>
  <si>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</si>
  <si>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</si>
  <si>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</si>
  <si>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</si>
  <si>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</si>
  <si>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</si>
  <si>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</si>
  <si>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</si>
  <si>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</si>
  <si>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</si>
  <si>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</si>
  <si>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</si>
  <si>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</si>
  <si>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</si>
  <si>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</si>
  <si>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</si>
  <si>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</si>
  <si>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</si>
  <si>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</si>
  <si>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</si>
  <si>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</si>
  <si>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</si>
  <si>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</si>
  <si>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</si>
  <si>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</si>
  <si>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</si>
  <si>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</si>
  <si>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</si>
  <si>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</si>
  <si>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</si>
  <si>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</si>
  <si>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</si>
  <si>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</si>
  <si>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</si>
  <si>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</si>
  <si>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</si>
  <si>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</si>
  <si>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</si>
  <si>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</si>
  <si>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</si>
  <si>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</si>
  <si>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</si>
  <si>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</si>
  <si>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</si>
  <si>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</si>
  <si>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</si>
  <si>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</si>
  <si>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</si>
  <si>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</si>
  <si>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</si>
  <si>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</si>
  <si>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</si>
  <si>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</si>
  <si>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</si>
  <si>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</si>
  <si>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</si>
  <si>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</si>
  <si>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</si>
  <si>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</si>
  <si>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</si>
  <si>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</si>
  <si>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</si>
  <si>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</si>
  <si>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</si>
  <si>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</si>
  <si>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</si>
  <si>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</si>
  <si>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</si>
  <si>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</si>
  <si>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</si>
  <si>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</si>
  <si>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</si>
  <si>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</si>
  <si>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</si>
  <si>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</si>
  <si>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</si>
  <si>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</si>
  <si>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</si>
  <si>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</si>
  <si>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</si>
  <si>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</si>
  <si>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</si>
  <si>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</si>
  <si>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</si>
  <si>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</si>
  <si>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</si>
  <si>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</si>
  <si>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</si>
  <si>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</si>
  <si>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</si>
  <si>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</si>
  <si>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</si>
  <si>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</si>
  <si>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</si>
  <si>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</si>
  <si>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</si>
  <si>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</si>
  <si>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</si>
  <si>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</si>
  <si>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</si>
  <si>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</si>
  <si>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</si>
  <si>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</si>
  <si>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</si>
  <si>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</si>
  <si>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</si>
  <si>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</si>
  <si>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</si>
  <si>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</si>
  <si>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</si>
  <si>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</si>
  <si>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</si>
  <si>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</si>
  <si>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</si>
  <si>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</si>
  <si>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</si>
  <si>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</si>
  <si>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</si>
  <si>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</si>
  <si>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</si>
  <si>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</si>
  <si>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</si>
  <si>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</si>
  <si>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</si>
  <si>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</si>
  <si>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</si>
  <si>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</si>
  <si>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</si>
  <si>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</si>
  <si>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</si>
  <si>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</si>
  <si>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</si>
  <si>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</si>
  <si>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</si>
  <si>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</si>
  <si>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</si>
  <si>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</si>
  <si>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</si>
  <si>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</si>
  <si>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</si>
  <si>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</si>
  <si>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</si>
  <si>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</si>
  <si>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</si>
  <si>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</si>
  <si>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</si>
  <si>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</si>
  <si>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</si>
  <si>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</si>
  <si>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</si>
  <si>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</si>
  <si>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</si>
  <si>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</si>
  <si>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</si>
  <si>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</si>
  <si>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</si>
  <si>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</si>
  <si>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</si>
  <si>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</si>
  <si>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</si>
  <si>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</si>
  <si>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</si>
  <si>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</si>
  <si>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</si>
  <si>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</si>
  <si>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</si>
  <si>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</si>
  <si>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</si>
  <si>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</si>
  <si>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</si>
  <si>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</si>
  <si>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</si>
  <si>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</si>
  <si>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</si>
  <si>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</si>
  <si>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</si>
  <si>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</si>
  <si>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</si>
  <si>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</si>
  <si>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</si>
  <si>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</si>
  <si>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</si>
  <si>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</si>
  <si>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</si>
  <si>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</si>
  <si>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</si>
  <si>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</si>
  <si>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</si>
  <si>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</si>
  <si>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</si>
  <si>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</si>
  <si>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</si>
  <si>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</si>
  <si>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</si>
  <si>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</si>
  <si>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</si>
  <si>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</si>
  <si>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</si>
  <si>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</si>
  <si>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</si>
  <si>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</si>
  <si>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</si>
  <si>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</si>
  <si>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</si>
  <si>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</si>
  <si>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</si>
  <si>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</si>
  <si>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</si>
  <si>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</si>
  <si>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</si>
  <si>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</si>
  <si>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</si>
  <si>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</si>
  <si>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</si>
  <si>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</si>
  <si>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</si>
  <si>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</si>
  <si>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</si>
  <si>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</si>
  <si>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</si>
  <si>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</si>
  <si>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</si>
  <si>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</si>
  <si>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</si>
  <si>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</si>
  <si>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</si>
  <si>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</si>
  <si>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</si>
  <si>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</si>
  <si>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</si>
  <si>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</si>
  <si>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</si>
  <si>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</si>
  <si>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</si>
  <si>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</si>
  <si>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</si>
  <si>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</si>
  <si>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</si>
  <si>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</si>
  <si>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</si>
  <si>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</si>
  <si>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</si>
  <si>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</si>
  <si>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</si>
  <si>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</si>
  <si>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</si>
  <si>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</si>
  <si>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</si>
  <si>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</si>
  <si>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</si>
  <si>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</si>
  <si>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</si>
  <si>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</si>
  <si>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</si>
  <si>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</si>
  <si>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</si>
  <si>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</si>
  <si>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</si>
  <si>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</si>
  <si>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</si>
  <si>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</si>
  <si>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</si>
  <si>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</si>
  <si>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</si>
  <si>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</si>
  <si>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</si>
  <si>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</si>
  <si>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</si>
  <si>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</si>
  <si>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</si>
  <si>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</si>
  <si>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</si>
  <si>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</si>
  <si>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</si>
  <si>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</si>
  <si>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</si>
  <si>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</si>
  <si>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</si>
  <si>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</si>
  <si>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</si>
  <si>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</si>
  <si>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</si>
  <si>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</si>
  <si>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</si>
  <si>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</si>
  <si>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</si>
  <si>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</si>
  <si>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</si>
  <si>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</si>
  <si>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</si>
  <si>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</si>
  <si>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</si>
  <si>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</si>
  <si>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</si>
  <si>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</si>
  <si>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</si>
  <si>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</si>
  <si>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</si>
  <si>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</si>
  <si>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</si>
  <si>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</si>
  <si>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</si>
  <si>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</si>
  <si>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</si>
  <si>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</si>
  <si>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</si>
  <si>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</si>
  <si>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</si>
  <si>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</si>
  <si>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</si>
  <si>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</si>
  <si>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</si>
  <si>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</si>
  <si>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</si>
  <si>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</si>
  <si>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</si>
  <si>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</si>
  <si>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</si>
  <si>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</si>
  <si>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</si>
  <si>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</si>
  <si>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</si>
  <si>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</si>
  <si>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</si>
  <si>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</si>
  <si>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</si>
  <si>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</si>
  <si>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</si>
  <si>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</si>
  <si>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</si>
  <si>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</si>
  <si>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</si>
  <si>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</si>
  <si>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</si>
  <si>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</si>
  <si>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</si>
  <si>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</si>
  <si>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</si>
  <si>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</si>
  <si>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</si>
  <si>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</si>
  <si>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</si>
  <si>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</si>
  <si>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</si>
  <si>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</si>
  <si>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</si>
  <si>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</si>
  <si>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</si>
  <si>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</si>
  <si>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</si>
  <si>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</si>
  <si>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</si>
  <si>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</si>
  <si>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</si>
  <si>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</si>
  <si>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</si>
  <si>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</si>
  <si>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</si>
  <si>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</si>
  <si>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</si>
  <si>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</si>
  <si>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</si>
  <si>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</si>
  <si>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</si>
  <si>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</si>
  <si>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</si>
  <si>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</si>
  <si>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</si>
  <si>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</si>
  <si>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</si>
  <si>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</si>
  <si>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</si>
  <si>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</si>
  <si>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</si>
  <si>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</si>
  <si>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</si>
  <si>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</si>
  <si>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</si>
  <si>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</si>
  <si>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</si>
  <si>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</si>
  <si>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</si>
  <si>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</si>
  <si>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</si>
  <si>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</si>
  <si>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</si>
  <si>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</si>
  <si>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</si>
  <si>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</si>
  <si>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</si>
  <si>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</si>
  <si>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</si>
  <si>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</si>
  <si>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</si>
  <si>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</si>
  <si>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</si>
  <si>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</si>
  <si>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</si>
  <si>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</si>
  <si>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</si>
  <si>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</si>
  <si>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</si>
  <si>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</si>
  <si>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</si>
  <si>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</si>
  <si>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</si>
  <si>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</si>
  <si>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</si>
  <si>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</si>
  <si>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</si>
  <si>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</si>
  <si>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</si>
  <si>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</si>
  <si>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</si>
  <si>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</si>
  <si>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</si>
  <si>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</si>
  <si>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</si>
  <si>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</si>
  <si>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</si>
  <si>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</si>
  <si>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</si>
  <si>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</si>
  <si>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</si>
  <si>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</si>
  <si>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</si>
  <si>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</si>
  <si>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</si>
  <si>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</si>
  <si>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</si>
  <si>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</si>
  <si>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</si>
  <si>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</si>
  <si>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</si>
  <si>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</si>
  <si>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</si>
  <si>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</si>
  <si>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</si>
  <si>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</si>
  <si>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</si>
  <si>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</si>
  <si>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</si>
  <si>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</si>
  <si>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</si>
  <si>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</si>
  <si>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</si>
  <si>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</si>
  <si>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</si>
  <si>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</si>
  <si>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</si>
  <si>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</si>
  <si>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</si>
  <si>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</si>
  <si>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</si>
  <si>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</si>
  <si>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</si>
  <si>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</si>
  <si>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</si>
  <si>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</si>
  <si>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</si>
  <si>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</si>
  <si>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</si>
  <si>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</si>
  <si>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</si>
  <si>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</si>
  <si>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</si>
  <si>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</si>
  <si>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</si>
  <si>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</si>
  <si>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</si>
  <si>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</si>
  <si>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</si>
  <si>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</si>
  <si>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</si>
  <si>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</si>
  <si>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</si>
  <si>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</si>
  <si>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</si>
  <si>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</si>
  <si>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</si>
  <si>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</si>
  <si>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</si>
  <si>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</si>
  <si>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</si>
  <si>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</si>
  <si>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</si>
  <si>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</si>
  <si>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</si>
  <si>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</si>
  <si>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</si>
  <si>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</si>
  <si>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</si>
  <si>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</si>
  <si>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</si>
  <si>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</si>
  <si>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</si>
  <si>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</si>
  <si>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</si>
  <si>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</si>
  <si>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</si>
  <si>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</si>
  <si>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</si>
  <si>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</si>
  <si>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</si>
  <si>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</si>
  <si>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</si>
  <si>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</si>
  <si>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</si>
  <si>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</si>
  <si>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</si>
  <si>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</si>
  <si>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</si>
  <si>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</si>
  <si>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</si>
  <si>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</si>
  <si>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</si>
  <si>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</si>
  <si>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</si>
  <si>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</si>
  <si>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</si>
  <si>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</si>
  <si>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</si>
  <si>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</si>
  <si>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</si>
  <si>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</si>
  <si>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</si>
  <si>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</si>
  <si>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</si>
  <si>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</si>
  <si>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</si>
  <si>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</si>
  <si>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</si>
  <si>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</si>
  <si>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</si>
  <si>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</si>
  <si>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</si>
  <si>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</si>
  <si>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</si>
  <si>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</si>
  <si>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</si>
  <si>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</si>
  <si>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</si>
  <si>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</si>
  <si>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</si>
  <si>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</si>
  <si>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</si>
  <si>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</si>
  <si>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</si>
  <si>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</si>
  <si>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</si>
  <si>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</si>
  <si>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</si>
  <si>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</si>
  <si>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</si>
  <si>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</si>
  <si>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</si>
  <si>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</si>
  <si>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</si>
  <si>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</si>
  <si>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</si>
  <si>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</si>
  <si>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</si>
  <si>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</si>
  <si>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</si>
  <si>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</si>
  <si>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</si>
  <si>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</si>
  <si>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</si>
  <si>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</si>
  <si>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</si>
  <si>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</si>
  <si>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</si>
  <si>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</si>
  <si>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</si>
  <si>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</si>
  <si>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</si>
  <si>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</si>
  <si>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</si>
  <si>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</si>
  <si>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</si>
  <si>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</si>
  <si>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</si>
  <si>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</si>
  <si>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</si>
  <si>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</si>
  <si>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</si>
  <si>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</si>
  <si>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</si>
  <si>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</si>
  <si>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</si>
  <si>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</si>
  <si>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</si>
  <si>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</si>
  <si>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</si>
  <si>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</si>
  <si>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</si>
  <si>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</si>
  <si>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</si>
  <si>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</si>
  <si>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</si>
  <si>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</si>
  <si>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</si>
  <si>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</si>
  <si>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</si>
  <si>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</si>
  <si>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</si>
  <si>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</si>
  <si>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</si>
  <si>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</si>
  <si>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</si>
  <si>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</si>
  <si>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</si>
  <si>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</si>
  <si>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</si>
  <si>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</si>
  <si>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</si>
  <si>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</si>
  <si>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</si>
  <si>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</si>
  <si>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</si>
  <si>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</si>
  <si>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</si>
  <si>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</si>
  <si>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</si>
  <si>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</si>
  <si>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</si>
  <si>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</si>
  <si>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</si>
  <si>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</si>
  <si>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</si>
  <si>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</si>
  <si>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</si>
  <si>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</si>
  <si>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</si>
  <si>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</si>
  <si>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</si>
  <si>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</si>
  <si>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</si>
  <si>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</si>
  <si>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</si>
  <si>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</si>
  <si>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</si>
  <si>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</si>
  <si>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</si>
  <si>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</si>
  <si>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</si>
  <si>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</si>
  <si>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</si>
  <si>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</si>
  <si>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</si>
  <si>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</si>
  <si>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</si>
  <si>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</si>
  <si>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</si>
  <si>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</si>
  <si>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</si>
  <si>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</si>
  <si>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</si>
  <si>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</si>
  <si>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</si>
  <si>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</si>
  <si>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</si>
  <si>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</si>
  <si>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</si>
  <si>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</si>
  <si>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</si>
  <si>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</si>
  <si>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</si>
  <si>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</si>
  <si>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</si>
  <si>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</si>
  <si>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</si>
  <si>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</si>
  <si>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</si>
  <si>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</si>
  <si>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</si>
  <si>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</si>
  <si>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</si>
  <si>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</si>
  <si>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</si>
  <si>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</si>
  <si>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</si>
  <si>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</si>
  <si>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</si>
  <si>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</si>
  <si>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</si>
  <si>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</si>
  <si>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</si>
  <si>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</si>
  <si>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</si>
  <si>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</si>
  <si>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</si>
  <si>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</si>
  <si>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</si>
  <si>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200 Ninth Street</t>
  </si>
  <si>
    <t>Peru</t>
  </si>
  <si>
    <t>LaSalle</t>
  </si>
  <si>
    <t>X</t>
  </si>
  <si>
    <t>Sikich LLP</t>
  </si>
  <si>
    <t>Brian LeFevre</t>
  </si>
  <si>
    <t>1415 W. Diehl Rd, Suite 400</t>
  </si>
  <si>
    <t>Naperville</t>
  </si>
  <si>
    <t>IL</t>
  </si>
  <si>
    <t>630-566-8505</t>
  </si>
  <si>
    <t>630-499-5885</t>
  </si>
  <si>
    <t>065-028451</t>
  </si>
  <si>
    <t>Dwayne Mentgen</t>
  </si>
  <si>
    <t xml:space="preserve">dmentgen@lphs.net			</t>
  </si>
  <si>
    <t>1993 - Local Assessments</t>
  </si>
  <si>
    <t>2300 - Area Career Center</t>
  </si>
  <si>
    <t>4799 - Carl Perkins Direct Grant and Carl Perkins IVCC flowthrough grant</t>
  </si>
  <si>
    <t>No Contracts</t>
  </si>
  <si>
    <t>815-223-2454</t>
  </si>
  <si>
    <t>815-223-1010</t>
  </si>
  <si>
    <t xml:space="preserve"> Starved Rock for Voc Tech 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</si>
</sst>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58"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8" xfId="0"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6">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61A48090-26D8-4AFC-9CFE-539CFF57AF6C}"/>
    <cellStyle name="Normal 3 2 3" xfId="22" xr:uid="{9583BB2A-0AB2-42F2-9F41-2BFA8EF94428}"/>
    <cellStyle name="Normal 3 3" xfId="21" xr:uid="{ED5E2CC2-2E7D-4FC0-8D27-59B596DBAFB7}"/>
    <cellStyle name="Normal 4" xfId="16" xr:uid="{00000000-0005-0000-0000-000008000000}"/>
    <cellStyle name="Normal 4 2" xfId="23" xr:uid="{90FB5F48-B838-41D5-97ED-357E0ABA2242}"/>
    <cellStyle name="Normal 5" xfId="17" xr:uid="{00000000-0005-0000-0000-000009000000}"/>
    <cellStyle name="Normal 5 2" xfId="19" xr:uid="{00000000-0005-0000-0000-00000A000000}"/>
    <cellStyle name="Normal 5 3" xfId="24" xr:uid="{4A78419C-9727-4C43-A8CF-0A7AFE870FCD}"/>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85" zoomScaleNormal="85"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2">
        <f>+'AFR20'!F4</f>
        <v>44151</v>
      </c>
      <c r="C2" s="2122"/>
      <c r="D2" s="2123"/>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c r="C5" s="26" t="s">
        <v>904</v>
      </c>
      <c r="D5" s="81"/>
      <c r="E5" s="81"/>
      <c r="H5" s="38"/>
      <c r="I5" s="2090" t="s">
        <v>675</v>
      </c>
      <c r="J5" s="2089"/>
      <c r="K5" s="2089"/>
      <c r="L5" s="2089"/>
      <c r="M5" s="2089"/>
      <c r="N5" s="2089"/>
      <c r="O5" s="2089"/>
      <c r="P5" s="2089"/>
      <c r="Q5" s="2089"/>
      <c r="R5" s="2089"/>
      <c r="S5" s="2089"/>
      <c r="AF5" s="1827"/>
    </row>
    <row r="6" spans="1:32" ht="14.1" customHeight="1" x14ac:dyDescent="0.2">
      <c r="B6" s="101" t="s">
        <v>2054</v>
      </c>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9"/>
      <c r="V10" s="2089"/>
      <c r="W10" s="2089"/>
      <c r="X10" s="2089"/>
      <c r="Y10" s="2089"/>
      <c r="Z10" s="2089"/>
      <c r="AA10" s="2095"/>
    </row>
    <row r="11" spans="1:32" ht="14.25" customHeight="1" x14ac:dyDescent="0.2">
      <c r="A11" s="2147" t="s">
        <v>949</v>
      </c>
      <c r="B11" s="2148"/>
      <c r="C11" s="2148"/>
      <c r="D11" s="2148"/>
      <c r="E11" s="2148"/>
      <c r="F11" s="2148"/>
      <c r="G11" s="2148"/>
      <c r="H11" s="2149"/>
      <c r="I11" s="27"/>
      <c r="J11" s="71"/>
      <c r="K11" s="27"/>
      <c r="O11" s="144" t="s">
        <v>2054</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3">
        <v>35050720045</v>
      </c>
      <c r="B13" s="2104"/>
      <c r="C13" s="2104"/>
      <c r="D13" s="2104"/>
      <c r="E13" s="2104"/>
      <c r="F13" s="2104"/>
      <c r="G13" s="2104"/>
      <c r="H13" s="2105"/>
      <c r="I13" s="31"/>
      <c r="J13" s="30"/>
      <c r="K13" s="28"/>
      <c r="L13" s="30"/>
      <c r="M13" s="30"/>
      <c r="N13" s="30"/>
      <c r="O13" s="30"/>
      <c r="P13" s="30"/>
      <c r="Q13" s="30"/>
      <c r="R13" s="30"/>
      <c r="S13" s="30"/>
      <c r="T13" s="2106" t="s">
        <v>2055</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0" t="s">
        <v>2053</v>
      </c>
      <c r="B15" s="2101"/>
      <c r="C15" s="2101"/>
      <c r="D15" s="2101"/>
      <c r="E15" s="2101"/>
      <c r="F15" s="2101"/>
      <c r="G15" s="2101"/>
      <c r="H15" s="2102"/>
      <c r="T15" s="2110" t="s">
        <v>2056</v>
      </c>
      <c r="U15" s="2068"/>
      <c r="V15" s="2068"/>
      <c r="W15" s="2068"/>
      <c r="X15" s="2068"/>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00" t="s">
        <v>2071</v>
      </c>
      <c r="B17" s="2101"/>
      <c r="C17" s="2101"/>
      <c r="D17" s="2101"/>
      <c r="E17" s="2101"/>
      <c r="F17" s="2101"/>
      <c r="G17" s="2101"/>
      <c r="H17" s="2102"/>
      <c r="T17" s="2117" t="s">
        <v>2057</v>
      </c>
      <c r="U17" s="2118"/>
      <c r="V17" s="2118"/>
      <c r="W17" s="2118"/>
      <c r="X17" s="2118"/>
      <c r="Y17" s="2118"/>
      <c r="Z17" s="2118"/>
      <c r="AA17" s="2119"/>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074" t="s">
        <v>2051</v>
      </c>
      <c r="B19" s="2075"/>
      <c r="C19" s="2075"/>
      <c r="D19" s="2075"/>
      <c r="E19" s="2075"/>
      <c r="F19" s="2075"/>
      <c r="G19" s="2075"/>
      <c r="H19" s="2150"/>
      <c r="I19" s="30"/>
      <c r="J19" s="96"/>
      <c r="K19" s="40"/>
      <c r="L19" s="38"/>
      <c r="M19" s="109" t="s">
        <v>312</v>
      </c>
      <c r="P19" s="27"/>
      <c r="Q19" s="27"/>
      <c r="R19" s="27"/>
      <c r="S19" s="31"/>
      <c r="T19" s="2100" t="s">
        <v>2058</v>
      </c>
      <c r="U19" s="2039"/>
      <c r="V19" s="2039"/>
      <c r="W19" s="2040"/>
      <c r="X19" s="2115" t="s">
        <v>2059</v>
      </c>
      <c r="Y19" s="2116"/>
      <c r="Z19" s="2113">
        <v>60563</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0" t="s">
        <v>2052</v>
      </c>
      <c r="B21" s="2060"/>
      <c r="C21" s="2060"/>
      <c r="D21" s="2060"/>
      <c r="E21" s="2060"/>
      <c r="F21" s="2060"/>
      <c r="G21" s="2060"/>
      <c r="H21" s="2040"/>
      <c r="I21" s="2094" t="s">
        <v>673</v>
      </c>
      <c r="J21" s="2089"/>
      <c r="K21" s="2089"/>
      <c r="L21" s="2089"/>
      <c r="M21" s="2089"/>
      <c r="N21" s="2089"/>
      <c r="O21" s="2089"/>
      <c r="P21" s="2089"/>
      <c r="Q21" s="2089"/>
      <c r="R21" s="2089"/>
      <c r="S21" s="2095"/>
      <c r="T21" s="2128" t="s">
        <v>2060</v>
      </c>
      <c r="U21" s="2129"/>
      <c r="V21" s="2129"/>
      <c r="W21" s="2129"/>
      <c r="X21" s="2134" t="s">
        <v>2061</v>
      </c>
      <c r="Y21" s="2135"/>
      <c r="Z21" s="2135"/>
      <c r="AA21" s="2136"/>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c r="B23" s="2092"/>
      <c r="C23" s="2092"/>
      <c r="D23" s="2092"/>
      <c r="E23" s="2092"/>
      <c r="F23" s="2092"/>
      <c r="G23" s="2092"/>
      <c r="H23" s="2093"/>
      <c r="T23" s="2074" t="s">
        <v>2062</v>
      </c>
      <c r="U23" s="2127"/>
      <c r="V23" s="2127"/>
      <c r="W23" s="2127"/>
      <c r="X23" s="2131">
        <v>44469</v>
      </c>
      <c r="Y23" s="2132"/>
      <c r="Z23" s="2132"/>
      <c r="AA23" s="2133"/>
    </row>
    <row r="24" spans="1:27" ht="14.1" customHeight="1" x14ac:dyDescent="0.2">
      <c r="A24" s="85" t="s">
        <v>672</v>
      </c>
      <c r="B24" s="46"/>
      <c r="C24" s="46"/>
      <c r="D24" s="46"/>
      <c r="E24" s="46"/>
      <c r="F24" s="46"/>
      <c r="G24" s="46"/>
      <c r="H24" s="58"/>
      <c r="J24" s="2061" t="str">
        <f>IF(B5="x",IF(AUDITCHECK!D29="AFR form Incomplete.","",IF(AUDITCHECK!D29="Deficit reduction plan is required.","School District must complete a deficit reduction plan in the 2020-2021 Budget",)),"")</f>
        <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61354</v>
      </c>
      <c r="B25" s="2039"/>
      <c r="C25" s="2039"/>
      <c r="D25" s="2039"/>
      <c r="E25" s="2039"/>
      <c r="F25" s="2039"/>
      <c r="G25" s="2039"/>
      <c r="H25" s="2040"/>
      <c r="I25" s="110"/>
      <c r="J25" s="2063"/>
      <c r="K25" s="2063"/>
      <c r="L25" s="2063"/>
      <c r="M25" s="2063"/>
      <c r="N25" s="2063"/>
      <c r="O25" s="2063"/>
      <c r="P25" s="2063"/>
      <c r="Q25" s="2063"/>
      <c r="R25" s="2063"/>
      <c r="S25" s="2064"/>
      <c r="T25" s="2124"/>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2054</v>
      </c>
      <c r="F29" s="137" t="s">
        <v>1305</v>
      </c>
      <c r="G29" s="111"/>
      <c r="I29" s="51"/>
      <c r="J29" s="99"/>
      <c r="K29" s="28" t="s">
        <v>572</v>
      </c>
      <c r="L29" s="144" t="s">
        <v>2054</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2063</v>
      </c>
      <c r="B38" s="2075"/>
      <c r="C38" s="2075"/>
      <c r="D38" s="2075"/>
      <c r="E38" s="2075"/>
      <c r="F38" s="2039"/>
      <c r="G38" s="2039"/>
      <c r="H38" s="2040"/>
      <c r="I38" s="2067"/>
      <c r="J38" s="2068"/>
      <c r="K38" s="2068"/>
      <c r="L38" s="2068"/>
      <c r="M38" s="2068"/>
      <c r="N38" s="2068"/>
      <c r="O38" s="2068"/>
      <c r="P38" s="2069"/>
      <c r="Q38" s="2069"/>
      <c r="R38" s="2069"/>
      <c r="S38" s="2070"/>
      <c r="T38" s="2110"/>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2064</v>
      </c>
      <c r="B40" s="2053"/>
      <c r="C40" s="2054"/>
      <c r="D40" s="2054"/>
      <c r="E40" s="2054"/>
      <c r="F40" s="2055"/>
      <c r="G40" s="2055"/>
      <c r="H40" s="2056"/>
      <c r="I40" s="2077"/>
      <c r="J40" s="2078"/>
      <c r="K40" s="2078"/>
      <c r="L40" s="2078"/>
      <c r="M40" s="2078"/>
      <c r="N40" s="2078"/>
      <c r="O40" s="2078"/>
      <c r="P40" s="2078"/>
      <c r="Q40" s="2078"/>
      <c r="R40" s="2078"/>
      <c r="S40" s="2079"/>
      <c r="T40" s="2077"/>
      <c r="U40" s="2130"/>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2069</v>
      </c>
      <c r="B42" s="2058"/>
      <c r="C42" s="2059"/>
      <c r="D42" s="2057" t="s">
        <v>2070</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I9" sqref="I9:S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I9" sqref="I9:S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9" sqref="I9:S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0</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5" sqref="C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1688328</v>
      </c>
      <c r="D12" s="1771">
        <v>76774</v>
      </c>
      <c r="E12" s="1771">
        <v>0</v>
      </c>
      <c r="F12" s="1765">
        <f>(C12+D12)-E12</f>
        <v>1765102</v>
      </c>
      <c r="G12" s="681">
        <v>10</v>
      </c>
      <c r="H12" s="619">
        <v>1207554</v>
      </c>
      <c r="I12" s="619">
        <v>118066</v>
      </c>
      <c r="J12" s="619">
        <v>0</v>
      </c>
      <c r="K12" s="1442">
        <f>(H12+I12)-J12</f>
        <v>1325620</v>
      </c>
      <c r="L12" s="1442">
        <f>F12-K12</f>
        <v>439482</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1688328</v>
      </c>
      <c r="D16" s="1765">
        <f>SUM(D3,D5:D6,D8:D10,D12:D15)</f>
        <v>76774</v>
      </c>
      <c r="E16" s="1765">
        <f>SUM(E3,E5:E6,E8:E10,E12:E15)</f>
        <v>0</v>
      </c>
      <c r="F16" s="1765">
        <f>SUM(F3,F5:F6,F8:F10,F12:F15)</f>
        <v>1765102</v>
      </c>
      <c r="G16" s="681"/>
      <c r="H16" s="1435">
        <f>SUM(H3,H6,H8:H10,H12:H14,)</f>
        <v>1207554</v>
      </c>
      <c r="I16" s="1435">
        <f>SUM(I3,I6,I8:I10,I12:I14,)</f>
        <v>118066</v>
      </c>
      <c r="J16" s="1435">
        <f>SUM(J3,J6,J8:J10,J12:J14,)</f>
        <v>0</v>
      </c>
      <c r="K16" s="1435">
        <f>(H16+I16)-J16</f>
        <v>1325620</v>
      </c>
      <c r="L16" s="1435">
        <f>F16-K16</f>
        <v>439482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118066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I9" sqref="I9:S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964974</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964974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999</v>
      </c>
      <c r="G52" s="701"/>
    </row>
    <row r="53" spans="1:7" x14ac:dyDescent="0.2">
      <c r="A53" s="705" t="s">
        <v>456</v>
      </c>
      <c r="B53" s="705" t="s">
        <v>1458</v>
      </c>
      <c r="C53" s="724">
        <f>'Expenditures 15-22'!B102</f>
        <v>4000</v>
      </c>
      <c r="D53" s="723" t="str">
        <f>'Expenditures 15-22'!A102</f>
        <v>Total Payments to Other Govt Units</v>
      </c>
      <c r="E53" s="704"/>
      <c r="F53" s="1782">
        <f>'Expenditures 15-22'!K102</f>
        <v>689379</v>
      </c>
      <c r="G53" s="701"/>
    </row>
    <row r="54" spans="1:7" x14ac:dyDescent="0.2">
      <c r="A54" s="705" t="s">
        <v>456</v>
      </c>
      <c r="B54" s="705" t="s">
        <v>1459</v>
      </c>
      <c r="C54" s="724" t="s">
        <v>975</v>
      </c>
      <c r="D54" s="720" t="s">
        <v>1086</v>
      </c>
      <c r="E54" s="704"/>
      <c r="F54" s="1782">
        <f>'Expenditures 15-22'!G114</f>
        <v>76774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767152</v>
      </c>
      <c r="G77" s="701"/>
    </row>
    <row r="78" spans="1:9" s="728" customFormat="1" ht="12" customHeight="1" thickTop="1" thickBot="1" x14ac:dyDescent="0.25">
      <c r="A78" s="1450"/>
      <c r="B78" s="1448"/>
      <c r="C78" s="1445"/>
      <c r="D78" s="1449" t="s">
        <v>2012</v>
      </c>
      <c r="E78" s="1447"/>
      <c r="F78" s="1788">
        <f>(F14-F77)</f>
        <v>197822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18430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167153</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77730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263313</v>
      </c>
    </row>
    <row r="176" spans="1:7" ht="12" customHeight="1" x14ac:dyDescent="0.2">
      <c r="A176" s="1443"/>
      <c r="B176" s="1453"/>
      <c r="C176" s="1454"/>
      <c r="D176" s="1455" t="s">
        <v>2014</v>
      </c>
      <c r="E176" s="1456"/>
      <c r="F176" s="1793">
        <f>'PCTC-OEPP 27-28'!F78-F175</f>
        <v>-65491</v>
      </c>
    </row>
    <row r="177" spans="1:9" ht="12" customHeight="1" x14ac:dyDescent="0.2">
      <c r="A177" s="1443"/>
      <c r="B177" s="1453"/>
      <c r="C177" s="1454"/>
      <c r="D177" s="1455" t="s">
        <v>1794</v>
      </c>
      <c r="E177" s="1456"/>
      <c r="F177" s="1793">
        <f>'Cap Outlay Deprec 26'!I18</f>
        <v>118066</v>
      </c>
    </row>
    <row r="178" spans="1:9" ht="12" customHeight="1" x14ac:dyDescent="0.2">
      <c r="A178" s="1443"/>
      <c r="B178" s="1453"/>
      <c r="C178" s="1454"/>
      <c r="D178" s="1455" t="s">
        <v>2015</v>
      </c>
      <c r="E178" s="1456"/>
      <c r="F178" s="1793">
        <f>F176+F177</f>
        <v>52575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I9" sqref="I9:S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2068</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I9" sqref="I9:S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134181</v>
      </c>
      <c r="F19" s="1802"/>
      <c r="G19" s="1804">
        <f>'Expenditures 15-22'!K33-SUM('Expenditures 15-22'!G33,'Expenditures 15-22'!I33)+'Expenditures 15-22'!D229</f>
        <v>134181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11796</v>
      </c>
      <c r="F21" s="1805"/>
      <c r="G21" s="1808">
        <f>'Expenditures 15-22'!K42-SUM('Expenditures 15-22'!G42,'Expenditures 15-22'!I42)+'Expenditures 15-22'!K120-SUM('Expenditures 15-22'!G120,'Expenditures 15-22'!I120)+'Expenditures 15-22'!K180-SUM('Expenditures 15-22'!G180,'Expenditures 15-22'!I180)+'Expenditures 15-22'!D238</f>
        <v>11796</v>
      </c>
      <c r="H21" s="817"/>
      <c r="I21" s="157"/>
    </row>
    <row r="22" spans="1:9" s="542" customFormat="1" ht="12" customHeight="1" x14ac:dyDescent="0.2">
      <c r="A22" s="824" t="s">
        <v>560</v>
      </c>
      <c r="B22" s="825"/>
      <c r="C22" s="823">
        <v>2200</v>
      </c>
      <c r="D22" s="1805"/>
      <c r="E22" s="1807">
        <f>'Expenditures 15-22'!K47-SUM('Expenditures 15-22'!G47,'Expenditures 15-22'!I47)+'Expenditures 15-22'!D243</f>
        <v>33199</v>
      </c>
      <c r="F22" s="1805"/>
      <c r="G22" s="1808">
        <f>'Expenditures 15-22'!K47-SUM('Expenditures 15-22'!G47,'Expenditures 15-22'!I47)+'Expenditures 15-22'!D243</f>
        <v>33199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18430</v>
      </c>
      <c r="F23" s="1805"/>
      <c r="G23" s="1807">
        <f>'Expenditures 15-22'!K53-SUM('Expenditures 15-22'!G53,'Expenditures 15-22'!I53)+'Expenditures 15-22'!D257+'Expenditures 15-22'!K330-SUM('Expenditures 15-22'!G330,'Expenditures 15-22'!I330)</f>
        <v>18430</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216</v>
      </c>
      <c r="E27" s="1807">
        <f>E8</f>
        <v>0</v>
      </c>
      <c r="F27" s="1807">
        <f>'Expenditures 15-22'!K60-SUM('Expenditures 15-22'!G60,'Expenditures 15-22'!I60)+'Expenditures 15-22'!D264-E8</f>
        <v>216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999</v>
      </c>
      <c r="F39" s="1805"/>
      <c r="G39" s="1807">
        <f>'Expenditures 15-22'!K75-SUM('Expenditures 15-22'!G75,'Expenditures 15-22'!I75)+'Expenditures 15-22'!K130-SUM('Expenditures 15-22'!G130,'Expenditures 15-22'!I130)+'Expenditures 15-22'!K185-SUM('Expenditures 15-22'!G185,'Expenditures 15-22'!I185)+'Expenditures 15-22'!D280</f>
        <v>999</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216</v>
      </c>
      <c r="E41" s="1809">
        <f>SUM(E19:E40)</f>
        <v>198605</v>
      </c>
      <c r="F41" s="1809">
        <f>SUM(F19:F39)</f>
        <v>216</v>
      </c>
      <c r="G41" s="1809">
        <f>SUM(G19:G40)</f>
        <v>198605</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216</v>
      </c>
      <c r="F43" s="1458" t="s">
        <v>470</v>
      </c>
      <c r="G43" s="1810">
        <f>F41</f>
        <v>216</v>
      </c>
    </row>
    <row r="44" spans="1:7" ht="12" customHeight="1" x14ac:dyDescent="0.2">
      <c r="A44" s="817"/>
      <c r="B44" s="157"/>
      <c r="C44" s="831"/>
      <c r="D44" s="1458" t="s">
        <v>471</v>
      </c>
      <c r="E44" s="1810">
        <f>E41</f>
        <v>198605</v>
      </c>
      <c r="F44" s="1458" t="s">
        <v>471</v>
      </c>
      <c r="G44" s="1810">
        <f>G41</f>
        <v>198605</v>
      </c>
    </row>
    <row r="45" spans="1:7" ht="12" customHeight="1" x14ac:dyDescent="0.2">
      <c r="A45" s="817"/>
      <c r="B45" s="157"/>
      <c r="C45" s="157"/>
      <c r="D45" s="1459" t="s">
        <v>999</v>
      </c>
      <c r="E45" s="1811">
        <f>(E43/E44)</f>
        <v>1.0875859117343472E-3</v>
      </c>
      <c r="F45" s="1459" t="s">
        <v>999</v>
      </c>
      <c r="G45" s="1811">
        <f>(G43/G44)</f>
        <v>1.0875859117343472E-3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I9" sqref="I9:S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Starved Rock for Voc Tech Ed</v>
      </c>
      <c r="D6" s="2416"/>
      <c r="E6" s="2416"/>
      <c r="F6" s="1482"/>
      <c r="G6" s="1507"/>
      <c r="L6" s="1507"/>
      <c r="M6" s="1855"/>
      <c r="N6" s="1855"/>
      <c r="O6" s="1855"/>
    </row>
    <row r="7" spans="1:15" ht="11.25" customHeight="1" thickBot="1" x14ac:dyDescent="0.3">
      <c r="A7" s="1480"/>
      <c r="B7" s="1481"/>
      <c r="C7" s="2417">
        <f>COVER!A13</f>
        <v>35050720045</v>
      </c>
      <c r="D7" s="2417"/>
      <c r="E7" s="2417"/>
      <c r="F7" s="1482"/>
      <c r="G7" s="1507"/>
      <c r="L7" s="1507"/>
      <c r="M7" s="1855"/>
      <c r="N7" s="1855"/>
      <c r="O7" s="1855"/>
    </row>
    <row r="8" spans="1:15" ht="25.5" customHeight="1" thickBot="1" x14ac:dyDescent="0.25">
      <c r="A8" s="1519" t="s">
        <v>1874</v>
      </c>
      <c r="B8" s="1483" t="s">
        <v>2054</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9" sqref="I9:S9"/>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8" t="str">
        <f>COVER!A17</f>
        <v xml:space="preserve"> Starved Rock for Voc Tech Ed</v>
      </c>
      <c r="K6" s="2438"/>
      <c r="L6" s="2452"/>
      <c r="M6" s="838"/>
      <c r="N6" s="1999"/>
    </row>
    <row r="7" spans="1:14" x14ac:dyDescent="0.2">
      <c r="A7" s="2453" t="s">
        <v>864</v>
      </c>
      <c r="B7" s="2454"/>
      <c r="C7" s="2454"/>
      <c r="D7" s="2454"/>
      <c r="E7" s="2455"/>
      <c r="F7" s="839"/>
      <c r="G7" s="838"/>
      <c r="H7" s="838"/>
      <c r="I7" s="1925" t="s">
        <v>369</v>
      </c>
      <c r="J7" s="2440">
        <f>COVER!A13</f>
        <v>35050720045</v>
      </c>
      <c r="K7" s="2440"/>
      <c r="L7" s="2440"/>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6" t="s">
        <v>478</v>
      </c>
      <c r="B11" s="2457"/>
      <c r="C11" s="2458"/>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18430</v>
      </c>
      <c r="F13" s="1943"/>
      <c r="G13" s="1969">
        <f>H68</f>
        <v>0</v>
      </c>
      <c r="H13" s="1945">
        <f t="shared" si="0"/>
        <v>18430</v>
      </c>
      <c r="I13" s="1944">
        <v>25251</v>
      </c>
      <c r="J13" s="1943"/>
      <c r="K13" s="1944"/>
      <c r="L13" s="1945">
        <f t="shared" si="1"/>
        <v>25251</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9" t="s">
        <v>7</v>
      </c>
      <c r="C18" s="2460"/>
      <c r="D18" s="2461"/>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18430</v>
      </c>
      <c r="F19" s="1951">
        <f t="shared" si="2"/>
        <v>0</v>
      </c>
      <c r="G19" s="1951">
        <f t="shared" ref="G19" si="3">SUM(G12:G17)-G18</f>
        <v>0</v>
      </c>
      <c r="H19" s="1951">
        <f t="shared" si="2"/>
        <v>18430</v>
      </c>
      <c r="I19" s="1951">
        <f t="shared" si="2"/>
        <v>25251</v>
      </c>
      <c r="J19" s="1951">
        <f t="shared" si="2"/>
        <v>0</v>
      </c>
      <c r="K19" s="1951">
        <f t="shared" si="2"/>
        <v>0</v>
      </c>
      <c r="L19" s="1951">
        <f t="shared" si="2"/>
        <v>25251</v>
      </c>
      <c r="M19" s="838"/>
      <c r="N19" s="1999"/>
    </row>
    <row r="20" spans="1:14" ht="13.5" thickTop="1" x14ac:dyDescent="0.2">
      <c r="A20" s="2004">
        <v>9</v>
      </c>
      <c r="B20" s="2462" t="s">
        <v>2021</v>
      </c>
      <c r="C20" s="2462"/>
      <c r="D20" s="2463"/>
      <c r="E20" s="1952"/>
      <c r="F20" s="1952"/>
      <c r="G20" s="1952"/>
      <c r="H20" s="1952"/>
      <c r="I20" s="1952"/>
      <c r="J20" s="1952"/>
      <c r="K20" s="1952"/>
      <c r="L20" s="1953">
        <f>IF(AND(H19&gt;0,L19&gt;0),(((L19-H19)/H19)),"Enter Budget Data")</f>
        <v>0.37010309278350517</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4"/>
      <c r="D27" s="2464"/>
      <c r="E27" s="843"/>
      <c r="F27" s="2465"/>
      <c r="G27" s="2465"/>
      <c r="H27" s="2465"/>
      <c r="I27" s="838"/>
      <c r="J27" s="838"/>
      <c r="K27" s="838"/>
      <c r="L27" s="838"/>
      <c r="M27" s="838"/>
      <c r="N27" s="1999"/>
    </row>
    <row r="28" spans="1:14" x14ac:dyDescent="0.2">
      <c r="A28" s="1998"/>
      <c r="B28" s="2008"/>
      <c r="C28" s="1958" t="s">
        <v>1026</v>
      </c>
      <c r="D28" s="844"/>
      <c r="E28" s="1959"/>
      <c r="F28" s="2466" t="s">
        <v>1492</v>
      </c>
      <c r="G28" s="2466"/>
      <c r="H28" s="2466"/>
      <c r="I28" s="838"/>
      <c r="J28" s="838"/>
      <c r="K28" s="838"/>
      <c r="L28" s="838"/>
      <c r="M28" s="838"/>
      <c r="N28" s="1999"/>
    </row>
    <row r="29" spans="1:14" x14ac:dyDescent="0.2">
      <c r="A29" s="1998"/>
      <c r="B29" s="2008"/>
      <c r="C29" s="2467"/>
      <c r="D29" s="2467"/>
      <c r="E29" s="845"/>
      <c r="F29" s="2467"/>
      <c r="G29" s="2467"/>
      <c r="H29" s="2467"/>
      <c r="I29" s="838"/>
      <c r="J29" s="838"/>
      <c r="K29" s="838"/>
      <c r="L29" s="838"/>
      <c r="M29" s="838"/>
      <c r="N29" s="1999"/>
    </row>
    <row r="30" spans="1:14" x14ac:dyDescent="0.2">
      <c r="A30" s="1998"/>
      <c r="B30" s="2008"/>
      <c r="C30" s="1961" t="s">
        <v>1544</v>
      </c>
      <c r="D30" s="838"/>
      <c r="E30" s="1960"/>
      <c r="F30" s="2451" t="s">
        <v>1493</v>
      </c>
      <c r="G30" s="2451"/>
      <c r="H30" s="245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8" t="s">
        <v>2024</v>
      </c>
      <c r="D34" s="2429"/>
      <c r="E34" s="2429"/>
      <c r="F34" s="2429"/>
      <c r="G34" s="2429"/>
      <c r="H34" s="2429"/>
      <c r="I34" s="2429"/>
      <c r="J34" s="2429"/>
      <c r="K34" s="2017"/>
      <c r="L34" s="838"/>
      <c r="M34" s="838"/>
      <c r="N34" s="1999"/>
    </row>
    <row r="35" spans="1:14" x14ac:dyDescent="0.2">
      <c r="A35" s="1998"/>
      <c r="B35" s="838"/>
      <c r="C35" s="2429"/>
      <c r="D35" s="2429"/>
      <c r="E35" s="2429"/>
      <c r="F35" s="2429"/>
      <c r="G35" s="2429"/>
      <c r="H35" s="2429"/>
      <c r="I35" s="2429"/>
      <c r="J35" s="2429"/>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8" t="s">
        <v>2025</v>
      </c>
      <c r="D37" s="2429"/>
      <c r="E37" s="2429"/>
      <c r="F37" s="2429"/>
      <c r="G37" s="2429"/>
      <c r="H37" s="2429"/>
      <c r="I37" s="2429"/>
      <c r="J37" s="2429"/>
      <c r="K37" s="2017"/>
      <c r="L37" s="2019"/>
      <c r="M37" s="838"/>
      <c r="N37" s="1999"/>
    </row>
    <row r="38" spans="1:14" x14ac:dyDescent="0.2">
      <c r="A38" s="1998"/>
      <c r="B38" s="838"/>
      <c r="C38" s="2429"/>
      <c r="D38" s="2429"/>
      <c r="E38" s="2429"/>
      <c r="F38" s="2429"/>
      <c r="G38" s="2429"/>
      <c r="H38" s="2429"/>
      <c r="I38" s="2429"/>
      <c r="J38" s="2429"/>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0" t="s">
        <v>2026</v>
      </c>
      <c r="D40" s="2431"/>
      <c r="E40" s="2431"/>
      <c r="F40" s="2431"/>
      <c r="G40" s="2431"/>
      <c r="H40" s="2431"/>
      <c r="I40" s="2431"/>
      <c r="J40" s="2431"/>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8" t="str">
        <f>J6</f>
        <v xml:space="preserve"> Starved Rock for Voc Tech Ed</v>
      </c>
      <c r="M52" s="2438"/>
      <c r="N52" s="2439"/>
    </row>
    <row r="53" spans="1:14" x14ac:dyDescent="0.2">
      <c r="A53" s="1983"/>
      <c r="B53" s="1984"/>
      <c r="C53" s="1984"/>
      <c r="D53" s="1984"/>
      <c r="E53" s="1984"/>
      <c r="F53" s="1984"/>
      <c r="G53" s="1984"/>
      <c r="H53" s="1984"/>
      <c r="I53" s="1984"/>
      <c r="J53" s="1984"/>
      <c r="K53" s="1925" t="s">
        <v>369</v>
      </c>
      <c r="L53" s="2440">
        <f>J7</f>
        <v>35050720045</v>
      </c>
      <c r="M53" s="2440"/>
      <c r="N53" s="244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2"/>
      <c r="B55" s="2443"/>
      <c r="C55" s="2443"/>
      <c r="D55" s="1971"/>
      <c r="E55" s="1971"/>
      <c r="F55" s="1971"/>
      <c r="G55" s="2444" t="s">
        <v>2030</v>
      </c>
      <c r="H55" s="2444"/>
      <c r="I55" s="2444"/>
      <c r="J55" s="2444"/>
      <c r="K55" s="2444"/>
      <c r="L55" s="2444"/>
      <c r="M55" s="2444"/>
      <c r="N55" s="2445"/>
    </row>
    <row r="56" spans="1:14" ht="63.75" x14ac:dyDescent="0.2">
      <c r="A56" s="2446" t="s">
        <v>2031</v>
      </c>
      <c r="B56" s="2447"/>
      <c r="C56" s="2448"/>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9" t="s">
        <v>296</v>
      </c>
      <c r="B57" s="2450"/>
      <c r="C57" s="245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6" t="s">
        <v>2041</v>
      </c>
      <c r="B58" s="2427"/>
      <c r="C58" s="2427"/>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0" t="s">
        <v>297</v>
      </c>
      <c r="B59" s="2421"/>
      <c r="C59" s="2421"/>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0" t="s">
        <v>236</v>
      </c>
      <c r="B60" s="2421"/>
      <c r="C60" s="2421"/>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0" t="s">
        <v>697</v>
      </c>
      <c r="B61" s="2421"/>
      <c r="C61" s="2421"/>
      <c r="D61" s="1968">
        <v>2365</v>
      </c>
      <c r="E61" s="1978">
        <f>'Expenditures 15-22'!K323</f>
        <v>0</v>
      </c>
      <c r="F61" s="1973"/>
      <c r="G61" s="2032"/>
      <c r="H61" s="2033"/>
      <c r="I61" s="2033"/>
      <c r="J61" s="2033"/>
      <c r="K61" s="2033"/>
      <c r="L61" s="2033"/>
      <c r="M61" s="2033"/>
      <c r="N61" s="1976">
        <f t="shared" si="4"/>
        <v>0</v>
      </c>
    </row>
    <row r="62" spans="1:14" ht="24" customHeight="1" x14ac:dyDescent="0.2">
      <c r="A62" s="2420" t="s">
        <v>237</v>
      </c>
      <c r="B62" s="2421"/>
      <c r="C62" s="2421"/>
      <c r="D62" s="1968">
        <v>2366</v>
      </c>
      <c r="E62" s="1978">
        <f>'Expenditures 15-22'!K324</f>
        <v>0</v>
      </c>
      <c r="F62" s="1973"/>
      <c r="G62" s="2032"/>
      <c r="H62" s="2033"/>
      <c r="I62" s="2033"/>
      <c r="J62" s="2033"/>
      <c r="K62" s="2033"/>
      <c r="L62" s="2033"/>
      <c r="M62" s="2033"/>
      <c r="N62" s="1976">
        <f t="shared" si="4"/>
        <v>0</v>
      </c>
    </row>
    <row r="63" spans="1:14" ht="24" customHeight="1" x14ac:dyDescent="0.2">
      <c r="A63" s="2426" t="s">
        <v>1022</v>
      </c>
      <c r="B63" s="2427"/>
      <c r="C63" s="2427"/>
      <c r="D63" s="1968">
        <v>2367</v>
      </c>
      <c r="E63" s="1978">
        <f>'Expenditures 15-22'!K325</f>
        <v>0</v>
      </c>
      <c r="F63" s="1973"/>
      <c r="G63" s="2032"/>
      <c r="H63" s="2033"/>
      <c r="I63" s="2033"/>
      <c r="J63" s="2033"/>
      <c r="K63" s="2033"/>
      <c r="L63" s="2033"/>
      <c r="M63" s="2033"/>
      <c r="N63" s="1976">
        <f t="shared" si="4"/>
        <v>0</v>
      </c>
    </row>
    <row r="64" spans="1:14" ht="24" customHeight="1" x14ac:dyDescent="0.2">
      <c r="A64" s="2420" t="s">
        <v>1023</v>
      </c>
      <c r="B64" s="2421"/>
      <c r="C64" s="2421"/>
      <c r="D64" s="1968">
        <v>2368</v>
      </c>
      <c r="E64" s="1978">
        <f>'Expenditures 15-22'!K326</f>
        <v>0</v>
      </c>
      <c r="F64" s="1973"/>
      <c r="G64" s="2032"/>
      <c r="H64" s="2033"/>
      <c r="I64" s="2033"/>
      <c r="J64" s="2033"/>
      <c r="K64" s="2033"/>
      <c r="L64" s="2033"/>
      <c r="M64" s="2033"/>
      <c r="N64" s="1976">
        <f t="shared" si="4"/>
        <v>0</v>
      </c>
    </row>
    <row r="65" spans="1:14" ht="24" customHeight="1" x14ac:dyDescent="0.2">
      <c r="A65" s="2420" t="s">
        <v>965</v>
      </c>
      <c r="B65" s="2421"/>
      <c r="C65" s="2421"/>
      <c r="D65" s="1968">
        <v>2369</v>
      </c>
      <c r="E65" s="1978">
        <f>'Expenditures 15-22'!K327</f>
        <v>0</v>
      </c>
      <c r="F65" s="1973"/>
      <c r="G65" s="2032"/>
      <c r="H65" s="2033"/>
      <c r="I65" s="2033"/>
      <c r="J65" s="2033"/>
      <c r="K65" s="2033"/>
      <c r="L65" s="2033"/>
      <c r="M65" s="2033"/>
      <c r="N65" s="1976">
        <f t="shared" si="4"/>
        <v>0</v>
      </c>
    </row>
    <row r="66" spans="1:14" ht="24" customHeight="1" x14ac:dyDescent="0.2">
      <c r="A66" s="2420" t="s">
        <v>469</v>
      </c>
      <c r="B66" s="2421"/>
      <c r="C66" s="2421"/>
      <c r="D66" s="1968">
        <v>2371</v>
      </c>
      <c r="E66" s="1978">
        <f>'Expenditures 15-22'!K328</f>
        <v>0</v>
      </c>
      <c r="F66" s="1973"/>
      <c r="G66" s="2032"/>
      <c r="H66" s="2033"/>
      <c r="I66" s="2033"/>
      <c r="J66" s="2033"/>
      <c r="K66" s="2033"/>
      <c r="L66" s="2033"/>
      <c r="M66" s="2033"/>
      <c r="N66" s="1976">
        <f t="shared" si="4"/>
        <v>0</v>
      </c>
    </row>
    <row r="67" spans="1:14" ht="24.75" customHeight="1" x14ac:dyDescent="0.2">
      <c r="A67" s="2422" t="s">
        <v>2042</v>
      </c>
      <c r="B67" s="2423"/>
      <c r="C67" s="2423"/>
      <c r="D67" s="1970">
        <v>2372</v>
      </c>
      <c r="E67" s="1979">
        <f>'Expenditures 15-22'!K329</f>
        <v>0</v>
      </c>
      <c r="F67" s="1973"/>
      <c r="G67" s="2034"/>
      <c r="H67" s="2035"/>
      <c r="I67" s="2035"/>
      <c r="J67" s="2035"/>
      <c r="K67" s="2035"/>
      <c r="L67" s="2035"/>
      <c r="M67" s="2035"/>
      <c r="N67" s="1976">
        <f t="shared" si="4"/>
        <v>0</v>
      </c>
    </row>
    <row r="68" spans="1:14" x14ac:dyDescent="0.2">
      <c r="A68" s="2424" t="s">
        <v>1151</v>
      </c>
      <c r="B68" s="2425"/>
      <c r="C68" s="2425"/>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I9" sqref="I9:S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2065</v>
      </c>
    </row>
    <row r="6" spans="1:2" x14ac:dyDescent="0.2">
      <c r="A6" s="847">
        <v>2</v>
      </c>
      <c r="B6" s="2037" t="s">
        <v>2066</v>
      </c>
    </row>
    <row r="7" spans="1:2" x14ac:dyDescent="0.2">
      <c r="A7" s="847">
        <v>3</v>
      </c>
      <c r="B7" s="2037" t="s">
        <v>2067</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Starved Rock for Voc Tech Ed</v>
      </c>
    </row>
    <row r="65" spans="2:2" x14ac:dyDescent="0.2">
      <c r="B65" s="849">
        <f>COVER!A13</f>
        <v>35050720045</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9" sqref="I9:S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9" sqref="I9:S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9" sqref="I9:S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949073</v>
      </c>
      <c r="C8" s="1813">
        <f>'Acct Summary 7-8'!D8</f>
        <v>0</v>
      </c>
      <c r="D8" s="1813">
        <f>'Acct Summary 7-8'!F8</f>
        <v>0</v>
      </c>
      <c r="E8" s="1813">
        <f>'Acct Summary 7-8'!I8</f>
        <v>0</v>
      </c>
      <c r="F8" s="1813">
        <f>SUM(B8:E8)</f>
        <v>949073</v>
      </c>
    </row>
    <row r="9" spans="1:8" s="858" customFormat="1" ht="14.25" customHeight="1" thickBot="1" x14ac:dyDescent="0.25">
      <c r="A9" s="857" t="s">
        <v>1353</v>
      </c>
      <c r="B9" s="1814">
        <f>'Acct Summary 7-8'!C17</f>
        <v>964974</v>
      </c>
      <c r="C9" s="1814">
        <f>'Acct Summary 7-8'!D17</f>
        <v>0</v>
      </c>
      <c r="D9" s="1814">
        <f>'Acct Summary 7-8'!F17</f>
        <v>0</v>
      </c>
      <c r="E9" s="1813"/>
      <c r="F9" s="1813">
        <f>SUM(B9:E9)</f>
        <v>964974</v>
      </c>
    </row>
    <row r="10" spans="1:8" s="858" customFormat="1" ht="14.25" thickTop="1" thickBot="1" x14ac:dyDescent="0.25">
      <c r="A10" s="859" t="s">
        <v>1354</v>
      </c>
      <c r="B10" s="1815">
        <f>(B8-B9)</f>
        <v>-15901</v>
      </c>
      <c r="C10" s="1815">
        <f>(C8-C9)</f>
        <v>0</v>
      </c>
      <c r="D10" s="1815">
        <f>(D8-D9)</f>
        <v>0</v>
      </c>
      <c r="E10" s="1814">
        <f>(E8-E9)</f>
        <v>0</v>
      </c>
      <c r="F10" s="1816">
        <f>SUM(F8-F9)</f>
        <v>-15901</v>
      </c>
    </row>
    <row r="11" spans="1:8" s="858" customFormat="1" ht="14.25" thickTop="1" thickBot="1" x14ac:dyDescent="0.25">
      <c r="A11" s="860" t="s">
        <v>1903</v>
      </c>
      <c r="B11" s="1817">
        <f>'Acct Summary 7-8'!C81</f>
        <v>135676</v>
      </c>
      <c r="C11" s="1817">
        <f>'Acct Summary 7-8'!D81</f>
        <v>0</v>
      </c>
      <c r="D11" s="1817">
        <f>'Acct Summary 7-8'!F81</f>
        <v>0</v>
      </c>
      <c r="E11" s="1817">
        <f>'Acct Summary 7-8'!I81</f>
        <v>0</v>
      </c>
      <c r="F11" s="1818">
        <f>SUM(B11:E11)</f>
        <v>135676</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election activeCell="I9" sqref="I9:S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35050720045</v>
      </c>
      <c r="E2" s="1542">
        <v>2020</v>
      </c>
      <c r="F2" s="1542">
        <v>1</v>
      </c>
      <c r="G2" s="1899">
        <v>101000300</v>
      </c>
    </row>
    <row r="3" spans="1:7" ht="15" x14ac:dyDescent="0.25">
      <c r="A3" t="s">
        <v>950</v>
      </c>
      <c r="B3" s="135" t="str">
        <f>COVER!A15</f>
        <v>LaSalle</v>
      </c>
      <c r="E3" s="1830" t="s">
        <v>1971</v>
      </c>
      <c r="F3" s="1830" t="s">
        <v>1970</v>
      </c>
      <c r="G3" s="1899">
        <v>101000400</v>
      </c>
    </row>
    <row r="4" spans="1:7" ht="15" x14ac:dyDescent="0.25">
      <c r="A4" t="s">
        <v>1000</v>
      </c>
      <c r="B4" s="135" t="str">
        <f>COVER!A17</f>
        <v xml:space="preserve"> Starved Rock for Voc Tech Ed</v>
      </c>
      <c r="E4" s="1828">
        <v>44119</v>
      </c>
      <c r="F4" s="1829">
        <v>44151</v>
      </c>
      <c r="G4" s="1899">
        <v>101000600</v>
      </c>
    </row>
    <row r="5" spans="1:7" ht="15" x14ac:dyDescent="0.25">
      <c r="A5" t="s">
        <v>699</v>
      </c>
      <c r="B5" s="135" t="str">
        <f>COVER!A38</f>
        <v>Dwayne Mentgen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f>IF(COVER!J30="x","Yes",IF(COVER!L30="x","No",0))</f>
        <v>0</v>
      </c>
      <c r="G13" s="1899">
        <v>202100800</v>
      </c>
    </row>
    <row r="14" spans="1:7" ht="15" x14ac:dyDescent="0.25">
      <c r="A14" t="s">
        <v>473</v>
      </c>
      <c r="B14" s="135">
        <f>IF(COVER!J31="x","Yes",IF(COVER!L31="x","No",0))</f>
        <v>0</v>
      </c>
      <c r="G14" s="1899">
        <v>402100300</v>
      </c>
    </row>
    <row r="15" spans="1:7" ht="15" x14ac:dyDescent="0.25">
      <c r="A15" t="s">
        <v>573</v>
      </c>
      <c r="B15" s="135" t="str">
        <f>COVER!T23</f>
        <v>065-028451</v>
      </c>
      <c r="G15" s="1899">
        <v>402100400</v>
      </c>
    </row>
    <row r="16" spans="1:7" ht="15" x14ac:dyDescent="0.25">
      <c r="A16" t="s">
        <v>419</v>
      </c>
      <c r="B16" s="135" t="str">
        <f>COVER!T13</f>
        <v>Sikich LLP</v>
      </c>
      <c r="G16" s="1899">
        <v>402100600</v>
      </c>
    </row>
    <row r="17" spans="1:7" ht="15" x14ac:dyDescent="0.25">
      <c r="A17" t="s">
        <v>878</v>
      </c>
      <c r="B17" s="135" t="str">
        <f>COVER!T15</f>
        <v>Brian LeFevre</v>
      </c>
      <c r="G17" s="1899">
        <v>402100800</v>
      </c>
    </row>
    <row r="18" spans="1:7" ht="15" x14ac:dyDescent="0.25">
      <c r="A18" t="s">
        <v>1140</v>
      </c>
      <c r="B18" s="135" t="str">
        <f>COVER!T17</f>
        <v>1415 W. Diehl Rd, Suite 400</v>
      </c>
      <c r="G18" s="1899">
        <v>102200300</v>
      </c>
    </row>
    <row r="19" spans="1:7" ht="15" x14ac:dyDescent="0.25">
      <c r="A19" t="s">
        <v>880</v>
      </c>
      <c r="B19" s="135">
        <f>COVER!T25</f>
        <v>0</v>
      </c>
      <c r="G19" s="1899">
        <v>102200400</v>
      </c>
    </row>
    <row r="20" spans="1:7" ht="15" x14ac:dyDescent="0.25">
      <c r="A20" t="s">
        <v>881</v>
      </c>
      <c r="B20" s="135" t="str">
        <f>COVER!T19</f>
        <v>Naperville</v>
      </c>
      <c r="G20" s="1899">
        <v>102200600</v>
      </c>
    </row>
    <row r="21" spans="1:7" ht="15" x14ac:dyDescent="0.25">
      <c r="A21" t="s">
        <v>476</v>
      </c>
      <c r="B21" s="135" t="str">
        <f>COVER!X19</f>
        <v>IL</v>
      </c>
      <c r="G21" s="1899">
        <v>102200800</v>
      </c>
    </row>
    <row r="22" spans="1:7" ht="15" x14ac:dyDescent="0.25">
      <c r="A22" t="s">
        <v>882</v>
      </c>
      <c r="B22" s="135">
        <f>COVER!Z19</f>
        <v>60563</v>
      </c>
      <c r="G22" s="1899">
        <v>102300300</v>
      </c>
    </row>
    <row r="23" spans="1:7" ht="15" x14ac:dyDescent="0.25">
      <c r="A23" t="s">
        <v>1142</v>
      </c>
      <c r="B23" s="135" t="str">
        <f>COVER!T21</f>
        <v>630-566-8505</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135676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135676</v>
      </c>
      <c r="D92" s="2" t="str">
        <f t="shared" si="0"/>
        <v>Error?</v>
      </c>
      <c r="G92" s="1899">
        <v>102640600</v>
      </c>
    </row>
    <row r="93" spans="1:7" ht="15" x14ac:dyDescent="0.25">
      <c r="A93" s="5">
        <v>32</v>
      </c>
      <c r="B93" s="1832">
        <f>'Assets-Liab 5-6'!C41</f>
        <v>135676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1765102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1765102</v>
      </c>
      <c r="C279" s="2" t="s">
        <v>569</v>
      </c>
      <c r="D279" s="2" t="str">
        <f t="shared" si="3"/>
        <v>Error?</v>
      </c>
    </row>
    <row r="280" spans="1:4" x14ac:dyDescent="0.2">
      <c r="A280" s="5">
        <v>219</v>
      </c>
      <c r="B280" s="1832">
        <f>'Assets-Liab 5-6'!M40</f>
        <v>1765102</v>
      </c>
      <c r="D280" s="2" t="str">
        <f t="shared" si="3"/>
        <v>Error?</v>
      </c>
    </row>
    <row r="281" spans="1:4" x14ac:dyDescent="0.2">
      <c r="A281" s="5">
        <v>220</v>
      </c>
      <c r="B281" s="1832">
        <f>'Assets-Liab 5-6'!M41</f>
        <v>1765102</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4083</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4083</v>
      </c>
      <c r="C785" s="2" t="s">
        <v>569</v>
      </c>
      <c r="D785" s="2" t="str">
        <f t="shared" si="11"/>
        <v>Error?</v>
      </c>
    </row>
    <row r="786" spans="1:4" x14ac:dyDescent="0.2">
      <c r="A786" s="5">
        <v>725</v>
      </c>
      <c r="B786" s="1832">
        <f>'Expenditures 15-22'!D44</f>
        <v>1817</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1817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1384</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-223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-223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7061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7061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7222</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7222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6419</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6419</v>
      </c>
      <c r="C843" s="2" t="s">
        <v>569</v>
      </c>
      <c r="D843" s="2" t="str">
        <f t="shared" si="12"/>
        <v>Error?</v>
      </c>
    </row>
    <row r="844" spans="1:4" x14ac:dyDescent="0.2">
      <c r="A844" s="5">
        <v>783</v>
      </c>
      <c r="B844" s="1832">
        <f>'Expenditures 15-22'!E44</f>
        <v>18829</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11287</v>
      </c>
      <c r="D846" s="2" t="str">
        <f t="shared" si="12"/>
        <v>Error?</v>
      </c>
    </row>
    <row r="847" spans="1:4" x14ac:dyDescent="0.2">
      <c r="A847" s="5">
        <v>786</v>
      </c>
      <c r="B847" s="1832">
        <f>'Expenditures 15-22'!E47</f>
        <v>30116</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15516</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439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439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52490</v>
      </c>
      <c r="C871" s="2" t="s">
        <v>569</v>
      </c>
      <c r="D871" s="2" t="str">
        <f t="shared" si="12"/>
        <v>Error?</v>
      </c>
    </row>
    <row r="872" spans="1:4" x14ac:dyDescent="0.2">
      <c r="A872" s="5">
        <v>811</v>
      </c>
      <c r="B872" s="1832">
        <f>'Expenditures 15-22'!E75</f>
        <v>450</v>
      </c>
      <c r="D872" s="2" t="str">
        <f t="shared" si="12"/>
        <v>Error?</v>
      </c>
    </row>
    <row r="873" spans="1:4" x14ac:dyDescent="0.2">
      <c r="A873" s="5">
        <v>812</v>
      </c>
      <c r="B873" s="1832">
        <f>'Expenditures 15-22'!E114</f>
        <v>66833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126959</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126959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1294</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1294</v>
      </c>
      <c r="C901" s="2" t="s">
        <v>569</v>
      </c>
      <c r="D901" s="2" t="str">
        <f t="shared" si="13"/>
        <v>Error?</v>
      </c>
    </row>
    <row r="902" spans="1:4" x14ac:dyDescent="0.2">
      <c r="A902" s="5">
        <v>841</v>
      </c>
      <c r="B902" s="1832">
        <f>'Expenditures 15-22'!F44</f>
        <v>1266</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1266</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898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3458</v>
      </c>
      <c r="C929" s="2" t="s">
        <v>569</v>
      </c>
      <c r="D929" s="2" t="str">
        <f t="shared" si="13"/>
        <v>Error?</v>
      </c>
    </row>
    <row r="930" spans="1:4" x14ac:dyDescent="0.2">
      <c r="A930" s="5">
        <v>869</v>
      </c>
      <c r="B930" s="1832">
        <f>'Expenditures 15-22'!F75</f>
        <v>380</v>
      </c>
      <c r="D930" s="2" t="str">
        <f t="shared" si="13"/>
        <v>Error?</v>
      </c>
    </row>
    <row r="931" spans="1:4" x14ac:dyDescent="0.2">
      <c r="A931" s="5">
        <v>870</v>
      </c>
      <c r="B931" s="1832">
        <f>'Expenditures 15-22'!F114</f>
        <v>130797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76774</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76774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76774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632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632</v>
      </c>
      <c r="C1045" s="2" t="s">
        <v>569</v>
      </c>
      <c r="D1045" s="2" t="str">
        <f t="shared" si="15"/>
        <v>Error?</v>
      </c>
    </row>
    <row r="1046" spans="1:5" x14ac:dyDescent="0.2">
      <c r="A1046" s="5">
        <v>985</v>
      </c>
      <c r="B1046" s="1832">
        <f>'Expenditures 15-22'!H75</f>
        <v>169</v>
      </c>
      <c r="D1046" s="2" t="str">
        <f t="shared" si="15"/>
        <v>Error?</v>
      </c>
    </row>
    <row r="1047" spans="1:5" x14ac:dyDescent="0.2">
      <c r="A1047" s="5">
        <v>986</v>
      </c>
      <c r="B1047" s="1832">
        <f>'Expenditures 15-22'!H102</f>
        <v>682708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683509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210955</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210955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11796</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11796</v>
      </c>
      <c r="C1115" s="2" t="s">
        <v>569</v>
      </c>
      <c r="D1115" s="2" t="str">
        <f t="shared" si="16"/>
        <v>Error?</v>
      </c>
    </row>
    <row r="1116" spans="1:4" x14ac:dyDescent="0.2">
      <c r="A1116" s="5">
        <v>1055</v>
      </c>
      <c r="B1116" s="1832">
        <f>'Expenditures 15-22'!K44</f>
        <v>21912</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11287</v>
      </c>
      <c r="C1118" s="2" t="s">
        <v>569</v>
      </c>
      <c r="D1118" s="2" t="str">
        <f t="shared" si="16"/>
        <v>Error?</v>
      </c>
    </row>
    <row r="1119" spans="1:4" x14ac:dyDescent="0.2">
      <c r="A1119" s="5">
        <v>1058</v>
      </c>
      <c r="B1119" s="1832">
        <f>'Expenditures 15-22'!K47</f>
        <v>33199</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18430</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216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216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63641</v>
      </c>
      <c r="C1143" s="2" t="s">
        <v>569</v>
      </c>
      <c r="D1143" s="2" t="str">
        <f t="shared" si="16"/>
        <v>Error?</v>
      </c>
    </row>
    <row r="1144" spans="1:4" x14ac:dyDescent="0.2">
      <c r="A1144" s="5">
        <v>1083</v>
      </c>
      <c r="B1144" s="1832">
        <f>'Expenditures 15-22'!K75</f>
        <v>999</v>
      </c>
      <c r="C1144" s="2" t="s">
        <v>569</v>
      </c>
      <c r="D1144" s="2" t="str">
        <f t="shared" si="16"/>
        <v>Error?</v>
      </c>
    </row>
    <row r="1145" spans="1:4" x14ac:dyDescent="0.2">
      <c r="A1145" s="5">
        <v>1084</v>
      </c>
      <c r="B1145" s="1832">
        <f>'Expenditures 15-22'!K102</f>
        <v>689379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964974</v>
      </c>
      <c r="C1152" s="2" t="s">
        <v>569</v>
      </c>
      <c r="D1152" s="2" t="str">
        <f t="shared" si="17"/>
        <v>Error?</v>
      </c>
    </row>
    <row r="1153" spans="1:4" x14ac:dyDescent="0.2">
      <c r="A1153" s="5">
        <v>1092</v>
      </c>
      <c r="B1153" s="1832">
        <f>'Expenditures 15-22'!K115</f>
        <v>-15901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151577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135676</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1688328</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1688328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76774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76774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1765102</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1765102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1207554</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1207554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118066</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118066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1325620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1325620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439482</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439482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682708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689379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25516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167153</v>
      </c>
      <c r="C2553" s="2" t="s">
        <v>569</v>
      </c>
      <c r="D2553" s="2" t="str">
        <f t="shared" si="38"/>
        <v>Error?</v>
      </c>
    </row>
    <row r="2554" spans="1:4" x14ac:dyDescent="0.2">
      <c r="A2554" s="5">
        <v>2493</v>
      </c>
      <c r="B2554" s="1832">
        <f>'Acct Summary 7-8'!C7</f>
        <v>77730</v>
      </c>
      <c r="C2554" s="2" t="s">
        <v>569</v>
      </c>
      <c r="D2554" s="2" t="str">
        <f t="shared" si="38"/>
        <v>Error?</v>
      </c>
    </row>
    <row r="2555" spans="1:4" x14ac:dyDescent="0.2">
      <c r="A2555" s="5">
        <v>2494</v>
      </c>
      <c r="B2555" s="1832">
        <f>'Acct Summary 7-8'!C8</f>
        <v>949073</v>
      </c>
      <c r="C2555" s="2" t="s">
        <v>569</v>
      </c>
      <c r="D2555" s="2" t="str">
        <f t="shared" si="38"/>
        <v>Error?</v>
      </c>
    </row>
    <row r="2556" spans="1:4" x14ac:dyDescent="0.2">
      <c r="A2556" s="5">
        <v>2495</v>
      </c>
      <c r="B2556" s="1832">
        <f>'Acct Summary 7-8'!C12</f>
        <v>210955</v>
      </c>
      <c r="C2556" s="2" t="s">
        <v>569</v>
      </c>
      <c r="D2556" s="2" t="str">
        <f t="shared" si="38"/>
        <v>Error?</v>
      </c>
    </row>
    <row r="2557" spans="1:4" x14ac:dyDescent="0.2">
      <c r="A2557" s="5">
        <v>2496</v>
      </c>
      <c r="B2557" s="1832">
        <f>'Acct Summary 7-8'!C13</f>
        <v>63641</v>
      </c>
      <c r="C2557" s="2" t="s">
        <v>569</v>
      </c>
      <c r="D2557" s="2" t="str">
        <f t="shared" si="38"/>
        <v>Error?</v>
      </c>
    </row>
    <row r="2558" spans="1:4" x14ac:dyDescent="0.2">
      <c r="A2558" s="5">
        <v>2497</v>
      </c>
      <c r="B2558" s="1832">
        <f>'Acct Summary 7-8'!C14</f>
        <v>999</v>
      </c>
      <c r="C2558" s="2" t="s">
        <v>569</v>
      </c>
      <c r="D2558" s="2" t="str">
        <f t="shared" si="38"/>
        <v>Error?</v>
      </c>
    </row>
    <row r="2559" spans="1:4" x14ac:dyDescent="0.2">
      <c r="A2559" s="5">
        <v>2498</v>
      </c>
      <c r="B2559" s="1832">
        <f>'Acct Summary 7-8'!C15</f>
        <v>689379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964974</v>
      </c>
      <c r="C2561" s="2" t="s">
        <v>569</v>
      </c>
      <c r="D2561" s="2" t="str">
        <f t="shared" si="39"/>
        <v>Error?</v>
      </c>
    </row>
    <row r="2562" spans="1:4" x14ac:dyDescent="0.2">
      <c r="A2562" s="5">
        <v>2501</v>
      </c>
      <c r="B2562" s="1832">
        <f>'Acct Summary 7-8'!C20</f>
        <v>-15901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1384</v>
      </c>
      <c r="D2719" s="2" t="str">
        <f t="shared" si="41"/>
        <v>Error?</v>
      </c>
    </row>
    <row r="2720" spans="1:4" x14ac:dyDescent="0.2">
      <c r="A2720" s="5">
        <v>2659</v>
      </c>
      <c r="B2720" s="1832">
        <f>'Expenditures 15-22'!E51</f>
        <v>15516</v>
      </c>
      <c r="D2720" s="2" t="str">
        <f t="shared" si="41"/>
        <v>Error?</v>
      </c>
    </row>
    <row r="2721" spans="1:4" x14ac:dyDescent="0.2">
      <c r="A2721" s="5">
        <v>2660</v>
      </c>
      <c r="B2721" s="1832">
        <f>'Expenditures 15-22'!F51</f>
        <v>898</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632</v>
      </c>
      <c r="D2723" s="2" t="str">
        <f t="shared" si="41"/>
        <v>Error?</v>
      </c>
    </row>
    <row r="2724" spans="1:4" x14ac:dyDescent="0.2">
      <c r="A2724" s="5">
        <v>2663</v>
      </c>
      <c r="B2724" s="1832">
        <f>'Expenditures 15-22'!K51</f>
        <v>18430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6671</v>
      </c>
      <c r="C2789" s="2" t="s">
        <v>569</v>
      </c>
      <c r="D2789" s="2" t="str">
        <f t="shared" si="42"/>
        <v>Error?</v>
      </c>
    </row>
    <row r="2790" spans="1:4" x14ac:dyDescent="0.2">
      <c r="A2790" s="5">
        <v>2729</v>
      </c>
      <c r="B2790" s="1832">
        <f>'Expenditures 15-22'!E102</f>
        <v>6671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6671</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682708</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689379</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-15901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678674</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135676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949073</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964974</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135676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77730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1086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1086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6000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18430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24430</v>
      </c>
      <c r="C5120" s="2" t="s">
        <v>569</v>
      </c>
      <c r="D5120" s="2" t="str">
        <f t="shared" si="79"/>
        <v>Error?</v>
      </c>
    </row>
    <row r="5121" spans="1:4" x14ac:dyDescent="0.2">
      <c r="A5121" s="5">
        <v>5060</v>
      </c>
      <c r="B5121" s="1832">
        <f>'Revenues 9-14'!C109</f>
        <v>25516</v>
      </c>
      <c r="C5121" s="2" t="s">
        <v>569</v>
      </c>
      <c r="D5121" s="2" t="str">
        <f t="shared" si="79"/>
        <v>Error?</v>
      </c>
    </row>
    <row r="5122" spans="1:4" x14ac:dyDescent="0.2">
      <c r="A5122" s="5">
        <v>5061</v>
      </c>
      <c r="B5122" s="1832">
        <f>'Revenues 9-14'!C111</f>
        <v>517950</v>
      </c>
      <c r="D5122" s="2" t="str">
        <f t="shared" si="79"/>
        <v>Error?</v>
      </c>
    </row>
    <row r="5123" spans="1:4" x14ac:dyDescent="0.2">
      <c r="A5123" s="5">
        <v>5062</v>
      </c>
      <c r="B5123" s="1832">
        <f>'Revenues 9-14'!C112</f>
        <v>152219</v>
      </c>
      <c r="D5123" s="2" t="str">
        <f t="shared" si="79"/>
        <v>Error?</v>
      </c>
    </row>
    <row r="5124" spans="1:4" x14ac:dyDescent="0.2">
      <c r="A5124" s="5">
        <v>5063</v>
      </c>
      <c r="B5124" s="1832">
        <f>'Revenues 9-14'!C113</f>
        <v>8505</v>
      </c>
      <c r="D5124" s="2" t="str">
        <f t="shared" si="79"/>
        <v>Error?</v>
      </c>
    </row>
    <row r="5125" spans="1:4" x14ac:dyDescent="0.2">
      <c r="A5125" s="5">
        <v>5064</v>
      </c>
      <c r="B5125" s="1832">
        <f>'Revenues 9-14'!C114</f>
        <v>678674</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167153</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167153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167153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167153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77730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77730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77730</v>
      </c>
      <c r="C5326" s="2" t="s">
        <v>569</v>
      </c>
      <c r="D5326" s="2" t="str">
        <f t="shared" si="82"/>
        <v>Error?</v>
      </c>
    </row>
    <row r="5327" spans="1:5" x14ac:dyDescent="0.2">
      <c r="A5327" s="5">
        <v>5266</v>
      </c>
      <c r="B5327" s="1832">
        <f>'Revenues 9-14'!C268</f>
        <v>949073</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-15901</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-0.11719832542232966</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118066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964974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999</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767152</v>
      </c>
      <c r="D7834" s="2" t="str">
        <f t="shared" si="129"/>
        <v>Error?</v>
      </c>
      <c r="E7834" s="4" t="s">
        <v>1998</v>
      </c>
    </row>
    <row r="7835" spans="1:5" x14ac:dyDescent="0.2">
      <c r="A7835">
        <v>7774</v>
      </c>
      <c r="B7835" s="1832">
        <f>'PCTC-OEPP 27-28'!F78</f>
        <v>197822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167153</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77730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263313</v>
      </c>
      <c r="D7877" s="2" t="str">
        <f t="shared" si="129"/>
        <v>Error?</v>
      </c>
      <c r="E7877" s="4" t="s">
        <v>1998</v>
      </c>
    </row>
    <row r="7878" spans="1:5" x14ac:dyDescent="0.2">
      <c r="A7878">
        <v>7817</v>
      </c>
      <c r="B7878" s="1832">
        <f>'PCTC-OEPP 27-28'!F176</f>
        <v>-65491</v>
      </c>
      <c r="D7878" s="2" t="str">
        <f t="shared" si="129"/>
        <v>Error?</v>
      </c>
      <c r="E7878" s="4" t="s">
        <v>1998</v>
      </c>
    </row>
    <row r="7879" spans="1:5" x14ac:dyDescent="0.2">
      <c r="A7879">
        <v>7818</v>
      </c>
      <c r="B7879" s="1832">
        <f>'PCTC-OEPP 27-28'!F178</f>
        <v>52575</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G9" sqref="G9:S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Starved Rock for Voc Tech Ed</v>
      </c>
      <c r="B7" s="2517"/>
      <c r="C7" s="2517"/>
      <c r="D7" s="2555"/>
      <c r="E7" s="2556">
        <f>COVER!A13</f>
        <v>35050720045</v>
      </c>
      <c r="F7" s="2557"/>
      <c r="G7" s="2523" t="str">
        <f>COVER!T23</f>
        <v>065-028451</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Sikich LLP</v>
      </c>
      <c r="H9" s="2530"/>
      <c r="I9" s="2530"/>
      <c r="J9" s="2530"/>
      <c r="K9" s="2530"/>
      <c r="L9" s="2531"/>
    </row>
    <row r="10" spans="1:29" ht="13.5" customHeight="1" x14ac:dyDescent="0.2">
      <c r="A10" s="2513" t="str">
        <f>COVER!A38</f>
        <v>Dwayne Mentgen</v>
      </c>
      <c r="B10" s="2514"/>
      <c r="C10" s="2514"/>
      <c r="D10" s="2514"/>
      <c r="E10" s="2514"/>
      <c r="F10" s="2515"/>
      <c r="G10" s="2529" t="str">
        <f>COVER!T17</f>
        <v>1415 W. Diehl Rd, Suite 400</v>
      </c>
      <c r="H10" s="2542"/>
      <c r="I10" s="2542"/>
      <c r="J10" s="2542"/>
      <c r="K10" s="2542"/>
      <c r="L10" s="2543"/>
    </row>
    <row r="11" spans="1:29" ht="13.5" customHeight="1" x14ac:dyDescent="0.2">
      <c r="A11" s="963" t="s">
        <v>1502</v>
      </c>
      <c r="B11" s="964"/>
      <c r="C11" s="965"/>
      <c r="D11" s="970"/>
      <c r="E11" s="965"/>
      <c r="F11" s="969"/>
      <c r="G11" s="2529" t="str">
        <f>COVER!T19</f>
        <v>Naperville</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f>COVER!T25</f>
        <v>0</v>
      </c>
      <c r="J13" s="2551"/>
      <c r="K13" s="2551"/>
      <c r="L13" s="2552"/>
    </row>
    <row r="14" spans="1:29" ht="13.5" customHeight="1" x14ac:dyDescent="0.2">
      <c r="A14" s="2529" t="str">
        <f>COVER!A19</f>
        <v>200 Ninth Street</v>
      </c>
      <c r="B14" s="2542"/>
      <c r="C14" s="2542"/>
      <c r="D14" s="2542"/>
      <c r="E14" s="2542"/>
      <c r="F14" s="2543"/>
      <c r="G14" s="974" t="s">
        <v>1175</v>
      </c>
      <c r="H14" s="972"/>
      <c r="I14" s="972"/>
      <c r="J14" s="972"/>
      <c r="K14" s="972"/>
      <c r="L14" s="973"/>
    </row>
    <row r="15" spans="1:29" ht="13.5" customHeight="1" x14ac:dyDescent="0.2">
      <c r="A15" s="2529" t="str">
        <f>COVER!A21</f>
        <v>Peru</v>
      </c>
      <c r="B15" s="2542"/>
      <c r="C15" s="2542"/>
      <c r="D15" s="2542"/>
      <c r="E15" s="2542"/>
      <c r="F15" s="2543"/>
      <c r="G15" s="2539" t="str">
        <f>COVER!T15</f>
        <v>Brian LeFevre</v>
      </c>
      <c r="H15" s="2540"/>
      <c r="I15" s="2540"/>
      <c r="J15" s="2540"/>
      <c r="K15" s="2540"/>
      <c r="L15" s="2541"/>
    </row>
    <row r="16" spans="1:29" ht="12.2" customHeight="1" x14ac:dyDescent="0.2">
      <c r="A16" s="2519">
        <f>COVER!A25</f>
        <v>61354</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630-566-8505</v>
      </c>
      <c r="H18" s="2517"/>
      <c r="I18" s="2517"/>
      <c r="J18" s="2517"/>
      <c r="K18" s="2516" t="str">
        <f>COVER!X21</f>
        <v>630-499-5885</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I9" sqref="I9:S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Starved Rock for Voc Tech Ed</v>
      </c>
      <c r="B1" s="2559"/>
      <c r="C1" s="2559"/>
      <c r="D1" s="2559"/>
    </row>
    <row r="2" spans="1:11" s="991" customFormat="1" ht="12.75" x14ac:dyDescent="0.2">
      <c r="A2" s="2560">
        <f>'Single Audit Cover'!E7</f>
        <v>35050720045</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I9" sqref="I9:S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Starved Rock for Voc Tech Ed</v>
      </c>
      <c r="B1" s="2563"/>
      <c r="C1" s="2563"/>
      <c r="D1" s="2563"/>
      <c r="E1" s="2563"/>
    </row>
    <row r="2" spans="1:5" x14ac:dyDescent="0.2">
      <c r="A2" s="2564">
        <f>'Single Audit Cover'!E7</f>
        <v>35050720045</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77730</v>
      </c>
    </row>
    <row r="11" spans="1:5" ht="18" customHeight="1" x14ac:dyDescent="0.2">
      <c r="A11" s="1037" t="s">
        <v>1229</v>
      </c>
      <c r="B11" s="1038"/>
      <c r="C11" s="1038"/>
    </row>
    <row r="12" spans="1:5" x14ac:dyDescent="0.2">
      <c r="A12" s="1037" t="s">
        <v>1228</v>
      </c>
      <c r="B12" s="1038" t="s">
        <v>1227</v>
      </c>
      <c r="C12" s="1038"/>
      <c r="D12" s="1040">
        <f>SUM('Revenues 9-14'!C112:D112,'Revenues 9-14'!F112:G112)</f>
        <v>152219</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229949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229949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229949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9" sqref="I9:S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Starved Rock for Voc Tech Ed</v>
      </c>
      <c r="C1" s="2567"/>
      <c r="D1" s="2567"/>
      <c r="E1" s="2567"/>
      <c r="F1" s="2567"/>
      <c r="G1" s="2567"/>
      <c r="H1" s="2567"/>
      <c r="I1" s="2567"/>
      <c r="J1" s="2567"/>
      <c r="K1" s="2567"/>
      <c r="L1" s="2567"/>
      <c r="M1" s="2567"/>
    </row>
    <row r="2" spans="2:14" ht="15" x14ac:dyDescent="0.2">
      <c r="B2" s="2568">
        <f>'Single Audit Cover'!E7</f>
        <v>35050720045</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I9" sqref="I9:S9"/>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Starved Rock for Voc Tech Ed</v>
      </c>
      <c r="B1" s="2572"/>
      <c r="C1" s="2572"/>
      <c r="D1" s="2572"/>
      <c r="E1" s="2572"/>
      <c r="F1" s="2572"/>
    </row>
    <row r="2" spans="1:7" ht="13.5" customHeight="1" x14ac:dyDescent="0.2">
      <c r="A2" s="2568">
        <f>'Single Audit Cover'!E7</f>
        <v>35050720045</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I9" sqref="I9:S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2055</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I9" sqref="I9:S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Starved Rock for Voc Tech Ed</v>
      </c>
      <c r="C1" s="2588"/>
      <c r="D1" s="2588"/>
      <c r="E1" s="2588"/>
      <c r="F1" s="2588"/>
      <c r="G1" s="2588"/>
      <c r="H1" s="2588"/>
      <c r="I1" s="2588"/>
      <c r="J1" s="1178"/>
    </row>
    <row r="2" spans="2:10" s="295" customFormat="1" ht="12.75" customHeight="1" x14ac:dyDescent="0.2">
      <c r="B2" s="2589">
        <f>'Single Audit Cover'!E7</f>
        <v>35050720045</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8" t="str">
        <f>"Total Federal Expenditures for 7/1/"&amp;MID('AFR20'!E2,3,2)-1&amp;"-6/30/"&amp;MID('AFR20'!E2,3,2)</f>
        <v>Total Federal Expenditures for 7/1/19-6/30/20</v>
      </c>
      <c r="C45" s="1919"/>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I9" sqref="I9:S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Starved Rock for Voc Tech Ed</v>
      </c>
      <c r="C1" s="2587"/>
      <c r="D1" s="2587"/>
      <c r="E1" s="2587"/>
      <c r="F1" s="2587"/>
      <c r="G1" s="2587"/>
      <c r="H1" s="2587"/>
      <c r="I1" s="2587"/>
      <c r="J1" s="2587"/>
      <c r="K1" s="2587"/>
      <c r="L1" s="1144"/>
      <c r="M1" s="1144"/>
    </row>
    <row r="2" spans="1:13" ht="12" customHeight="1" x14ac:dyDescent="0.2">
      <c r="B2" s="2589">
        <f>'Single Audit Cover'!E7</f>
        <v>35050720045</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I9" sqref="I9:S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Starved Rock for Voc Tech Ed</v>
      </c>
      <c r="C1" s="2614"/>
      <c r="D1" s="2614"/>
      <c r="E1" s="2614"/>
      <c r="F1" s="2614"/>
      <c r="G1" s="2614"/>
      <c r="H1" s="2614"/>
      <c r="I1" s="2614"/>
      <c r="J1" s="2614"/>
      <c r="K1" s="2614"/>
      <c r="L1" s="1221"/>
    </row>
    <row r="2" spans="1:12" ht="12.75" customHeight="1" x14ac:dyDescent="0.2">
      <c r="B2" s="2615">
        <f>'Single Audit Cover'!E7</f>
        <v>35050720045</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I9" sqref="I9:S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Starved Rock for Voc Tech Ed</v>
      </c>
      <c r="C1" s="2587"/>
      <c r="D1" s="2587"/>
      <c r="E1" s="1240"/>
    </row>
    <row r="2" spans="2:5" s="1058" customFormat="1" ht="12.75" customHeight="1" x14ac:dyDescent="0.2">
      <c r="B2" s="2589">
        <f>'Single Audit Cover'!E7</f>
        <v>35050720045</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I9" sqref="I9:S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949073</v>
      </c>
      <c r="E16" s="1547"/>
      <c r="F16" s="1546">
        <f>SUM('Acct Summary 7-8'!C17,'Acct Summary 7-8'!D17,'Acct Summary 7-8'!F17)</f>
        <v>964974</v>
      </c>
      <c r="G16" s="1547"/>
      <c r="H16" s="1546">
        <f>SUM(D16-F16)</f>
        <v>-15901</v>
      </c>
      <c r="I16" s="1548"/>
      <c r="J16" s="1546">
        <f>SUM('Acct Summary 7-8'!C81,'Acct Summary 7-8'!D81,'Acct Summary 7-8'!F81,'Acct Summary 7-8'!I81)</f>
        <v>135676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I9" sqref="I9:S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Starved Rock for Voc Tech Ed</v>
      </c>
      <c r="E7" s="368"/>
      <c r="G7" s="247"/>
      <c r="H7" s="364"/>
      <c r="I7" s="364"/>
      <c r="J7" s="364"/>
      <c r="K7" s="364"/>
      <c r="L7" s="307"/>
      <c r="M7" s="307"/>
      <c r="N7" s="307"/>
      <c r="O7" s="307"/>
      <c r="P7" s="307"/>
    </row>
    <row r="8" spans="1:18" ht="12.75" x14ac:dyDescent="0.2">
      <c r="A8" s="307"/>
      <c r="B8" s="307"/>
      <c r="C8" s="366" t="s">
        <v>1115</v>
      </c>
      <c r="D8" s="369">
        <f>COVER!A13</f>
        <v>35050720045</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135676</v>
      </c>
      <c r="I12" s="380"/>
      <c r="J12" s="380"/>
      <c r="K12" s="1559">
        <f>TRUNC((H12/H13*100000),5)/100000</f>
        <v>0.14295633729999999</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949073</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964974</v>
      </c>
      <c r="I17" s="380"/>
      <c r="J17" s="389"/>
      <c r="K17" s="1559">
        <f>TRUNC((H17/H18*100000),5)/100000</f>
        <v>1.0167542432999999</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949073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2.5639078999999998</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135676</v>
      </c>
      <c r="I24" s="394"/>
      <c r="J24" s="394"/>
      <c r="K24" s="1555">
        <f>TRUNC(((H24/H25*100000)/100000),2)</f>
        <v>50.61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2680.48333</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activeCell="I9" sqref="I9:S9"/>
      <selection pane="bottomLeft" activeCell="F41" sqref="F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135676</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135676</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1765102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1765102</v>
      </c>
      <c r="N23" s="1594">
        <f>SUM(N21:N22)</f>
        <v>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135676</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1765102</v>
      </c>
      <c r="N40" s="1604"/>
    </row>
    <row r="41" spans="1:14" ht="13.5" customHeight="1" thickBot="1" x14ac:dyDescent="0.25">
      <c r="A41" s="1426" t="s">
        <v>650</v>
      </c>
      <c r="B41" s="1405"/>
      <c r="C41" s="1594">
        <f>(SUM(C34,C37,C38,C39))</f>
        <v>135676</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1765102</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I9" sqref="I9:S9"/>
      <selection pane="bottomLeft" activeCell="I9" sqref="I9:S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25516</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678674</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167153</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77730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949073</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949073</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210955</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63641</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999</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689379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964974</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964974</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2" t="s">
        <v>1636</v>
      </c>
      <c r="B20" s="2233"/>
      <c r="C20" s="1622">
        <f>C8-C17</f>
        <v>-15901</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-15901</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151577</v>
      </c>
      <c r="D79" s="1630"/>
      <c r="E79" s="1630"/>
      <c r="F79" s="1630"/>
      <c r="G79" s="1630"/>
      <c r="H79" s="1630"/>
      <c r="I79" s="1630"/>
      <c r="J79" s="1630"/>
      <c r="K79" s="1630"/>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135676</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-15901</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-0.11719832542232966</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75" zoomScaleNormal="100" zoomScaleSheetLayoutView="75" workbookViewId="0">
      <pane ySplit="2" topLeftCell="A39" activePane="bottomLeft" state="frozen"/>
      <selection activeCell="I9" sqref="I9:S9"/>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1086</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1086</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f>1000+5000</f>
        <v>6000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18430</v>
      </c>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24430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25516</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f>28079+67797+401385+9600+11089</f>
        <v>517950</v>
      </c>
      <c r="D111" s="1586"/>
      <c r="E111" s="1640"/>
      <c r="F111" s="1586"/>
      <c r="G111" s="1586"/>
      <c r="H111" s="1640"/>
      <c r="I111" s="1575"/>
      <c r="J111" s="1575"/>
      <c r="K111" s="1575"/>
    </row>
    <row r="112" spans="1:12" ht="12.75" customHeight="1" x14ac:dyDescent="0.2">
      <c r="A112" s="427" t="s">
        <v>819</v>
      </c>
      <c r="B112" s="429">
        <v>2200</v>
      </c>
      <c r="C112" s="1632">
        <f>4000+148219</f>
        <v>152219</v>
      </c>
      <c r="D112" s="1573"/>
      <c r="E112" s="1640"/>
      <c r="F112" s="1573"/>
      <c r="G112" s="1573"/>
      <c r="H112" s="1640"/>
      <c r="I112" s="1575"/>
      <c r="J112" s="1575"/>
      <c r="K112" s="1575"/>
      <c r="L112" s="473"/>
    </row>
    <row r="113" spans="1:11" ht="12.75" customHeight="1" x14ac:dyDescent="0.2">
      <c r="A113" s="427" t="s">
        <v>28</v>
      </c>
      <c r="B113" s="429">
        <v>2300</v>
      </c>
      <c r="C113" s="1632">
        <f>6505+2000</f>
        <v>8505</v>
      </c>
      <c r="D113" s="1573"/>
      <c r="E113" s="1640"/>
      <c r="F113" s="1573"/>
      <c r="G113" s="1573"/>
      <c r="H113" s="1640"/>
      <c r="I113" s="1575"/>
      <c r="J113" s="1575"/>
      <c r="K113" s="1575"/>
    </row>
    <row r="114" spans="1:11" ht="13.5" thickBot="1" x14ac:dyDescent="0.25">
      <c r="A114" s="1411" t="s">
        <v>801</v>
      </c>
      <c r="B114" s="1412" t="s">
        <v>565</v>
      </c>
      <c r="C114" s="1642">
        <f>SUM(C111:C113)</f>
        <v>678674</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f>35373+103078+1805+2302+4595+5232+14768</f>
        <v>167153</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167153</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167153</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167153</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f>73710+4020</f>
        <v>77730</v>
      </c>
      <c r="D220" s="1573"/>
      <c r="E220" s="1575"/>
      <c r="F220" s="1575"/>
      <c r="G220" s="1573"/>
      <c r="H220" s="1575"/>
      <c r="I220" s="1575"/>
      <c r="J220" s="1575"/>
      <c r="K220" s="1575"/>
    </row>
    <row r="221" spans="1:11" ht="12.75" customHeight="1" thickBot="1" x14ac:dyDescent="0.25">
      <c r="A221" s="1415" t="s">
        <v>1076</v>
      </c>
      <c r="B221" s="1416"/>
      <c r="C221" s="1633">
        <f>SUM(C219:C220)</f>
        <v>77730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77730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77730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949073</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3" manualBreakCount="3">
    <brk id="53" max="16383" man="1"/>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5" zoomScaleNormal="85" workbookViewId="0">
      <pane ySplit="2" topLeftCell="A3" activePane="bottomLeft" state="frozen"/>
      <selection activeCell="I9" sqref="I9:S9"/>
      <selection pane="bottomLeft" activeCell="I9" sqref="I9:S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f>6279+943</f>
        <v>7222</v>
      </c>
      <c r="F13" s="1573">
        <f>16661+11462+55+4155+51066+33425+2318+585+3488+3744</f>
        <v>126959</v>
      </c>
      <c r="G13" s="1573">
        <f>25489+4142+30463+16680</f>
        <v>76774</v>
      </c>
      <c r="H13" s="1573"/>
      <c r="I13" s="1574"/>
      <c r="J13" s="1574"/>
      <c r="K13" s="1672">
        <f t="shared" si="0"/>
        <v>210955</v>
      </c>
      <c r="L13" s="1573">
        <v>221042</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7222</v>
      </c>
      <c r="F33" s="1674">
        <f t="shared" si="1"/>
        <v>126959</v>
      </c>
      <c r="G33" s="1674">
        <f t="shared" si="1"/>
        <v>76774</v>
      </c>
      <c r="H33" s="1674">
        <f t="shared" si="1"/>
        <v>0</v>
      </c>
      <c r="I33" s="1674">
        <f t="shared" si="1"/>
        <v>0</v>
      </c>
      <c r="J33" s="1674">
        <f t="shared" si="1"/>
        <v>0</v>
      </c>
      <c r="K33" s="1674">
        <f t="shared" si="1"/>
        <v>210955</v>
      </c>
      <c r="L33" s="1674">
        <f t="shared" si="1"/>
        <v>221042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f>3798+285</f>
        <v>4083</v>
      </c>
      <c r="E37" s="1573">
        <f>1213+70+50+150+350+1196+291+1755+182+216+64+882</f>
        <v>6419</v>
      </c>
      <c r="F37" s="1573">
        <f>55+504+735</f>
        <v>1294</v>
      </c>
      <c r="G37" s="1573"/>
      <c r="H37" s="1573"/>
      <c r="I37" s="1574"/>
      <c r="J37" s="1574"/>
      <c r="K37" s="1672">
        <f t="shared" si="2"/>
        <v>11796</v>
      </c>
      <c r="L37" s="1573">
        <v>13851</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4083</v>
      </c>
      <c r="E42" s="1674">
        <f t="shared" si="3"/>
        <v>6419</v>
      </c>
      <c r="F42" s="1674">
        <f t="shared" si="3"/>
        <v>1294</v>
      </c>
      <c r="G42" s="1674">
        <f t="shared" si="3"/>
        <v>0</v>
      </c>
      <c r="H42" s="1674">
        <f t="shared" si="3"/>
        <v>0</v>
      </c>
      <c r="I42" s="1674">
        <f t="shared" si="3"/>
        <v>0</v>
      </c>
      <c r="J42" s="1674">
        <f t="shared" si="3"/>
        <v>0</v>
      </c>
      <c r="K42" s="1674">
        <f t="shared" si="3"/>
        <v>11796</v>
      </c>
      <c r="L42" s="1674">
        <f t="shared" si="3"/>
        <v>13851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f>694+467+656</f>
        <v>1817</v>
      </c>
      <c r="E44" s="1586">
        <f>3450+50+400+50+692+1229+1200+9518+335+75+17+271+117+689+200+284+252</f>
        <v>18829</v>
      </c>
      <c r="F44" s="1586">
        <f>535+731</f>
        <v>1266</v>
      </c>
      <c r="G44" s="1586"/>
      <c r="H44" s="1586"/>
      <c r="I44" s="1574"/>
      <c r="J44" s="1574"/>
      <c r="K44" s="1678">
        <f>SUM(C44:J44)</f>
        <v>21912</v>
      </c>
      <c r="L44" s="1586">
        <v>23737</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v>11287</v>
      </c>
      <c r="F46" s="1573"/>
      <c r="G46" s="1573"/>
      <c r="H46" s="1573"/>
      <c r="I46" s="1574"/>
      <c r="J46" s="1574"/>
      <c r="K46" s="1678">
        <f>SUM(C46:J46)</f>
        <v>11287</v>
      </c>
      <c r="L46" s="1573">
        <v>10000</v>
      </c>
    </row>
    <row r="47" spans="1:14" ht="12.75" customHeight="1" thickBot="1" x14ac:dyDescent="0.25">
      <c r="A47" s="1380" t="s">
        <v>557</v>
      </c>
      <c r="B47" s="1381" t="s">
        <v>32</v>
      </c>
      <c r="C47" s="1674">
        <f>SUM(C44:C46)</f>
        <v>0</v>
      </c>
      <c r="D47" s="1674">
        <f t="shared" ref="D47:K47" si="4">SUM(D44:D46)</f>
        <v>1817</v>
      </c>
      <c r="E47" s="1674">
        <f t="shared" si="4"/>
        <v>30116</v>
      </c>
      <c r="F47" s="1674">
        <f t="shared" si="4"/>
        <v>1266</v>
      </c>
      <c r="G47" s="1674">
        <f t="shared" si="4"/>
        <v>0</v>
      </c>
      <c r="H47" s="1674">
        <f t="shared" si="4"/>
        <v>0</v>
      </c>
      <c r="I47" s="1674">
        <f t="shared" si="4"/>
        <v>0</v>
      </c>
      <c r="J47" s="1674">
        <f t="shared" si="4"/>
        <v>0</v>
      </c>
      <c r="K47" s="1674">
        <f t="shared" si="4"/>
        <v>33199</v>
      </c>
      <c r="L47" s="1674">
        <f>SUM(L44:L46)</f>
        <v>33737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f>422+457+505</f>
        <v>1384</v>
      </c>
      <c r="E51" s="1573">
        <f>362+97+500+2322+826+4067+137+4+50+1072+968+150+200+300+870+108+450+208+518+190+16+79+1050+522+450</f>
        <v>15516</v>
      </c>
      <c r="F51" s="1573">
        <f>151+74+103+541+29</f>
        <v>898</v>
      </c>
      <c r="G51" s="1573"/>
      <c r="H51" s="1573">
        <v>632</v>
      </c>
      <c r="I51" s="1574"/>
      <c r="J51" s="1574"/>
      <c r="K51" s="1678">
        <f>SUM(C51:J51)</f>
        <v>18430</v>
      </c>
      <c r="L51" s="1573">
        <v>35699</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0</v>
      </c>
      <c r="D53" s="1674">
        <f t="shared" ref="D53:L53" si="5">SUM(D49:D52)</f>
        <v>1384</v>
      </c>
      <c r="E53" s="1674">
        <f t="shared" si="5"/>
        <v>15516</v>
      </c>
      <c r="F53" s="1674">
        <f t="shared" si="5"/>
        <v>898</v>
      </c>
      <c r="G53" s="1674">
        <f t="shared" si="5"/>
        <v>0</v>
      </c>
      <c r="H53" s="1674">
        <f t="shared" si="5"/>
        <v>632</v>
      </c>
      <c r="I53" s="1674">
        <f t="shared" si="5"/>
        <v>0</v>
      </c>
      <c r="J53" s="1674">
        <f t="shared" si="5"/>
        <v>0</v>
      </c>
      <c r="K53" s="1674">
        <f t="shared" si="5"/>
        <v>18430</v>
      </c>
      <c r="L53" s="1674">
        <f t="shared" si="5"/>
        <v>35699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v>-223</v>
      </c>
      <c r="E60" s="1573">
        <v>439</v>
      </c>
      <c r="F60" s="1573"/>
      <c r="G60" s="1573"/>
      <c r="H60" s="1573"/>
      <c r="I60" s="1574"/>
      <c r="J60" s="1574"/>
      <c r="K60" s="1678">
        <f t="shared" si="7"/>
        <v>216</v>
      </c>
      <c r="L60" s="1573">
        <v>900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-223</v>
      </c>
      <c r="E65" s="1674">
        <f t="shared" si="8"/>
        <v>439</v>
      </c>
      <c r="F65" s="1674">
        <f t="shared" si="8"/>
        <v>0</v>
      </c>
      <c r="G65" s="1674">
        <f t="shared" si="8"/>
        <v>0</v>
      </c>
      <c r="H65" s="1674">
        <f t="shared" si="8"/>
        <v>0</v>
      </c>
      <c r="I65" s="1674">
        <f t="shared" si="8"/>
        <v>0</v>
      </c>
      <c r="J65" s="1674">
        <f t="shared" si="8"/>
        <v>0</v>
      </c>
      <c r="K65" s="1674">
        <f t="shared" si="8"/>
        <v>216</v>
      </c>
      <c r="L65" s="1674">
        <f t="shared" si="8"/>
        <v>900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0</v>
      </c>
      <c r="D74" s="1681">
        <f t="shared" ref="D74:K74" si="10">SUM(D42,D47,D53,D57,D65,D72,D73)</f>
        <v>7061</v>
      </c>
      <c r="E74" s="1681">
        <f t="shared" si="10"/>
        <v>52490</v>
      </c>
      <c r="F74" s="1681">
        <f t="shared" si="10"/>
        <v>3458</v>
      </c>
      <c r="G74" s="1681">
        <f t="shared" si="10"/>
        <v>0</v>
      </c>
      <c r="H74" s="1681">
        <f t="shared" si="10"/>
        <v>632</v>
      </c>
      <c r="I74" s="1681">
        <f t="shared" si="10"/>
        <v>0</v>
      </c>
      <c r="J74" s="1681">
        <f t="shared" si="10"/>
        <v>0</v>
      </c>
      <c r="K74" s="1681">
        <f t="shared" si="10"/>
        <v>63641</v>
      </c>
      <c r="L74" s="1681">
        <f>SUM(L42,L47,L53,L57,L65,L72,L73)</f>
        <v>84187</v>
      </c>
    </row>
    <row r="75" spans="1:14" s="254" customFormat="1" ht="15.75" customHeight="1" thickTop="1" thickBot="1" x14ac:dyDescent="0.25">
      <c r="A75" s="1348" t="s">
        <v>47</v>
      </c>
      <c r="B75" s="1349" t="s">
        <v>571</v>
      </c>
      <c r="C75" s="1649"/>
      <c r="D75" s="1649"/>
      <c r="E75" s="1649">
        <v>450</v>
      </c>
      <c r="F75" s="1649">
        <v>380</v>
      </c>
      <c r="G75" s="1649"/>
      <c r="H75" s="1649">
        <v>169</v>
      </c>
      <c r="I75" s="1627"/>
      <c r="J75" s="1627"/>
      <c r="K75" s="1674">
        <f>SUM(C75:J75)</f>
        <v>999</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f>100+4313+2131+127</f>
        <v>6671</v>
      </c>
      <c r="F81" s="1673"/>
      <c r="G81" s="1673"/>
      <c r="H81" s="1573">
        <f>344336+60000+73490+73530+3715+27789+67197+5000+8844+11702+6505+600</f>
        <v>682708</v>
      </c>
      <c r="I81" s="1582"/>
      <c r="J81" s="1582"/>
      <c r="K81" s="1672">
        <f t="shared" si="11"/>
        <v>689379</v>
      </c>
      <c r="L81" s="1573">
        <v>800099</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6671</v>
      </c>
      <c r="F84" s="1673"/>
      <c r="G84" s="1673"/>
      <c r="H84" s="1674">
        <f>SUM(H78:H83)</f>
        <v>682708</v>
      </c>
      <c r="I84" s="1582"/>
      <c r="J84" s="1582"/>
      <c r="K84" s="1674">
        <f>SUM(K78:K83)</f>
        <v>689379</v>
      </c>
      <c r="L84" s="1674">
        <f>SUM(L78:L83)</f>
        <v>800099</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6671</v>
      </c>
      <c r="F102" s="1673"/>
      <c r="G102" s="1673"/>
      <c r="H102" s="1681">
        <f>SUM(H84,H92,H100,H101)</f>
        <v>682708</v>
      </c>
      <c r="I102" s="1582"/>
      <c r="J102" s="1582"/>
      <c r="K102" s="1681">
        <f>SUM(K84,K92,K100,K101)</f>
        <v>689379</v>
      </c>
      <c r="L102" s="1681">
        <f>SUM(L84,L92,L100,L101)</f>
        <v>800099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0</v>
      </c>
      <c r="D114" s="1674">
        <f t="shared" ref="D114:K114" si="13">SUM(D33,D74,D75,D102,D112,D113)</f>
        <v>7061</v>
      </c>
      <c r="E114" s="1674">
        <f t="shared" si="13"/>
        <v>66833</v>
      </c>
      <c r="F114" s="1674">
        <f t="shared" si="13"/>
        <v>130797</v>
      </c>
      <c r="G114" s="1674">
        <f t="shared" si="13"/>
        <v>76774</v>
      </c>
      <c r="H114" s="1674">
        <f>SUM(H33,H74,H75,H102,H112,H113)</f>
        <v>683509</v>
      </c>
      <c r="I114" s="1674">
        <f t="shared" si="13"/>
        <v>0</v>
      </c>
      <c r="J114" s="1674">
        <f t="shared" si="13"/>
        <v>0</v>
      </c>
      <c r="K114" s="1674">
        <f t="shared" si="13"/>
        <v>964974</v>
      </c>
      <c r="L114" s="1674">
        <f>SUM(L33,L74,L75,L102,L112,L113)</f>
        <v>1105328</v>
      </c>
    </row>
    <row r="115" spans="1:14" ht="13.5" thickTop="1" x14ac:dyDescent="0.2">
      <c r="A115" s="2262" t="s">
        <v>989</v>
      </c>
      <c r="B115" s="2263"/>
      <c r="C115" s="1675"/>
      <c r="D115" s="1675"/>
      <c r="E115" s="1675"/>
      <c r="F115" s="1675"/>
      <c r="G115" s="1675"/>
      <c r="H115" s="1675"/>
      <c r="I115" s="1675"/>
      <c r="J115" s="1675"/>
      <c r="K115" s="1689">
        <f>'Revenues 9-14'!C268-'Expenditures 15-22'!K114</f>
        <v>-15901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2" t="s">
        <v>989</v>
      </c>
      <c r="B175" s="2263"/>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2" t="s">
        <v>989</v>
      </c>
      <c r="B211" s="2263"/>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2" t="s">
        <v>989</v>
      </c>
      <c r="B296" s="2263"/>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www.w3.org/XML/1998/namespace"/>
    <ds:schemaRef ds:uri="http://schemas.microsoft.com/sharepoint/v3"/>
    <ds:schemaRef ds:uri="http://purl.org/dc/terms/"/>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6ce3111e-7420-4802-b50a-75d4e9a0b980"/>
    <ds:schemaRef ds:uri="http://purl.org/dc/dcmitype/"/>
    <ds:schemaRef ds:uri="http://purl.org/dc/elements/1.1/"/>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2020-09-17T20:25:32Z</cp:lastPrinted>
  <dcterms:created xsi:type="dcterms:W3CDTF">2003-10-29T19:06:34Z</dcterms:created>
  <dcterms:modified xsi:type="dcterms:W3CDTF">2020-10-15T19:17:08Z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