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EDD2400-33EC-4CA8-8493-DD40629B035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B7047" i="106" l="1"/>
  <c r="D7047" i="106" s="1"/>
  <c r="F69" i="34"/>
  <c r="F52" i="34"/>
  <c r="B7831" i="106" s="1"/>
  <c r="D7831" i="106" s="1"/>
  <c r="G35" i="108"/>
  <c r="B2805" i="106"/>
  <c r="D2805" i="106" s="1"/>
  <c r="D14" i="4"/>
  <c r="B2570" i="106" s="1"/>
  <c r="D2570" i="106" s="1"/>
  <c r="H28" i="118"/>
  <c r="B2724" i="106"/>
  <c r="D2724" i="106" s="1"/>
  <c r="F50" i="34"/>
  <c r="F42" i="34"/>
  <c r="H365" i="29"/>
  <c r="B7242" i="106" s="1"/>
  <c r="D7242" i="106" s="1"/>
  <c r="D36"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031" i="106" l="1"/>
  <c r="D2031"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D20" i="4"/>
  <c r="B2574" i="106" s="1"/>
  <c r="D2574" i="106" s="1"/>
  <c r="F14" i="34"/>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78" i="34"/>
  <c r="B7822" i="106"/>
  <c r="F78" i="4"/>
  <c r="B2601" i="106"/>
  <c r="D2601" i="106" s="1"/>
  <c r="B7631" i="106"/>
  <c r="F177" i="34"/>
  <c r="A7262" i="106"/>
  <c r="D7261" i="106"/>
  <c r="G78" i="4"/>
  <c r="B2613" i="106"/>
  <c r="D2613" i="106" s="1"/>
  <c r="F9" i="146"/>
  <c r="B2636" i="106"/>
  <c r="D2636" i="106" s="1"/>
  <c r="D81" i="4" l="1"/>
  <c r="D82" i="4" s="1"/>
  <c r="F176" i="34"/>
  <c r="B7878" i="106" s="1"/>
  <c r="D7878" i="106" s="1"/>
  <c r="B7835" i="106"/>
  <c r="D7835" i="106" s="1"/>
  <c r="A7263" i="106"/>
  <c r="D7262" i="106"/>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B3411" i="106"/>
  <c r="D3411" i="106" s="1"/>
  <c r="H24" i="118"/>
  <c r="K24" i="118" s="1"/>
  <c r="O23" i="118" s="1"/>
  <c r="O25" i="118" s="1"/>
  <c r="D36" i="36"/>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B3300" i="106" l="1"/>
  <c r="D3300" i="106" s="1"/>
  <c r="H81" i="4"/>
  <c r="B3277" i="106"/>
  <c r="D3277" i="106" s="1"/>
  <c r="E78" i="4"/>
  <c r="B3588" i="106"/>
  <c r="D3588" i="106" s="1"/>
  <c r="K81" i="4"/>
  <c r="B3320" i="106"/>
  <c r="D3320" i="106" s="1"/>
  <c r="I81" i="4"/>
  <c r="J83" i="4"/>
  <c r="B6283" i="106" s="1"/>
  <c r="D6283" i="106" s="1"/>
  <c r="B6274" i="106"/>
  <c r="D6274" i="106" s="1"/>
  <c r="B140" i="106" l="1"/>
  <c r="D140" i="106" s="1"/>
  <c r="E41" i="3"/>
  <c r="B3278" i="106"/>
  <c r="D3278" i="106" s="1"/>
  <c r="E81" i="4"/>
  <c r="B1700" i="106"/>
  <c r="D1700" i="106" s="1"/>
  <c r="H82" i="4"/>
  <c r="K82" i="4"/>
  <c r="B3591" i="106"/>
  <c r="D3591" i="106" s="1"/>
  <c r="B2912" i="106"/>
  <c r="D2912" i="106" s="1"/>
  <c r="I41" i="3"/>
  <c r="D63" i="36"/>
  <c r="I82" i="4"/>
  <c r="E11" i="146"/>
  <c r="B3323" i="106"/>
  <c r="D3323" i="106" s="1"/>
  <c r="B141" i="106" l="1"/>
  <c r="D141" i="106" s="1"/>
  <c r="D46" i="36"/>
  <c r="H83" i="4"/>
  <c r="B6281" i="106" s="1"/>
  <c r="D6281" i="106" s="1"/>
  <c r="B6272" i="106"/>
  <c r="D6272" i="106" s="1"/>
  <c r="B1658" i="106"/>
  <c r="D1658" i="106" s="1"/>
  <c r="E82" i="4"/>
  <c r="D59" i="36"/>
  <c r="B6275" i="106"/>
  <c r="D6275" i="106" s="1"/>
  <c r="K83" i="4"/>
  <c r="B6284" i="106" s="1"/>
  <c r="D6284" i="106" s="1"/>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C67" i="5" l="1"/>
  <c r="B5088" i="106"/>
  <c r="D5088" i="106" s="1"/>
  <c r="B5090" i="106" l="1"/>
  <c r="D5090" i="106" s="1"/>
  <c r="C109" i="5"/>
  <c r="B5121" i="106" l="1"/>
  <c r="D5121" i="106" s="1"/>
  <c r="C4" i="4"/>
  <c r="C268" i="5"/>
  <c r="K115" i="29" l="1"/>
  <c r="B1153" i="106" s="1"/>
  <c r="D1153" i="106" s="1"/>
  <c r="B5327" i="106"/>
  <c r="D5327" i="106" s="1"/>
  <c r="B2551" i="106"/>
  <c r="D2551" i="106" s="1"/>
  <c r="C8" i="4"/>
  <c r="H13" i="118" l="1"/>
  <c r="H18" i="118"/>
  <c r="K17" i="118" s="1"/>
  <c r="C10" i="4"/>
  <c r="B4122" i="106" s="1"/>
  <c r="D4122" i="106" s="1"/>
  <c r="B8" i="146"/>
  <c r="D16" i="37"/>
  <c r="H16" i="37" s="1"/>
  <c r="B2555" i="106"/>
  <c r="D2555" i="106" s="1"/>
  <c r="C20" i="4"/>
  <c r="C78" i="4" l="1"/>
  <c r="B2562" i="106"/>
  <c r="D2562" i="106" s="1"/>
  <c r="B10" i="146"/>
  <c r="F8" i="146"/>
  <c r="F10" i="146" s="1"/>
  <c r="O16" i="118"/>
  <c r="B3233" i="106" l="1"/>
  <c r="D3233" i="106" s="1"/>
  <c r="C81" i="4"/>
  <c r="B11" i="146" l="1"/>
  <c r="F11" i="146" s="1"/>
  <c r="B1630" i="106"/>
  <c r="D1630" i="106" s="1"/>
  <c r="C82" i="4"/>
  <c r="H12" i="118"/>
  <c r="K12" i="118" s="1"/>
  <c r="J16" i="37"/>
  <c r="B4269" i="106" s="1"/>
  <c r="D4269" i="106" s="1"/>
  <c r="C41" i="3"/>
  <c r="D76" i="36"/>
  <c r="D57" i="36"/>
  <c r="B92" i="106"/>
  <c r="D92" i="106" s="1"/>
  <c r="O11" i="118" l="1"/>
  <c r="O13" i="118" s="1"/>
  <c r="J20" i="118"/>
  <c r="B6267" i="106"/>
  <c r="D6267" i="106" s="1"/>
  <c r="C83" i="4"/>
  <c r="B6276" i="106" s="1"/>
  <c r="D6276" i="106" s="1"/>
  <c r="B93" i="106"/>
  <c r="D93" i="106" s="1"/>
  <c r="D44" i="36"/>
  <c r="D29" i="36"/>
  <c r="C12" i="146"/>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<sst xmlns="http://schemas.openxmlformats.org/spreadsheetml/2006/main" count="5146" uniqueCount="2079">
  <si>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</si>
  <si>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</si>
  <si>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</si>
  <si>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</si>
  <si>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</si>
  <si>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</si>
  <si>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</si>
  <si>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</si>
  <si>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</si>
  <si>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</si>
  <si>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</si>
  <si>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</si>
  <si>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</si>
  <si>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</si>
  <si>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</si>
  <si>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</si>
  <si>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</si>
  <si>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</si>
  <si>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</si>
  <si>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</si>
  <si>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</si>
  <si>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</si>
  <si>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</si>
  <si>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</si>
  <si>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</si>
  <si>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</si>
  <si>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</si>
  <si>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</si>
  <si>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</si>
  <si>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</si>
  <si>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</si>
  <si>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</si>
  <si>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</si>
  <si>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</si>
  <si>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</si>
  <si>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</si>
  <si>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</si>
  <si>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</si>
  <si>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</si>
  <si>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</si>
  <si>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</si>
  <si>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</si>
  <si>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</si>
  <si>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</si>
  <si>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</si>
  <si>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</si>
  <si>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</si>
  <si>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</si>
  <si>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</si>
  <si>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</si>
  <si>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</si>
  <si>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</si>
  <si>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</si>
  <si>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</si>
  <si>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</si>
  <si>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</si>
  <si>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</si>
  <si>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</si>
  <si>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</si>
  <si>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</si>
  <si>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</si>
  <si>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</si>
  <si>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</si>
  <si>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</si>
  <si>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</si>
  <si>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</si>
  <si>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</si>
  <si>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</si>
  <si>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</si>
  <si>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</si>
  <si>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</si>
  <si>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</si>
  <si>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</si>
  <si>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</si>
  <si>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</si>
  <si>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</si>
  <si>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</si>
  <si>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</si>
  <si>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</si>
  <si>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</si>
  <si>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</si>
  <si>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</si>
  <si>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</si>
  <si>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</si>
  <si>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</si>
  <si>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</si>
  <si>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</si>
  <si>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</si>
  <si>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</si>
  <si>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</si>
  <si>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</si>
  <si>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</si>
  <si>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</si>
  <si>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</si>
  <si>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</si>
  <si>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</si>
  <si>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</si>
  <si>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</si>
  <si>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</si>
  <si>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</si>
  <si>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</si>
  <si>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</si>
  <si>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</si>
  <si>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</si>
  <si>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</si>
  <si>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</si>
  <si>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</si>
  <si>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</si>
  <si>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</si>
  <si>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</si>
  <si>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</si>
  <si>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</si>
  <si>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</si>
  <si>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</si>
  <si>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</si>
  <si>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</si>
  <si>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</si>
  <si>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</si>
  <si>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</si>
  <si>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</si>
  <si>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</si>
  <si>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</si>
  <si>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</si>
  <si>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</si>
  <si>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</si>
  <si>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</si>
  <si>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</si>
  <si>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</si>
  <si>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</si>
  <si>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</si>
  <si>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</si>
  <si>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</si>
  <si>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</si>
  <si>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</si>
  <si>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</si>
  <si>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</si>
  <si>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</si>
  <si>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</si>
  <si>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</si>
  <si>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</si>
  <si>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</si>
  <si>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</si>
  <si>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</si>
  <si>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</si>
  <si>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</si>
  <si>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</si>
  <si>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</si>
  <si>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</si>
  <si>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</si>
  <si>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</si>
  <si>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</si>
  <si>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</si>
  <si>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</si>
  <si>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</si>
  <si>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</si>
  <si>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</si>
  <si>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</si>
  <si>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</si>
  <si>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</si>
  <si>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</si>
  <si>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</si>
  <si>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</si>
  <si>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</si>
  <si>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</si>
  <si>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</si>
  <si>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</si>
  <si>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</si>
  <si>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</si>
  <si>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</si>
  <si>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</si>
  <si>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</si>
  <si>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</si>
  <si>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</si>
  <si>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</si>
  <si>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</si>
  <si>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</si>
  <si>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</si>
  <si>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</si>
  <si>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</si>
  <si>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</si>
  <si>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</si>
  <si>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</si>
  <si>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</si>
  <si>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</si>
  <si>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</si>
  <si>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</si>
  <si>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</si>
  <si>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</si>
  <si>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</si>
  <si>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</si>
  <si>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</si>
  <si>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</si>
  <si>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</si>
  <si>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</si>
  <si>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</si>
  <si>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</si>
  <si>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</si>
  <si>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</si>
  <si>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</si>
  <si>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</si>
  <si>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</si>
  <si>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</si>
  <si>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</si>
  <si>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</si>
  <si>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</si>
  <si>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</si>
  <si>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</si>
  <si>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</si>
  <si>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</si>
  <si>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</si>
  <si>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</si>
  <si>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</si>
  <si>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</si>
  <si>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</si>
  <si>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</si>
  <si>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</si>
  <si>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</si>
  <si>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</si>
  <si>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</si>
  <si>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</si>
  <si>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</si>
  <si>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</si>
  <si>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</si>
  <si>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</si>
  <si>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</si>
  <si>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</si>
  <si>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</si>
  <si>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</si>
  <si>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</si>
  <si>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</si>
  <si>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</si>
  <si>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</si>
  <si>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</si>
  <si>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</si>
  <si>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</si>
  <si>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</si>
  <si>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</si>
  <si>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</si>
  <si>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</si>
  <si>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</si>
  <si>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</si>
  <si>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</si>
  <si>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</si>
  <si>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</si>
  <si>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</si>
  <si>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</si>
  <si>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</si>
  <si>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</si>
  <si>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</si>
  <si>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</si>
  <si>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</si>
  <si>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</si>
  <si>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</si>
  <si>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</si>
  <si>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</si>
  <si>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</si>
  <si>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</si>
  <si>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</si>
  <si>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</si>
  <si>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</si>
  <si>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</si>
  <si>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</si>
  <si>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</si>
  <si>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</si>
  <si>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</si>
  <si>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</si>
  <si>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</si>
  <si>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</si>
  <si>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</si>
  <si>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</si>
  <si>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</si>
  <si>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</si>
  <si>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</si>
  <si>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</si>
  <si>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</si>
  <si>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</si>
  <si>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</si>
  <si>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</si>
  <si>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</si>
  <si>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</si>
  <si>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</si>
  <si>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</si>
  <si>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</si>
  <si>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</si>
  <si>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</si>
  <si>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</si>
  <si>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</si>
  <si>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</si>
  <si>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</si>
  <si>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</si>
  <si>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</si>
  <si>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</si>
  <si>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</si>
  <si>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</si>
  <si>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</si>
  <si>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</si>
  <si>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</si>
  <si>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</si>
  <si>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</si>
  <si>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</si>
  <si>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</si>
  <si>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</si>
  <si>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</si>
  <si>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</si>
  <si>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</si>
  <si>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</si>
  <si>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</si>
  <si>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</si>
  <si>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</si>
  <si>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</si>
  <si>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</si>
  <si>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</si>
  <si>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</si>
  <si>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</si>
  <si>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</si>
  <si>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</si>
  <si>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</si>
  <si>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</si>
  <si>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</si>
  <si>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</si>
  <si>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</si>
  <si>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</si>
  <si>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</si>
  <si>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</si>
  <si>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</si>
  <si>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</si>
  <si>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</si>
  <si>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</si>
  <si>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</si>
  <si>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</si>
  <si>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</si>
  <si>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</si>
  <si>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</si>
  <si>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</si>
  <si>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</si>
  <si>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</si>
  <si>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</si>
  <si>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</si>
  <si>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</si>
  <si>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</si>
  <si>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</si>
  <si>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</si>
  <si>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</si>
  <si>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</si>
  <si>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</si>
  <si>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</si>
  <si>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</si>
  <si>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</si>
  <si>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</si>
  <si>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</si>
  <si>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</si>
  <si>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</si>
  <si>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</si>
  <si>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</si>
  <si>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</si>
  <si>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</si>
  <si>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</si>
  <si>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</si>
  <si>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</si>
  <si>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</si>
  <si>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</si>
  <si>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</si>
  <si>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</si>
  <si>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</si>
  <si>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</si>
  <si>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</si>
  <si>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</si>
  <si>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</si>
  <si>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</si>
  <si>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</si>
  <si>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</si>
  <si>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</si>
  <si>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</si>
  <si>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</si>
  <si>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</si>
  <si>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</si>
  <si>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</si>
  <si>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</si>
  <si>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</si>
  <si>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</si>
  <si>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</si>
  <si>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</si>
  <si>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</si>
  <si>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</si>
  <si>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</si>
  <si>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</si>
  <si>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</si>
  <si>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</si>
  <si>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</si>
  <si>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</si>
  <si>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</si>
  <si>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</si>
  <si>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</si>
  <si>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</si>
  <si>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</si>
  <si>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</si>
  <si>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</si>
  <si>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</si>
  <si>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</si>
  <si>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</si>
  <si>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</si>
  <si>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</si>
  <si>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</si>
  <si>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</si>
  <si>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</si>
  <si>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</si>
  <si>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</si>
  <si>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</si>
  <si>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</si>
  <si>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</si>
  <si>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</si>
  <si>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</si>
  <si>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</si>
  <si>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</si>
  <si>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</si>
  <si>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</si>
  <si>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</si>
  <si>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</si>
  <si>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</si>
  <si>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</si>
  <si>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</si>
  <si>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</si>
  <si>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</si>
  <si>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</si>
  <si>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</si>
  <si>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</si>
  <si>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</si>
  <si>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</si>
  <si>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</si>
  <si>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</si>
  <si>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</si>
  <si>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</si>
  <si>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</si>
  <si>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</si>
  <si>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</si>
  <si>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</si>
  <si>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</si>
  <si>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</si>
  <si>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</si>
  <si>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</si>
  <si>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</si>
  <si>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</si>
  <si>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</si>
  <si>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</si>
  <si>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</si>
  <si>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</si>
  <si>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</si>
  <si>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</si>
  <si>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</si>
  <si>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</si>
  <si>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</si>
  <si>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</si>
  <si>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</si>
  <si>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</si>
  <si>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</si>
  <si>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</si>
  <si>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</si>
  <si>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</si>
  <si>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</si>
  <si>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</si>
  <si>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</si>
  <si>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</si>
  <si>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</si>
  <si>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</si>
  <si>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</si>
  <si>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</si>
  <si>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</si>
  <si>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</si>
  <si>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</si>
  <si>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</si>
  <si>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</si>
  <si>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</si>
  <si>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</si>
  <si>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</si>
  <si>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</si>
  <si>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</si>
  <si>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</si>
  <si>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</si>
  <si>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</si>
  <si>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</si>
  <si>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</si>
  <si>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</si>
  <si>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</si>
  <si>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</si>
  <si>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</si>
  <si>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</si>
  <si>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</si>
  <si>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</si>
  <si>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</si>
  <si>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</si>
  <si>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</si>
  <si>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</si>
  <si>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</si>
  <si>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</si>
  <si>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</si>
  <si>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</si>
  <si>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</si>
  <si>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</si>
  <si>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</si>
  <si>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</si>
  <si>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</si>
  <si>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</si>
  <si>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</si>
  <si>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</si>
  <si>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</si>
  <si>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</si>
  <si>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</si>
  <si>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</si>
  <si>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</si>
  <si>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</si>
  <si>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</si>
  <si>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</si>
  <si>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</si>
  <si>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</si>
  <si>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</si>
  <si>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</si>
  <si>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</si>
  <si>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</si>
  <si>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</si>
  <si>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</si>
  <si>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</si>
  <si>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</si>
  <si>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</si>
  <si>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</si>
  <si>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</si>
  <si>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</si>
  <si>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</si>
  <si>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</si>
  <si>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</si>
  <si>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</si>
  <si>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</si>
  <si>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</si>
  <si>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</si>
  <si>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</si>
  <si>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</si>
  <si>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</si>
  <si>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</si>
  <si>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</si>
  <si>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</si>
  <si>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</si>
  <si>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</si>
  <si>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</si>
  <si>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</si>
  <si>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</si>
  <si>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</si>
  <si>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</si>
  <si>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</si>
  <si>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</si>
  <si>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</si>
  <si>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</si>
  <si>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</si>
  <si>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</si>
  <si>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</si>
  <si>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</si>
  <si>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</si>
  <si>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</si>
  <si>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</si>
  <si>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</si>
  <si>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</si>
  <si>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</si>
  <si>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</si>
  <si>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</si>
  <si>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</si>
  <si>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</si>
  <si>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</si>
  <si>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</si>
  <si>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</si>
  <si>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</si>
  <si>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</si>
  <si>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</si>
  <si>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</si>
  <si>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</si>
  <si>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</si>
  <si>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</si>
  <si>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</si>
  <si>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</si>
  <si>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</si>
  <si>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</si>
  <si>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</si>
  <si>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</si>
  <si>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</si>
  <si>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</si>
  <si>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</si>
  <si>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</si>
  <si>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</si>
  <si>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</si>
  <si>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</si>
  <si>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</si>
  <si>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</si>
  <si>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</si>
  <si>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</si>
  <si>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</si>
  <si>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</si>
  <si>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</si>
  <si>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</si>
  <si>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</si>
  <si>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</si>
  <si>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</si>
  <si>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</si>
  <si>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</si>
  <si>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</si>
  <si>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</si>
  <si>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</si>
  <si>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</si>
  <si>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</si>
  <si>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</si>
  <si>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</si>
  <si>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</si>
  <si>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</si>
  <si>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</si>
  <si>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</si>
  <si>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</si>
  <si>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</si>
  <si>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</si>
  <si>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</si>
  <si>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</si>
  <si>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</si>
  <si>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</si>
  <si>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</si>
  <si>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</si>
  <si>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</si>
  <si>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</si>
  <si>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</si>
  <si>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</si>
  <si>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</si>
  <si>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</si>
  <si>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</si>
  <si>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</si>
  <si>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</si>
  <si>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</si>
  <si>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</si>
  <si>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</si>
  <si>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</si>
  <si>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</si>
  <si>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</si>
  <si>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</si>
  <si>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</si>
  <si>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</si>
  <si>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</si>
  <si>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</si>
  <si>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</si>
  <si>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</si>
  <si>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</si>
  <si>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</si>
  <si>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</si>
  <si>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</si>
  <si>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</si>
  <si>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</si>
  <si>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</si>
  <si>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</si>
  <si>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</si>
  <si>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</si>
  <si>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</si>
  <si>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</si>
  <si>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</si>
  <si>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</si>
  <si>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</si>
  <si>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</si>
  <si>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</si>
  <si>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</si>
  <si>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</si>
  <si>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</si>
  <si>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</si>
  <si>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</si>
  <si>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</si>
  <si>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</si>
  <si>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</si>
  <si>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</si>
  <si>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</si>
  <si>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</si>
  <si>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</si>
  <si>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</si>
  <si>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</si>
  <si>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</si>
  <si>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</si>
  <si>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</si>
  <si>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</si>
  <si>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</si>
  <si>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</si>
  <si>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</si>
  <si>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</si>
  <si>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</si>
  <si>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</si>
  <si>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</si>
  <si>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</si>
  <si>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</si>
  <si>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</si>
  <si>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</si>
  <si>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</si>
  <si>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</si>
  <si>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</si>
  <si>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</si>
  <si>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</si>
  <si>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</si>
  <si>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</si>
  <si>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</si>
  <si>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</si>
  <si>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</si>
  <si>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</si>
  <si>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</si>
  <si>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</si>
  <si>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</si>
  <si>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</si>
  <si>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</si>
  <si>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</si>
  <si>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</si>
  <si>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</si>
  <si>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</si>
  <si>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</si>
  <si>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</si>
  <si>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</si>
  <si>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</si>
  <si>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</si>
  <si>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</si>
  <si>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</si>
  <si>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</si>
  <si>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</si>
  <si>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</si>
  <si>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</si>
  <si>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</si>
  <si>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</si>
  <si>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</si>
  <si>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</si>
  <si>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</si>
  <si>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</si>
  <si>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</si>
  <si>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</si>
  <si>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</si>
  <si>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</si>
  <si>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</si>
  <si>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</si>
  <si>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</si>
  <si>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</si>
  <si>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</si>
  <si>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</si>
  <si>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</si>
  <si>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</si>
  <si>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</si>
  <si>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</si>
  <si>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</si>
  <si>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</si>
  <si>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</si>
  <si>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</si>
  <si>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</si>
  <si>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</si>
  <si>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</si>
  <si>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</si>
  <si>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</si>
  <si>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</si>
  <si>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</si>
  <si>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</si>
  <si>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</si>
  <si>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</si>
  <si>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</si>
  <si>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</si>
  <si>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</si>
  <si>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</si>
  <si>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</si>
  <si>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</si>
  <si>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</si>
  <si>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</si>
  <si>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</si>
  <si>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</si>
  <si>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</si>
  <si>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</si>
  <si>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</si>
  <si>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</si>
  <si>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</si>
  <si>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</si>
  <si>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</si>
  <si>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</si>
  <si>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</si>
  <si>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</si>
  <si>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</si>
  <si>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</si>
  <si>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</si>
  <si>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</si>
  <si>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</si>
  <si>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</si>
  <si>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</si>
  <si>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</si>
  <si>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</si>
  <si>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</si>
  <si>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</si>
  <si>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</si>
  <si>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</si>
  <si>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</si>
  <si>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</si>
  <si>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</si>
  <si>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</si>
  <si>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</si>
  <si>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</si>
  <si>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</si>
  <si>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</si>
  <si>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</si>
  <si>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</si>
  <si>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</si>
  <si>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</si>
  <si>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</si>
  <si>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</si>
  <si>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</si>
  <si>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</si>
  <si>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</si>
  <si>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</si>
  <si>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</si>
  <si>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</si>
  <si>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</si>
  <si>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</si>
  <si>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</si>
  <si>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</si>
  <si>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</si>
  <si>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</si>
  <si>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</si>
  <si>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</si>
  <si>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</si>
  <si>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</si>
  <si>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</si>
  <si>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</si>
  <si>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</si>
  <si>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</si>
  <si>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</si>
  <si>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</si>
  <si>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</si>
  <si>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</si>
  <si>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</si>
  <si>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</si>
  <si>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</si>
  <si>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</si>
  <si>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</si>
  <si>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</si>
  <si>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</si>
  <si>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</si>
  <si>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</si>
  <si>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</si>
  <si>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</si>
  <si>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</si>
  <si>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</si>
  <si>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</si>
  <si>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</si>
  <si>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</si>
  <si>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</si>
  <si>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</si>
  <si>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</si>
  <si>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</si>
  <si>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</si>
  <si>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</si>
  <si>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</si>
  <si>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</si>
  <si>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</si>
  <si>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</si>
  <si>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</si>
  <si>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</si>
  <si>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</si>
  <si>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</si>
  <si>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</si>
  <si>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</si>
  <si>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</si>
  <si>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</si>
  <si>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</si>
  <si>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</si>
  <si>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</si>
  <si>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</si>
  <si>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</si>
  <si>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</si>
  <si>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</si>
  <si>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</si>
  <si>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</si>
  <si>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</si>
  <si>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</si>
  <si>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</si>
  <si>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</si>
  <si>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</si>
  <si>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</si>
  <si>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</si>
  <si>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</si>
  <si>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</si>
  <si>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</si>
  <si>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</si>
  <si>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</si>
  <si>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</si>
  <si>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</si>
  <si>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</si>
  <si>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</si>
  <si>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</si>
  <si>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</si>
  <si>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</si>
  <si>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</si>
  <si>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</si>
  <si>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</si>
  <si>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</si>
  <si>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</si>
  <si>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</si>
  <si>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</si>
  <si>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</si>
  <si>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</si>
  <si>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</si>
  <si>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</si>
  <si>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</si>
  <si>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</si>
  <si>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</si>
  <si>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</si>
  <si>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</si>
  <si>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</si>
  <si>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</si>
  <si>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</si>
  <si>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</si>
  <si>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</si>
  <si>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</si>
  <si>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</si>
  <si>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</si>
  <si>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</si>
  <si>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</si>
  <si>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</si>
  <si>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</si>
  <si>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</si>
  <si>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</si>
  <si>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</si>
  <si>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</si>
  <si>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</si>
  <si>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</si>
  <si>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</si>
  <si>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</si>
  <si>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</si>
  <si>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</si>
  <si>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</si>
  <si>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</si>
  <si>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</si>
  <si>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</si>
  <si>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</si>
  <si>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</si>
  <si>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</si>
  <si>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</si>
  <si>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</si>
  <si>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</si>
  <si>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</si>
  <si>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</si>
  <si>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</si>
  <si>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</si>
  <si>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</si>
  <si>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</si>
  <si>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</si>
  <si>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</si>
  <si>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</si>
  <si>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</si>
  <si>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</si>
  <si>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</si>
  <si>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</si>
  <si>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</si>
  <si>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</si>
  <si>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</si>
  <si>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</si>
  <si>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</si>
  <si>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</si>
  <si>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</si>
  <si>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</si>
  <si>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</si>
  <si>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</si>
  <si>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</si>
  <si>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</si>
  <si>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</si>
  <si>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</si>
  <si>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</si>
  <si>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</si>
  <si>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</si>
  <si>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</si>
  <si>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</si>
  <si>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</si>
  <si>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</si>
  <si>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</si>
  <si>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</si>
  <si>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</si>
  <si>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</si>
  <si>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</si>
  <si>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</si>
  <si>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</si>
  <si>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</si>
  <si>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</si>
  <si>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</si>
  <si>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</si>
  <si>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</si>
  <si>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</si>
  <si>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</si>
  <si>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</si>
  <si>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</si>
  <si>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</si>
  <si>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</si>
  <si>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</si>
  <si>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</si>
  <si>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</si>
  <si>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</si>
  <si>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</si>
  <si>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</si>
  <si>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</si>
  <si>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</si>
  <si>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</si>
  <si>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</si>
  <si>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</si>
  <si>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</si>
  <si>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</si>
  <si>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</si>
  <si>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</si>
  <si>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</si>
  <si>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</si>
  <si>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</si>
  <si>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</si>
  <si>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</si>
  <si>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</si>
  <si>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</si>
  <si>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</si>
  <si>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</si>
  <si>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</si>
  <si>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</si>
  <si>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</si>
  <si>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</si>
  <si>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</si>
  <si>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</si>
  <si>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</si>
  <si>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</si>
  <si>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</si>
  <si>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</si>
  <si>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</si>
  <si>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</si>
  <si>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</si>
  <si>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</si>
  <si>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</si>
  <si>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</si>
  <si>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</si>
  <si>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</si>
  <si>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</si>
  <si>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</si>
  <si>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</si>
  <si>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</si>
  <si>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</si>
  <si>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</si>
  <si>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</si>
  <si>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</si>
  <si>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</si>
  <si>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</si>
  <si>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</si>
  <si>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</si>
  <si>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</si>
  <si>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</si>
  <si>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</si>
  <si>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</si>
  <si>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</si>
  <si>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</si>
  <si>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</si>
  <si>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</si>
  <si>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</si>
  <si>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</si>
  <si>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</si>
  <si>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</si>
  <si>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</si>
  <si>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</si>
  <si>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</si>
  <si>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</si>
  <si>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</si>
  <si>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</si>
  <si>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</si>
  <si>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</si>
  <si>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</si>
  <si>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</si>
  <si>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</si>
  <si>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</si>
  <si>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</si>
  <si>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</si>
  <si>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</si>
  <si>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</si>
  <si>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</si>
  <si>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</si>
  <si>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</si>
  <si>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</si>
  <si>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</si>
  <si>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</si>
  <si>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</si>
  <si>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</si>
  <si>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</si>
  <si>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</si>
  <si>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</si>
  <si>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</si>
  <si>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</si>
  <si>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</si>
  <si>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</si>
  <si>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</si>
  <si>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</si>
  <si>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</si>
  <si>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</si>
  <si>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</si>
  <si>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</si>
  <si>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</si>
  <si>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</si>
  <si>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</si>
  <si>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</si>
  <si>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</si>
  <si>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</si>
  <si>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</si>
  <si>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</si>
  <si>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</si>
  <si>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</si>
  <si>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</si>
  <si>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</si>
  <si>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</si>
  <si>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</si>
  <si>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</si>
  <si>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</si>
  <si>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</si>
  <si>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</si>
  <si>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</si>
  <si>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</si>
  <si>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</si>
  <si>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</si>
  <si>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</si>
  <si>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</si>
  <si>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</si>
  <si>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</si>
  <si>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</si>
  <si>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</si>
  <si>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</si>
  <si>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</si>
  <si>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</si>
  <si>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</si>
  <si>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</si>
  <si>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</si>
  <si>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</si>
  <si>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</si>
  <si>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</si>
  <si>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</si>
  <si>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</si>
  <si>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</si>
  <si>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</si>
  <si>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</si>
  <si>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</si>
  <si>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</si>
  <si>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</si>
  <si>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</si>
  <si>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</si>
  <si>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</si>
  <si>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</si>
  <si>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</si>
  <si>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</si>
  <si>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</si>
  <si>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</si>
  <si>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</si>
  <si>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</si>
  <si>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</si>
  <si>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</si>
  <si>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</si>
  <si>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</si>
  <si>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</si>
  <si>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</si>
  <si>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</si>
  <si>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</si>
  <si>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</si>
  <si>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</si>
  <si>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</si>
  <si>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</si>
  <si>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</si>
  <si>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</si>
  <si>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</si>
  <si>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</si>
  <si>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</si>
  <si>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</si>
  <si>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</si>
  <si>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</si>
  <si>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</si>
  <si>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</si>
  <si>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</si>
  <si>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</si>
  <si>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</si>
  <si>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</si>
  <si>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</si>
  <si>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</si>
  <si>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</si>
  <si>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</si>
  <si>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</si>
  <si>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</si>
  <si>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</si>
  <si>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</si>
  <si>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</si>
  <si>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</si>
  <si>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</si>
  <si>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</si>
  <si>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</si>
  <si>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</si>
  <si>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</si>
  <si>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</si>
  <si>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</si>
  <si>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</si>
  <si>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</si>
  <si>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</si>
  <si>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</si>
  <si>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</si>
  <si>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</si>
  <si>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</si>
  <si>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</si>
  <si>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</si>
  <si>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</si>
  <si>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</si>
  <si>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</si>
  <si>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</si>
  <si>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</si>
  <si>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</si>
  <si>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</si>
  <si>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</si>
  <si>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</si>
  <si>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</si>
  <si>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</si>
  <si>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</si>
  <si>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</si>
  <si>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</si>
  <si>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</si>
  <si>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</si>
  <si>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</si>
  <si>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</si>
  <si>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</si>
  <si>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</si>
  <si>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</si>
  <si>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</si>
  <si>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</si>
  <si>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</si>
  <si>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</si>
  <si>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</si>
  <si>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</si>
  <si>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</si>
  <si>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</si>
  <si>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</si>
  <si>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</si>
  <si>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</si>
  <si>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</si>
  <si>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</si>
  <si>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</si>
  <si>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</si>
  <si>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</si>
  <si>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</si>
  <si>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</si>
  <si>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</si>
  <si>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</si>
  <si>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</si>
  <si>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</si>
  <si>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</si>
  <si>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</si>
  <si>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</si>
  <si>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</si>
  <si>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</si>
  <si>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</si>
  <si>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</si>
  <si>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</si>
  <si>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</si>
  <si>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</si>
  <si>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</si>
  <si>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</si>
  <si>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</si>
  <si>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</si>
  <si>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</si>
  <si>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</si>
  <si>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</si>
  <si>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</si>
  <si>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</si>
  <si>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</si>
  <si>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</si>
  <si>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</si>
  <si>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</si>
  <si>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</si>
  <si>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</si>
  <si>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</si>
  <si>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</si>
  <si>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</si>
  <si>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</si>
  <si>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</si>
  <si>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</si>
  <si>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</si>
  <si>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</si>
  <si>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</si>
  <si>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</si>
  <si>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</si>
  <si>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</si>
  <si>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</si>
  <si>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</si>
  <si>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</si>
  <si>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</si>
  <si>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</si>
  <si>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</si>
  <si>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</si>
  <si>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</si>
  <si>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</si>
  <si>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</si>
  <si>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</si>
  <si>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</si>
  <si>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</si>
  <si>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</si>
  <si>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</si>
  <si>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</si>
  <si>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</si>
  <si>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</si>
  <si>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</si>
  <si>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</si>
  <si>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</si>
  <si>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</si>
  <si>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</si>
  <si>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</si>
  <si>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</si>
  <si>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</si>
  <si>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</si>
  <si>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</si>
  <si>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</si>
  <si>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</si>
  <si>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</si>
  <si>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</si>
  <si>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</si>
  <si>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</si>
  <si>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</si>
  <si>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</si>
  <si>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</si>
  <si>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</si>
  <si>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</si>
  <si>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</si>
  <si>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</si>
  <si>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</si>
  <si>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</si>
  <si>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</si>
  <si>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</si>
  <si>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</si>
  <si>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</si>
  <si>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</si>
  <si>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</si>
  <si>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</si>
  <si>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</si>
  <si>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</si>
  <si>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</si>
  <si>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</si>
  <si>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</si>
  <si>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</si>
  <si>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</si>
  <si>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</si>
  <si>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</si>
  <si>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</si>
  <si>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</si>
  <si>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</si>
  <si>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</si>
  <si>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</si>
  <si>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</si>
  <si>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</si>
  <si>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</si>
  <si>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</si>
  <si>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</si>
  <si>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</si>
  <si>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</si>
  <si>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</si>
  <si>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</si>
  <si>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</si>
  <si>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</si>
  <si>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</si>
  <si>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</si>
  <si>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</si>
  <si>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</si>
  <si>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</si>
  <si>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</si>
  <si>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</si>
  <si>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</si>
  <si>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</si>
  <si>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</si>
  <si>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</si>
  <si>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</si>
  <si>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</si>
  <si>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</si>
  <si>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</si>
  <si>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</si>
  <si>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</si>
  <si>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</si>
  <si>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</si>
  <si>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</si>
  <si>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</si>
  <si>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</si>
  <si>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</si>
  <si>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</si>
  <si>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</si>
  <si>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</si>
  <si>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</si>
  <si>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</si>
  <si>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</si>
  <si>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</si>
  <si>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</si>
  <si>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</si>
  <si>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</si>
  <si>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</si>
  <si>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</si>
  <si>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</si>
  <si>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</si>
  <si>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</si>
  <si>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</si>
  <si>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</si>
  <si>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</si>
  <si>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</si>
  <si>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</si>
  <si>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</si>
  <si>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</si>
  <si>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</si>
  <si>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</si>
  <si>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</si>
  <si>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</si>
  <si>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</si>
  <si>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</si>
  <si>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</si>
  <si>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</si>
  <si>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</si>
  <si>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</si>
  <si>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</si>
  <si>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</si>
  <si>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</si>
  <si>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</si>
  <si>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</si>
  <si>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</si>
  <si>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</si>
  <si>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</si>
  <si>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</si>
  <si>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</si>
  <si>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</si>
  <si>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</si>
  <si>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</si>
  <si>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</si>
  <si>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</si>
  <si>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</si>
  <si>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</si>
  <si>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</si>
  <si>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</si>
  <si>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</si>
  <si>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</si>
  <si>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</si>
  <si>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</si>
  <si>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</si>
  <si>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</si>
  <si>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</si>
  <si>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</si>
  <si>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</si>
  <si>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</si>
  <si>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</si>
  <si>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</si>
  <si>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</si>
  <si>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</si>
  <si>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</si>
  <si>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</si>
  <si>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</si>
  <si>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</si>
  <si>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</si>
  <si>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</si>
  <si>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</si>
  <si>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</si>
  <si>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</si>
  <si>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</si>
  <si>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</si>
  <si>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</si>
  <si>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</si>
  <si>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</si>
  <si>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</si>
  <si>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</si>
  <si>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</si>
  <si>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</si>
  <si>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</si>
  <si>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</si>
  <si>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</si>
  <si>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</si>
  <si>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</si>
  <si>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</si>
  <si>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</si>
  <si>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</si>
  <si>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</si>
  <si>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</si>
  <si>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</si>
  <si>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</si>
  <si>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</si>
  <si>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</si>
  <si>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</si>
  <si>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</si>
  <si>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</si>
  <si>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</si>
  <si>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</si>
  <si>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</si>
  <si>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</si>
  <si>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</si>
  <si>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</si>
  <si>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</si>
  <si>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</si>
  <si>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</si>
  <si>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</si>
  <si>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</si>
  <si>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</si>
  <si>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</si>
  <si>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</si>
  <si>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</si>
  <si>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</si>
  <si>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</si>
  <si>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</si>
  <si>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</si>
  <si>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</si>
  <si>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</si>
  <si>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</si>
  <si>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</si>
  <si>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</si>
  <si>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</si>
  <si>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</si>
  <si>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</si>
  <si>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</si>
  <si>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</si>
  <si>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</si>
  <si>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</si>
  <si>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</si>
  <si>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</si>
  <si>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</si>
  <si>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</si>
  <si>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</si>
  <si>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</si>
  <si>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</si>
  <si>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</si>
  <si>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</si>
  <si>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</si>
  <si>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</si>
  <si>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</si>
  <si>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</si>
  <si>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</si>
  <si>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</si>
  <si>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</si>
  <si>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</si>
  <si>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</si>
  <si>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</si>
  <si>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</si>
  <si>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</si>
  <si>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</si>
  <si>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</si>
  <si>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</si>
  <si>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</si>
  <si>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</si>
  <si>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</si>
  <si>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</si>
  <si>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</si>
  <si>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</si>
  <si>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</si>
  <si>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</si>
  <si>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</si>
  <si>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</si>
  <si>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</si>
  <si>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</si>
  <si>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</si>
  <si>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</si>
  <si>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</si>
  <si>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</si>
  <si>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</si>
  <si>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</si>
  <si>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</si>
  <si>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</si>
  <si>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</si>
  <si>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</si>
  <si>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</si>
  <si>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</si>
  <si>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</si>
  <si>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</si>
  <si>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</si>
  <si>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</si>
  <si>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</si>
  <si>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</si>
  <si>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</si>
  <si>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</si>
  <si>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</si>
  <si>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</si>
  <si>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</si>
  <si>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</si>
  <si>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</si>
  <si>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</si>
  <si>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</si>
  <si>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</si>
  <si>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</si>
  <si>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</si>
  <si>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</si>
  <si>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</si>
  <si>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</si>
  <si>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</si>
  <si>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</si>
  <si>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</si>
  <si>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</si>
  <si>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</si>
  <si>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</si>
  <si>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</si>
  <si>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</si>
  <si>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</si>
  <si>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</si>
  <si>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</si>
  <si>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</si>
  <si>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</si>
  <si>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</si>
  <si>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</si>
  <si>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</si>
  <si>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</si>
  <si>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</si>
  <si>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</si>
  <si>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</si>
  <si>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</si>
  <si>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</si>
  <si>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</si>
  <si>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</si>
  <si>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</si>
  <si>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</si>
  <si>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</si>
  <si>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</si>
  <si>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</si>
  <si>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</si>
  <si>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</si>
  <si>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</si>
  <si>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</si>
  <si>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</si>
  <si>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</si>
  <si>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</si>
  <si>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</si>
  <si>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</si>
  <si>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</si>
  <si>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</si>
  <si>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</si>
  <si>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</si>
  <si>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</si>
  <si>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</si>
  <si>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</si>
  <si>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</si>
  <si>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</si>
  <si>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</si>
  <si>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</si>
  <si>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</si>
  <si>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</si>
  <si>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</si>
  <si>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</si>
  <si>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</si>
  <si>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</si>
  <si>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</si>
  <si>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</si>
  <si>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</si>
  <si>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</si>
  <si>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</si>
  <si>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</si>
  <si>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</si>
  <si>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</si>
  <si>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</si>
  <si>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</si>
  <si>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</si>
  <si>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</si>
  <si>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</si>
  <si>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</si>
  <si>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</si>
  <si>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</si>
  <si>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</si>
  <si>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</si>
  <si>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</si>
  <si>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</si>
  <si>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</si>
  <si>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</si>
  <si>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</si>
  <si>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</si>
  <si>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</si>
  <si>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</si>
  <si>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</si>
  <si>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</si>
  <si>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</si>
  <si>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</si>
  <si>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</si>
  <si>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</si>
  <si>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</si>
  <si>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</si>
  <si>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</si>
  <si>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</si>
  <si>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</si>
  <si>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</si>
  <si>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</si>
  <si>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</si>
  <si>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</si>
  <si>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</si>
  <si>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</si>
  <si>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</si>
  <si>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</si>
  <si>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</si>
  <si>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</si>
  <si>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</si>
  <si>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</si>
  <si>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</si>
  <si>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</si>
  <si>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</si>
  <si>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</si>
  <si>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</si>
  <si>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</si>
  <si>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</si>
  <si>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</si>
  <si>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</si>
  <si>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</si>
  <si>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</si>
  <si>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</si>
  <si>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</si>
  <si>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</si>
  <si>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</si>
  <si>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</si>
  <si>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</si>
  <si>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</si>
  <si>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</si>
  <si>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</si>
  <si>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</si>
  <si>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</si>
  <si>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</si>
  <si>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</si>
  <si>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</si>
  <si>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</si>
  <si>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</si>
  <si>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</si>
  <si>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</si>
  <si>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</si>
  <si>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</si>
  <si>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</si>
  <si>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</si>
  <si>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</si>
  <si>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</si>
  <si>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</si>
  <si>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</si>
  <si>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</si>
  <si>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</si>
  <si>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</si>
  <si>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</si>
  <si>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</si>
  <si>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</si>
  <si>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</si>
  <si>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</si>
  <si>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</si>
  <si>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</si>
  <si>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</si>
  <si>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</si>
  <si>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</si>
  <si>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</si>
  <si>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</si>
  <si>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</si>
  <si>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</si>
  <si>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</si>
  <si>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</si>
  <si>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</si>
  <si>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</si>
  <si>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</si>
  <si>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</si>
  <si>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</si>
  <si>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</si>
  <si>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</si>
  <si>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</si>
  <si>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</si>
  <si>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</si>
  <si>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</si>
  <si>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</si>
  <si>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</si>
  <si>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</si>
  <si>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</si>
  <si>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</si>
  <si>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</si>
  <si>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</si>
  <si>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</si>
  <si>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</si>
  <si>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</si>
  <si>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</si>
  <si>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</si>
  <si>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</si>
  <si>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</si>
  <si>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</si>
  <si>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</si>
  <si>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</si>
  <si>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</si>
  <si>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</si>
  <si>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</si>
  <si>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</si>
  <si>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</si>
  <si>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</si>
  <si>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</si>
  <si>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</si>
  <si>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</si>
  <si>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</si>
  <si>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</si>
  <si>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</si>
  <si>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</si>
  <si>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</si>
  <si>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</si>
  <si>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</si>
  <si>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</si>
  <si>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</si>
  <si>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</si>
  <si>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</si>
  <si>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</si>
  <si>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</si>
  <si>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</si>
  <si>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</si>
  <si>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</si>
  <si>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</si>
  <si>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</si>
  <si>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</si>
  <si>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</si>
  <si>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</si>
  <si>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</si>
  <si>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</si>
  <si>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</si>
  <si>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</si>
  <si>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</si>
  <si>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</si>
  <si>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</si>
  <si>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</si>
  <si>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</si>
  <si>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</si>
  <si>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</si>
  <si>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</si>
  <si>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</si>
  <si>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</si>
  <si>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</si>
  <si>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</si>
  <si>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</si>
  <si>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</si>
  <si>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</si>
  <si>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</si>
  <si>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</si>
  <si>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</si>
  <si>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</si>
  <si>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</si>
  <si>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</si>
  <si>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</si>
  <si>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</si>
  <si>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</si>
  <si>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</si>
  <si>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</si>
  <si>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</si>
  <si>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</si>
  <si>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</si>
  <si>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</si>
  <si>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</si>
  <si>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</si>
  <si>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</si>
  <si>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</si>
  <si>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</si>
  <si>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</si>
  <si>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</si>
  <si>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</si>
  <si>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</si>
  <si>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</si>
  <si>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</si>
  <si>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</si>
  <si>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</si>
  <si>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</si>
  <si>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</si>
  <si>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</si>
  <si>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</si>
  <si>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</si>
  <si>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</si>
  <si>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</si>
  <si>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</si>
  <si>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</si>
  <si>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</si>
  <si>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</si>
  <si>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</si>
  <si>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</si>
  <si>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</si>
  <si>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</si>
  <si>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</si>
  <si>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</si>
  <si>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</si>
  <si>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</si>
  <si>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</si>
  <si>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</si>
  <si>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</si>
  <si>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</si>
  <si>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</si>
  <si>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</si>
  <si>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</si>
  <si>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</si>
  <si>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</si>
  <si>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</si>
  <si>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</si>
  <si>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</si>
  <si>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</si>
  <si>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</si>
  <si>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</si>
  <si>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</si>
  <si>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</si>
  <si>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</si>
  <si>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</si>
  <si>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</si>
  <si>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</si>
  <si>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</si>
  <si>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</si>
  <si>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</si>
  <si>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</si>
  <si>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</si>
  <si>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</si>
  <si>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</si>
  <si>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</si>
  <si>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</si>
  <si>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</si>
  <si>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</si>
  <si>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</si>
  <si>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</si>
  <si>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</si>
  <si>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</si>
  <si>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</si>
  <si>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</si>
  <si>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</si>
  <si>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</si>
  <si>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</si>
  <si>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</si>
  <si>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</si>
  <si>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</si>
  <si>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</si>
  <si>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</si>
  <si>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</si>
  <si>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</si>
  <si>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</si>
  <si>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</si>
  <si>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</si>
  <si>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</si>
  <si>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</si>
  <si>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</si>
  <si>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</si>
  <si>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</si>
  <si>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</si>
  <si>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</si>
  <si>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</si>
  <si>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</si>
  <si>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</si>
  <si>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</si>
  <si>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</si>
  <si>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</si>
  <si>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</si>
  <si>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</si>
  <si>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</si>
  <si>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</si>
  <si>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</si>
  <si>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</si>
  <si>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</si>
  <si>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</si>
  <si>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</si>
  <si>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</si>
  <si>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</si>
  <si>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</si>
  <si>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</si>
  <si>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</si>
  <si>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</si>
  <si>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</si>
  <si>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</si>
  <si>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</si>
  <si>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</si>
  <si>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</si>
  <si>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</si>
  <si>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</si>
  <si>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</si>
  <si>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</si>
  <si>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</si>
  <si>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</si>
  <si>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</si>
  <si>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</si>
  <si>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</si>
  <si>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</si>
  <si>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</si>
  <si>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</si>
  <si>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</si>
  <si>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</si>
  <si>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</si>
  <si>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</si>
  <si>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</si>
  <si>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</si>
  <si>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</si>
  <si>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</si>
  <si>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</si>
  <si>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</si>
  <si>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</si>
  <si>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</si>
  <si>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</si>
  <si>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</si>
  <si>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</si>
  <si>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</si>
  <si>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</si>
  <si>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</si>
  <si>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</si>
  <si>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</si>
  <si>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</si>
  <si>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</si>
  <si>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</si>
  <si>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</si>
  <si>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</si>
  <si>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</si>
  <si>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</si>
  <si>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</si>
  <si>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</si>
  <si>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</si>
  <si>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</si>
  <si>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</si>
  <si>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</si>
  <si>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</si>
  <si>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</si>
  <si>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</si>
  <si>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</si>
  <si>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</si>
  <si>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</si>
  <si>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</si>
  <si>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</si>
  <si>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</si>
  <si>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</si>
  <si>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</si>
  <si>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</si>
  <si>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</si>
  <si>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</si>
  <si>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</si>
  <si>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</si>
  <si>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</si>
  <si>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</si>
  <si>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</si>
  <si>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</si>
  <si>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</si>
  <si>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</si>
  <si>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</si>
  <si>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</si>
  <si>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</si>
  <si>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</si>
  <si>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</si>
  <si>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</si>
  <si>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</si>
  <si>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</si>
  <si>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</si>
  <si>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</si>
  <si>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</si>
  <si>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</si>
  <si>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</si>
  <si>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</si>
  <si>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</si>
  <si>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</si>
  <si>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</si>
  <si>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</si>
  <si>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</si>
  <si>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</si>
  <si>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</si>
  <si>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</si>
  <si>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</si>
  <si>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</si>
  <si>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</si>
  <si>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</si>
  <si>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</si>
  <si>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</si>
  <si>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</si>
  <si>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</si>
  <si>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</si>
  <si>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</si>
  <si>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</si>
  <si>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</si>
  <si>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</si>
  <si>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</si>
  <si>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</si>
  <si>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</si>
  <si>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</si>
  <si>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</si>
  <si>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</si>
  <si>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</si>
  <si>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</si>
  <si>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</si>
  <si>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</si>
  <si>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</si>
  <si>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</si>
  <si>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</si>
  <si>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</si>
  <si>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</si>
  <si>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</si>
  <si>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There were no fidnings in the prior year ending June 30, 2019.</t>
  </si>
  <si>
    <t>LaSalle</t>
  </si>
  <si>
    <t>900 Ninth Street</t>
  </si>
  <si>
    <t>Peru</t>
  </si>
  <si>
    <t>dmentgen@lphs.net</t>
  </si>
  <si>
    <t>Dwayne Mentgen</t>
  </si>
  <si>
    <t>815-223-1721</t>
  </si>
  <si>
    <t>815-223-3444</t>
  </si>
  <si>
    <t>Tim C. Custis, CPA</t>
  </si>
  <si>
    <t>tcustis@gorenzcpa.com</t>
  </si>
  <si>
    <t>NONE</t>
  </si>
  <si>
    <t>LaSalle-Peru High School No. 120</t>
  </si>
  <si>
    <t>Page 11, Line 106: Class Supply Fees</t>
  </si>
  <si>
    <t>Page 13, Line 220: Carl Perkins (SRAVTE) Instructor Aide</t>
  </si>
  <si>
    <t>Page 29, Line 80: "PLEASE ENTER CONTRACTS PAID IN THE CURRENT YEAR"</t>
  </si>
  <si>
    <t>For the current fiscal year under audit, the District did not have any qualifying contracts</t>
  </si>
  <si>
    <t>exceeding the $25,000 limit</t>
  </si>
  <si>
    <t>See PDF version</t>
  </si>
  <si>
    <t xml:space="preserve"> Lasalle-Peru Area Career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</si>
</sst>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F44" sqref="AF4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35050120040</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2068</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2078</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2064</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61354</v>
      </c>
      <c r="B25" s="2038"/>
      <c r="C25" s="2038"/>
      <c r="D25" s="2038"/>
      <c r="E25" s="2038"/>
      <c r="F25" s="2038"/>
      <c r="G25" s="2038"/>
      <c r="H25" s="2039"/>
      <c r="I25" s="110"/>
      <c r="J25" s="2062"/>
      <c r="K25" s="2062"/>
      <c r="L25" s="2062"/>
      <c r="M25" s="2062"/>
      <c r="N25" s="2062"/>
      <c r="O25" s="2062"/>
      <c r="P25" s="2062"/>
      <c r="Q25" s="2062"/>
      <c r="R25" s="2062"/>
      <c r="S25" s="2063"/>
      <c r="T25" s="2124" t="s">
        <v>2069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54850</v>
      </c>
      <c r="D5" s="1770"/>
      <c r="E5" s="1770"/>
      <c r="F5" s="1765">
        <f>(C5+D5)-E5</f>
        <v>54850</v>
      </c>
      <c r="G5" s="676"/>
      <c r="H5" s="680"/>
      <c r="I5" s="680"/>
      <c r="J5" s="680"/>
      <c r="K5" s="637"/>
      <c r="L5" s="1442">
        <f>F5-K5</f>
        <v>54850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568137</v>
      </c>
      <c r="D8" s="1771"/>
      <c r="E8" s="1771"/>
      <c r="F8" s="1765">
        <f>(C8+D8)-E8</f>
        <v>568137</v>
      </c>
      <c r="G8" s="681">
        <v>50</v>
      </c>
      <c r="H8" s="619">
        <v>304666</v>
      </c>
      <c r="I8" s="619">
        <v>8964</v>
      </c>
      <c r="J8" s="619"/>
      <c r="K8" s="1442">
        <f>(H8+I8)-J8</f>
        <v>313630</v>
      </c>
      <c r="L8" s="1442">
        <f>F8-K8</f>
        <v>254507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16909</v>
      </c>
      <c r="D10" s="1772"/>
      <c r="E10" s="1772"/>
      <c r="F10" s="1773">
        <f>(C10+D10)-E10</f>
        <v>16909</v>
      </c>
      <c r="G10" s="681">
        <v>20</v>
      </c>
      <c r="H10" s="683">
        <v>10352</v>
      </c>
      <c r="I10" s="683">
        <v>846</v>
      </c>
      <c r="J10" s="683"/>
      <c r="K10" s="1442">
        <f>(H10+I10)-J10</f>
        <v>11198</v>
      </c>
      <c r="L10" s="1442">
        <f>F10-K10</f>
        <v>5711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41949</v>
      </c>
      <c r="D12" s="1771">
        <v>5130</v>
      </c>
      <c r="E12" s="1771">
        <v>10902</v>
      </c>
      <c r="F12" s="1765">
        <f>(C12+D12)-E12</f>
        <v>36177</v>
      </c>
      <c r="G12" s="681">
        <v>10</v>
      </c>
      <c r="H12" s="619">
        <v>28269</v>
      </c>
      <c r="I12" s="619">
        <v>3620</v>
      </c>
      <c r="J12" s="619">
        <v>10902</v>
      </c>
      <c r="K12" s="1442">
        <f>(H12+I12)-J12</f>
        <v>20987</v>
      </c>
      <c r="L12" s="1442">
        <f>F12-K12</f>
        <v>15190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681845</v>
      </c>
      <c r="D16" s="1765">
        <f>SUM(D3,D5:D6,D8:D10,D12:D15)</f>
        <v>5130</v>
      </c>
      <c r="E16" s="1765">
        <f>SUM(E3,E5:E6,E8:E10,E12:E15)</f>
        <v>10902</v>
      </c>
      <c r="F16" s="1765">
        <f>SUM(F3,F5:F6,F8:F10,F12:F15)</f>
        <v>676073</v>
      </c>
      <c r="G16" s="681"/>
      <c r="H16" s="1435">
        <f>SUM(H3,H6,H8:H10,H12:H14,)</f>
        <v>343287</v>
      </c>
      <c r="I16" s="1435">
        <f>SUM(I3,I6,I8:I10,I12:I14,)</f>
        <v>13430</v>
      </c>
      <c r="J16" s="1435">
        <f>SUM(J3,J6,J8:J10,J12:J14,)</f>
        <v>10902</v>
      </c>
      <c r="K16" s="1435">
        <f>(H16+I16)-J16</f>
        <v>345815</v>
      </c>
      <c r="L16" s="1435">
        <f>F16-K16</f>
        <v>330258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13430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844834</v>
      </c>
      <c r="G8" s="701"/>
    </row>
    <row r="9" spans="1:9" x14ac:dyDescent="0.2">
      <c r="A9" s="705" t="s">
        <v>457</v>
      </c>
      <c r="B9" s="706" t="s">
        <v>1848</v>
      </c>
      <c r="C9" s="707"/>
      <c r="D9" s="705" t="s">
        <v>498</v>
      </c>
      <c r="E9" s="704"/>
      <c r="F9" s="1775">
        <f>'Expenditures 15-22'!K151</f>
        <v>156920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7469</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1009223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52000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684427</v>
      </c>
      <c r="G53" s="701"/>
    </row>
    <row r="54" spans="1:7" x14ac:dyDescent="0.2">
      <c r="A54" s="705" t="s">
        <v>456</v>
      </c>
      <c r="B54" s="705" t="s">
        <v>1459</v>
      </c>
      <c r="C54" s="724" t="s">
        <v>975</v>
      </c>
      <c r="D54" s="720" t="s">
        <v>1086</v>
      </c>
      <c r="E54" s="704"/>
      <c r="F54" s="1782">
        <f>'Expenditures 15-22'!G114</f>
        <v>3290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107162</v>
      </c>
      <c r="G57" s="701"/>
    </row>
    <row r="58" spans="1:7" x14ac:dyDescent="0.2">
      <c r="A58" s="705" t="s">
        <v>457</v>
      </c>
      <c r="B58" s="705" t="s">
        <v>1854</v>
      </c>
      <c r="C58" s="721" t="s">
        <v>975</v>
      </c>
      <c r="D58" s="720" t="s">
        <v>1086</v>
      </c>
      <c r="E58" s="704"/>
      <c r="F58" s="1784">
        <f>'Expenditures 15-22'!G151</f>
        <v>1840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5520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854239</v>
      </c>
      <c r="G77" s="701"/>
    </row>
    <row r="78" spans="1:9" s="728" customFormat="1" ht="12" customHeight="1" thickTop="1" thickBot="1" x14ac:dyDescent="0.25">
      <c r="A78" s="1450"/>
      <c r="B78" s="1448"/>
      <c r="C78" s="1445"/>
      <c r="D78" s="1449" t="s">
        <v>2012</v>
      </c>
      <c r="E78" s="1447"/>
      <c r="F78" s="1788">
        <f>(F14-F77)</f>
        <v>154984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3305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1965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159592</v>
      </c>
      <c r="G104" s="745"/>
    </row>
    <row r="105" spans="1:7" x14ac:dyDescent="0.2">
      <c r="A105" s="741" t="s">
        <v>456</v>
      </c>
      <c r="B105" s="741" t="s">
        <v>803</v>
      </c>
      <c r="C105" s="743">
        <f>'Revenues 9-14'!B106</f>
        <v>1993</v>
      </c>
      <c r="D105" s="744" t="str">
        <f>'Revenues 9-14'!A106</f>
        <v>Other Local Fees (Describe &amp; Itemize)</v>
      </c>
      <c r="E105" s="739"/>
      <c r="F105" s="1793">
        <f>('Revenues 9-14'!C106)</f>
        <v>4521</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165000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3233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8901</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346517</v>
      </c>
    </row>
    <row r="176" spans="1:7" ht="12" customHeight="1" x14ac:dyDescent="0.2">
      <c r="A176" s="1443"/>
      <c r="B176" s="1453"/>
      <c r="C176" s="1454"/>
      <c r="D176" s="1455" t="s">
        <v>2014</v>
      </c>
      <c r="E176" s="1456"/>
      <c r="F176" s="1793">
        <f>'PCTC-OEPP 27-28'!F78-F175</f>
        <v>-191533</v>
      </c>
    </row>
    <row r="177" spans="1:9" ht="12" customHeight="1" x14ac:dyDescent="0.2">
      <c r="A177" s="1443"/>
      <c r="B177" s="1453"/>
      <c r="C177" s="1454"/>
      <c r="D177" s="1455" t="s">
        <v>1794</v>
      </c>
      <c r="E177" s="1456"/>
      <c r="F177" s="1793">
        <f>'Cap Outlay Deprec 26'!I18</f>
        <v>13430</v>
      </c>
    </row>
    <row r="178" spans="1:9" ht="12" customHeight="1" x14ac:dyDescent="0.2">
      <c r="A178" s="1443"/>
      <c r="B178" s="1453"/>
      <c r="C178" s="1454"/>
      <c r="D178" s="1455" t="s">
        <v>2015</v>
      </c>
      <c r="E178" s="1456"/>
      <c r="F178" s="1793">
        <f>F176+F177</f>
        <v>-178103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129243</v>
      </c>
      <c r="F19" s="1802"/>
      <c r="G19" s="1804">
        <f>'Expenditures 15-22'!K33-SUM('Expenditures 15-22'!G33,'Expenditures 15-22'!I33)+'Expenditures 15-22'!D229</f>
        <v>129243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13357</v>
      </c>
      <c r="F22" s="1805"/>
      <c r="G22" s="1808">
        <f>'Expenditures 15-22'!K47-SUM('Expenditures 15-22'!G47,'Expenditures 15-22'!I47)+'Expenditures 15-22'!D243</f>
        <v>13357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13271</v>
      </c>
      <c r="F23" s="1805"/>
      <c r="G23" s="1807">
        <f>'Expenditures 15-22'!K53-SUM('Expenditures 15-22'!G53,'Expenditures 15-22'!I53)+'Expenditures 15-22'!D257+'Expenditures 15-22'!K330-SUM('Expenditures 15-22'!G330,'Expenditures 15-22'!I330)</f>
        <v>13271</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48824</v>
      </c>
      <c r="F28" s="1809">
        <f>'Expenditures 15-22'!K61-SUM('Expenditures 15-22'!G61,'Expenditures 15-22'!I61)+'Expenditures 15-22'!K124-SUM('Expenditures 15-22'!G124,'Expenditures 15-22'!I124)+'Expenditures 15-22'!D266-E9</f>
        <v>48824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1949</v>
      </c>
      <c r="F29" s="1805"/>
      <c r="G29" s="1808">
        <f>'Expenditures 15-22'!K62-SUM('Expenditures 15-22'!G62,'Expenditures 15-22'!I62)+'Expenditures 15-22'!K125-SUM('Expenditures 15-22'!G125,'Expenditures 15-22'!I125)+'Expenditures 15-22'!K182-SUM('Expenditures 15-22'!G182,'Expenditures 15-22'!I182)+'Expenditures 15-22'!D267</f>
        <v>1949</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340</v>
      </c>
      <c r="F35" s="1805"/>
      <c r="G35" s="1807">
        <f>'Expenditures 15-22'!K69-SUM('Expenditures 15-22'!G69,'Expenditures 15-22'!I69)+'Expenditures 15-22'!D274</f>
        <v>340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206984</v>
      </c>
      <c r="F41" s="1809">
        <f>SUM(F19:F39)</f>
        <v>48824</v>
      </c>
      <c r="G41" s="1809">
        <f>SUM(G19:G40)</f>
        <v>158160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48824</v>
      </c>
    </row>
    <row r="44" spans="1:7" ht="12" customHeight="1" x14ac:dyDescent="0.2">
      <c r="A44" s="817"/>
      <c r="B44" s="157"/>
      <c r="C44" s="831"/>
      <c r="D44" s="1458" t="s">
        <v>471</v>
      </c>
      <c r="E44" s="1810">
        <f>E41</f>
        <v>206984</v>
      </c>
      <c r="F44" s="1458" t="s">
        <v>471</v>
      </c>
      <c r="G44" s="1810">
        <f>G41</f>
        <v>158160</v>
      </c>
    </row>
    <row r="45" spans="1:7" ht="12" customHeight="1" x14ac:dyDescent="0.2">
      <c r="A45" s="817"/>
      <c r="B45" s="157"/>
      <c r="C45" s="157"/>
      <c r="D45" s="1459" t="s">
        <v>999</v>
      </c>
      <c r="E45" s="1811">
        <f>(E43/E44)</f>
        <v>0</v>
      </c>
      <c r="F45" s="1459" t="s">
        <v>999</v>
      </c>
      <c r="G45" s="1811">
        <f>(G43/G44)</f>
        <v>0.30870005058168942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28515625" style="1507" bestFit="1" customWidth="1"/>
    <col min="9" max="9" width="3.85546875" style="1507" bestFit="1" customWidth="1"/>
    <col min="10" max="10" width="2.5703125"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Lasalle-Peru Area Career Ctr</v>
      </c>
      <c r="D6" s="2415"/>
      <c r="E6" s="2415"/>
      <c r="F6" s="1482"/>
      <c r="G6" s="1507"/>
      <c r="L6" s="1507"/>
      <c r="M6" s="1855"/>
      <c r="N6" s="1855"/>
      <c r="O6" s="1855"/>
    </row>
    <row r="7" spans="1:15" ht="11.25" customHeight="1" thickBot="1" x14ac:dyDescent="0.3">
      <c r="A7" s="1480"/>
      <c r="B7" s="1481"/>
      <c r="C7" s="2416">
        <f>COVER!A13</f>
        <v>35050120040</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2071</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2071</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Lasalle-Peru Area Career Ctr</v>
      </c>
      <c r="K6" s="2437"/>
      <c r="L6" s="2451"/>
      <c r="M6" s="838"/>
      <c r="N6" s="1999"/>
    </row>
    <row r="7" spans="1:14" x14ac:dyDescent="0.2">
      <c r="A7" s="2452" t="s">
        <v>864</v>
      </c>
      <c r="B7" s="2453"/>
      <c r="C7" s="2453"/>
      <c r="D7" s="2453"/>
      <c r="E7" s="2454"/>
      <c r="F7" s="839"/>
      <c r="G7" s="838"/>
      <c r="H7" s="838"/>
      <c r="I7" s="1925" t="s">
        <v>369</v>
      </c>
      <c r="J7" s="2439">
        <f>COVER!A13</f>
        <v>35050120040</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13271</v>
      </c>
      <c r="F12" s="1943"/>
      <c r="G12" s="1969">
        <f>G68</f>
        <v>0</v>
      </c>
      <c r="H12" s="1945">
        <f t="shared" ref="H12:H18" si="0">SUM(E12:G12)</f>
        <v>13271</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13271</v>
      </c>
      <c r="F19" s="1951">
        <f t="shared" si="2"/>
        <v>0</v>
      </c>
      <c r="G19" s="1951">
        <f t="shared" ref="G19" si="3">SUM(G12:G17)-G18</f>
        <v>0</v>
      </c>
      <c r="H19" s="1951">
        <f t="shared" si="2"/>
        <v>13271</v>
      </c>
      <c r="I19" s="1951">
        <f t="shared" si="2"/>
        <v>0</v>
      </c>
      <c r="J19" s="1951">
        <f t="shared" si="2"/>
        <v>0</v>
      </c>
      <c r="K19" s="1951">
        <f t="shared" si="2"/>
        <v>0</v>
      </c>
      <c r="L19" s="1951">
        <f t="shared" si="2"/>
        <v>0</v>
      </c>
      <c r="M19" s="838"/>
      <c r="N19" s="1999"/>
    </row>
    <row r="20" spans="1:14" ht="13.5" thickTop="1" x14ac:dyDescent="0.2">
      <c r="A20" s="2004">
        <v>9</v>
      </c>
      <c r="B20" s="2461" t="s">
        <v>2021</v>
      </c>
      <c r="C20" s="2461"/>
      <c r="D20" s="2462"/>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Lasalle-Peru Area Career Ctr</v>
      </c>
      <c r="M52" s="2437"/>
      <c r="N52" s="2438"/>
    </row>
    <row r="53" spans="1:14" x14ac:dyDescent="0.2">
      <c r="A53" s="1983"/>
      <c r="B53" s="1984"/>
      <c r="C53" s="1984"/>
      <c r="D53" s="1984"/>
      <c r="E53" s="1984"/>
      <c r="F53" s="1984"/>
      <c r="G53" s="1984"/>
      <c r="H53" s="1984"/>
      <c r="I53" s="1984"/>
      <c r="J53" s="1984"/>
      <c r="K53" s="1925" t="s">
        <v>369</v>
      </c>
      <c r="L53" s="2439">
        <f>J7</f>
        <v>35050120040</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c r="B7" s="307" t="s">
        <v>2074</v>
      </c>
    </row>
    <row r="8" spans="1:2" x14ac:dyDescent="0.2">
      <c r="A8" s="847"/>
      <c r="B8" s="307" t="s">
        <v>2075</v>
      </c>
    </row>
    <row r="9" spans="1:2" x14ac:dyDescent="0.2">
      <c r="A9" s="848"/>
      <c r="B9" s="307" t="s">
        <v>2076</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Lasalle-Peru Area Career Ctr</v>
      </c>
    </row>
    <row r="65" spans="2:2" x14ac:dyDescent="0.2">
      <c r="B65" s="849">
        <f>COVER!A13</f>
        <v>35050120040</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822030</v>
      </c>
      <c r="C8" s="1813">
        <f>'Acct Summary 7-8'!D8</f>
        <v>159203</v>
      </c>
      <c r="D8" s="1813">
        <f>'Acct Summary 7-8'!F8</f>
        <v>8639</v>
      </c>
      <c r="E8" s="1813">
        <f>'Acct Summary 7-8'!I8</f>
        <v>0</v>
      </c>
      <c r="F8" s="1813">
        <f>SUM(B8:E8)</f>
        <v>989872</v>
      </c>
    </row>
    <row r="9" spans="1:8" s="858" customFormat="1" ht="14.25" customHeight="1" thickBot="1" x14ac:dyDescent="0.25">
      <c r="A9" s="857" t="s">
        <v>1353</v>
      </c>
      <c r="B9" s="1814">
        <f>'Acct Summary 7-8'!C17</f>
        <v>844834</v>
      </c>
      <c r="C9" s="1814">
        <f>'Acct Summary 7-8'!D17</f>
        <v>156920</v>
      </c>
      <c r="D9" s="1814">
        <f>'Acct Summary 7-8'!F17</f>
        <v>7469</v>
      </c>
      <c r="E9" s="1813"/>
      <c r="F9" s="1813">
        <f>SUM(B9:E9)</f>
        <v>1009223</v>
      </c>
    </row>
    <row r="10" spans="1:8" s="858" customFormat="1" ht="14.25" thickTop="1" thickBot="1" x14ac:dyDescent="0.25">
      <c r="A10" s="859" t="s">
        <v>1354</v>
      </c>
      <c r="B10" s="1815">
        <f>(B8-B9)</f>
        <v>-22804</v>
      </c>
      <c r="C10" s="1815">
        <f>(C8-C9)</f>
        <v>2283</v>
      </c>
      <c r="D10" s="1815">
        <f>(D8-D9)</f>
        <v>1170</v>
      </c>
      <c r="E10" s="1814">
        <f>(E8-E9)</f>
        <v>0</v>
      </c>
      <c r="F10" s="1816">
        <f>SUM(F8-F9)</f>
        <v>-19351</v>
      </c>
    </row>
    <row r="11" spans="1:8" s="858" customFormat="1" ht="14.25" thickTop="1" thickBot="1" x14ac:dyDescent="0.25">
      <c r="A11" s="860" t="s">
        <v>1903</v>
      </c>
      <c r="B11" s="1817">
        <f>'Acct Summary 7-8'!C81</f>
        <v>195718</v>
      </c>
      <c r="C11" s="1817">
        <f>'Acct Summary 7-8'!D81</f>
        <v>153966</v>
      </c>
      <c r="D11" s="1817">
        <f>'Acct Summary 7-8'!F81</f>
        <v>41328</v>
      </c>
      <c r="E11" s="1817">
        <f>'Acct Summary 7-8'!I81</f>
        <v>0</v>
      </c>
      <c r="F11" s="1818">
        <f>SUM(B11:E11)</f>
        <v>391012</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35050120040</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Lasalle-Peru Area Career Ctr</v>
      </c>
      <c r="E4" s="1828">
        <v>44119</v>
      </c>
      <c r="F4" s="1829">
        <v>44151</v>
      </c>
      <c r="G4" s="1899">
        <v>101000600</v>
      </c>
    </row>
    <row r="5" spans="1:7" ht="15" x14ac:dyDescent="0.25">
      <c r="A5" t="s">
        <v>699</v>
      </c>
      <c r="B5" s="135" t="str">
        <f>COVER!A38</f>
        <v>Dwayne Mentgen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195718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195718</v>
      </c>
      <c r="D92" s="2" t="str">
        <f t="shared" si="0"/>
        <v>Error?</v>
      </c>
      <c r="G92" s="1899">
        <v>102640600</v>
      </c>
    </row>
    <row r="93" spans="1:7" ht="15" x14ac:dyDescent="0.25">
      <c r="A93" s="5">
        <v>32</v>
      </c>
      <c r="B93" s="1832">
        <f>'Assets-Liab 5-6'!C41</f>
        <v>195718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153966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153966</v>
      </c>
      <c r="D123" s="2" t="str">
        <f t="shared" si="0"/>
        <v>Error?</v>
      </c>
      <c r="G123" s="1899">
        <v>203000400</v>
      </c>
    </row>
    <row r="124" spans="1:7" ht="15" x14ac:dyDescent="0.25">
      <c r="A124" s="5">
        <v>63</v>
      </c>
      <c r="B124" s="1832">
        <f>'Assets-Liab 5-6'!D41</f>
        <v>153966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41328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41328</v>
      </c>
      <c r="D170" s="2" t="str">
        <f t="shared" si="1"/>
        <v>Error?</v>
      </c>
    </row>
    <row r="171" spans="1:4" x14ac:dyDescent="0.2">
      <c r="A171" s="5">
        <v>110</v>
      </c>
      <c r="B171" s="1832">
        <f>'Assets-Liab 5-6'!F41</f>
        <v>41328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54850</v>
      </c>
      <c r="D274" s="2" t="str">
        <f t="shared" si="3"/>
        <v>Error?</v>
      </c>
    </row>
    <row r="275" spans="1:4" x14ac:dyDescent="0.2">
      <c r="A275" s="5">
        <v>214</v>
      </c>
      <c r="B275" s="1832">
        <f>'Assets-Liab 5-6'!M18</f>
        <v>568137</v>
      </c>
      <c r="D275" s="2" t="str">
        <f t="shared" si="3"/>
        <v>Error?</v>
      </c>
    </row>
    <row r="276" spans="1:4" x14ac:dyDescent="0.2">
      <c r="A276" s="5">
        <v>215</v>
      </c>
      <c r="B276" s="1832">
        <f>'Assets-Liab 5-6'!M19</f>
        <v>16909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676073</v>
      </c>
      <c r="C279" s="2" t="s">
        <v>569</v>
      </c>
      <c r="D279" s="2" t="str">
        <f t="shared" si="3"/>
        <v>Error?</v>
      </c>
    </row>
    <row r="280" spans="1:4" x14ac:dyDescent="0.2">
      <c r="A280" s="5">
        <v>219</v>
      </c>
      <c r="B280" s="1832">
        <f>'Assets-Liab 5-6'!M40</f>
        <v>676073</v>
      </c>
      <c r="D280" s="2" t="str">
        <f t="shared" si="3"/>
        <v>Error?</v>
      </c>
    </row>
    <row r="281" spans="1:4" x14ac:dyDescent="0.2">
      <c r="A281" s="5">
        <v>220</v>
      </c>
      <c r="B281" s="1832">
        <f>'Assets-Liab 5-6'!M41</f>
        <v>676073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8834</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8834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12653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12653</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11426</v>
      </c>
      <c r="D849" s="2" t="str">
        <f t="shared" si="12"/>
        <v>Error?</v>
      </c>
    </row>
    <row r="850" spans="1:4" x14ac:dyDescent="0.2">
      <c r="A850" s="5">
        <v>789</v>
      </c>
      <c r="B850" s="1832">
        <f>'Expenditures 15-22'!E53</f>
        <v>11426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906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906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24985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718246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67210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67210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1294</v>
      </c>
      <c r="D907" s="2" t="str">
        <f t="shared" si="13"/>
        <v>Error?</v>
      </c>
    </row>
    <row r="908" spans="1:4" x14ac:dyDescent="0.2">
      <c r="A908" s="5">
        <v>847</v>
      </c>
      <c r="B908" s="1832">
        <f>'Expenditures 15-22'!F53</f>
        <v>1294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340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340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1634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68844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3290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3290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3290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1199</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53199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704</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704</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551</v>
      </c>
      <c r="D1023" s="2" t="str">
        <f t="shared" ref="D1023:D1086" si="15">IF(ISBLANK(B1023),"OK",IF(A1023-B1023=0,"OK","Error?"))</f>
        <v>Error?</v>
      </c>
    </row>
    <row r="1024" spans="1:4" x14ac:dyDescent="0.2">
      <c r="A1024" s="5">
        <v>963</v>
      </c>
      <c r="B1024" s="1832">
        <f>'Expenditures 15-22'!H53</f>
        <v>551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1255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54454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80533</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132533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13357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13357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13271</v>
      </c>
      <c r="C1121" s="2" t="s">
        <v>569</v>
      </c>
      <c r="D1121" s="2" t="str">
        <f t="shared" si="16"/>
        <v>Error?</v>
      </c>
    </row>
    <row r="1122" spans="1:4" x14ac:dyDescent="0.2">
      <c r="A1122" s="5">
        <v>1061</v>
      </c>
      <c r="B1122" s="1832">
        <f>'Expenditures 15-22'!K53</f>
        <v>13271</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906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340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340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27874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684427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844834</v>
      </c>
      <c r="C1152" s="2" t="s">
        <v>569</v>
      </c>
      <c r="D1152" s="2" t="str">
        <f t="shared" si="17"/>
        <v>Error?</v>
      </c>
    </row>
    <row r="1153" spans="1:4" x14ac:dyDescent="0.2">
      <c r="A1153" s="5">
        <v>1092</v>
      </c>
      <c r="B1153" s="1832">
        <f>'Expenditures 15-22'!K115</f>
        <v>-22804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23020</v>
      </c>
      <c r="D1237" s="2" t="str">
        <f t="shared" si="18"/>
        <v>Error?</v>
      </c>
    </row>
    <row r="1238" spans="1:4" x14ac:dyDescent="0.2">
      <c r="A1238" s="10">
        <v>1177</v>
      </c>
      <c r="B1238" s="1832"/>
      <c r="D1238" s="2" t="str">
        <f t="shared" si="18"/>
        <v>OK</v>
      </c>
    </row>
    <row r="1239" spans="1:4" x14ac:dyDescent="0.2">
      <c r="A1239" s="5">
        <v>1178</v>
      </c>
      <c r="B1239" s="1832">
        <f>'Expenditures 15-22'!E127</f>
        <v>23020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23020</v>
      </c>
      <c r="C1241" s="2" t="s">
        <v>569</v>
      </c>
      <c r="D1241" s="2" t="str">
        <f t="shared" si="18"/>
        <v>Error?</v>
      </c>
    </row>
    <row r="1242" spans="1:4" x14ac:dyDescent="0.2">
      <c r="A1242" s="5">
        <v>1181</v>
      </c>
      <c r="B1242" s="1832">
        <f>'Expenditures 15-22'!E151</f>
        <v>130182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24898</v>
      </c>
      <c r="D1245" s="2" t="str">
        <f t="shared" si="18"/>
        <v>Error?</v>
      </c>
    </row>
    <row r="1246" spans="1:4" x14ac:dyDescent="0.2">
      <c r="A1246" s="10">
        <v>1185</v>
      </c>
      <c r="B1246" s="1832"/>
      <c r="D1246" s="2" t="str">
        <f t="shared" si="18"/>
        <v>OK</v>
      </c>
    </row>
    <row r="1247" spans="1:4" x14ac:dyDescent="0.2">
      <c r="A1247" s="5">
        <v>1186</v>
      </c>
      <c r="B1247" s="1832">
        <f>'Expenditures 15-22'!F127</f>
        <v>24898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24898</v>
      </c>
      <c r="C1249" s="2" t="s">
        <v>569</v>
      </c>
      <c r="D1249" s="2" t="str">
        <f t="shared" si="18"/>
        <v>Error?</v>
      </c>
    </row>
    <row r="1250" spans="1:4" x14ac:dyDescent="0.2">
      <c r="A1250" s="5">
        <v>1189</v>
      </c>
      <c r="B1250" s="1832">
        <f>'Expenditures 15-22'!F151</f>
        <v>24898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1840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1840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1840</v>
      </c>
      <c r="C1258" s="2" t="s">
        <v>569</v>
      </c>
      <c r="D1258" s="2" t="str">
        <f t="shared" si="18"/>
        <v>Error?</v>
      </c>
    </row>
    <row r="1259" spans="1:4" x14ac:dyDescent="0.2">
      <c r="A1259" s="5">
        <v>1198</v>
      </c>
      <c r="B1259" s="1832">
        <f>'Expenditures 15-22'!G151</f>
        <v>1840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49758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49758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49758</v>
      </c>
      <c r="C1281" s="2" t="s">
        <v>569</v>
      </c>
      <c r="D1281" s="2" t="str">
        <f t="shared" si="19"/>
        <v>Error?</v>
      </c>
    </row>
    <row r="1282" spans="1:4" x14ac:dyDescent="0.2">
      <c r="A1282" s="5">
        <v>1221</v>
      </c>
      <c r="B1282" s="1832">
        <f>'Expenditures 15-22'!K139</f>
        <v>107162</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156920</v>
      </c>
      <c r="C1288" s="2" t="s">
        <v>569</v>
      </c>
      <c r="D1288" s="2" t="str">
        <f t="shared" si="19"/>
        <v>Error?</v>
      </c>
    </row>
    <row r="1289" spans="1:4" x14ac:dyDescent="0.2">
      <c r="A1289" s="5">
        <v>1228</v>
      </c>
      <c r="B1289" s="1832">
        <f>'Expenditures 15-22'!K152</f>
        <v>2283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1894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1894</v>
      </c>
      <c r="C1351" s="2" t="s">
        <v>569</v>
      </c>
      <c r="D1351" s="2" t="str">
        <f t="shared" si="20"/>
        <v>Error?</v>
      </c>
    </row>
    <row r="1352" spans="1:4" x14ac:dyDescent="0.2">
      <c r="A1352" s="5">
        <v>1291</v>
      </c>
      <c r="B1352" s="1832">
        <f>'Expenditures 15-22'!E196</f>
        <v>5520</v>
      </c>
      <c r="C1352" s="2" t="s">
        <v>569</v>
      </c>
      <c r="D1352" s="2" t="str">
        <f t="shared" si="20"/>
        <v>Error?</v>
      </c>
    </row>
    <row r="1353" spans="1:4" x14ac:dyDescent="0.2">
      <c r="A1353" s="5">
        <v>1292</v>
      </c>
      <c r="B1353" s="1832">
        <f>'Expenditures 15-22'!E210</f>
        <v>7414</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55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55</v>
      </c>
      <c r="C1376" s="2" t="s">
        <v>569</v>
      </c>
      <c r="D1376" s="2" t="str">
        <f t="shared" si="20"/>
        <v>Error?</v>
      </c>
    </row>
    <row r="1377" spans="1:4" x14ac:dyDescent="0.2">
      <c r="A1377" s="5">
        <v>1316</v>
      </c>
      <c r="B1377" s="1832">
        <f>'Expenditures 15-22'!K182</f>
        <v>1949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1949</v>
      </c>
      <c r="C1381" s="2" t="s">
        <v>569</v>
      </c>
      <c r="D1381" s="2" t="str">
        <f t="shared" si="20"/>
        <v>Error?</v>
      </c>
    </row>
    <row r="1382" spans="1:4" x14ac:dyDescent="0.2">
      <c r="A1382" s="5">
        <v>1321</v>
      </c>
      <c r="B1382" s="1832">
        <f>'Expenditures 15-22'!K196</f>
        <v>5520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7469</v>
      </c>
      <c r="C1388" s="2" t="s">
        <v>569</v>
      </c>
      <c r="D1388" s="2" t="str">
        <f t="shared" si="20"/>
        <v>Error?</v>
      </c>
    </row>
    <row r="1389" spans="1:4" x14ac:dyDescent="0.2">
      <c r="A1389" s="5">
        <v>1328</v>
      </c>
      <c r="B1389" s="1832">
        <f>'Expenditures 15-22'!K211</f>
        <v>1170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218522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195718</v>
      </c>
      <c r="C1630" s="2" t="s">
        <v>569</v>
      </c>
      <c r="D1630" s="2" t="str">
        <f t="shared" si="24"/>
        <v>Error?</v>
      </c>
    </row>
    <row r="1631" spans="1:4" x14ac:dyDescent="0.2">
      <c r="A1631" s="5">
        <v>1570</v>
      </c>
      <c r="B1631" s="1832">
        <f>'Acct Summary 7-8'!D79</f>
        <v>151683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153966</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40158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41328</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54850</v>
      </c>
      <c r="D2008" s="2" t="str">
        <f t="shared" si="30"/>
        <v>Error?</v>
      </c>
    </row>
    <row r="2009" spans="1:4" x14ac:dyDescent="0.2">
      <c r="A2009" s="5">
        <v>1948</v>
      </c>
      <c r="B2009" s="1832">
        <f>'Cap Outlay Deprec 26'!C8</f>
        <v>568137</v>
      </c>
      <c r="D2009" s="2" t="str">
        <f t="shared" si="30"/>
        <v>Error?</v>
      </c>
    </row>
    <row r="2010" spans="1:4" x14ac:dyDescent="0.2">
      <c r="A2010" s="5">
        <v>1949</v>
      </c>
      <c r="B2010" s="1832">
        <f>'Cap Outlay Deprec 26'!C10</f>
        <v>16909</v>
      </c>
      <c r="D2010" s="2" t="str">
        <f t="shared" si="30"/>
        <v>Error?</v>
      </c>
    </row>
    <row r="2011" spans="1:4" x14ac:dyDescent="0.2">
      <c r="A2011" s="5">
        <v>1950</v>
      </c>
      <c r="B2011" s="1832">
        <f>'Cap Outlay Deprec 26'!C12</f>
        <v>41949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681845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5130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5130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10902</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10902</v>
      </c>
      <c r="C2025" s="2" t="s">
        <v>569</v>
      </c>
      <c r="D2025" s="2" t="str">
        <f t="shared" si="30"/>
        <v>Error?</v>
      </c>
    </row>
    <row r="2026" spans="1:4" x14ac:dyDescent="0.2">
      <c r="A2026" s="5">
        <v>1965</v>
      </c>
      <c r="B2026" s="1832">
        <f>'Cap Outlay Deprec 26'!F5</f>
        <v>54850</v>
      </c>
      <c r="C2026" s="2" t="s">
        <v>569</v>
      </c>
      <c r="D2026" s="2" t="str">
        <f t="shared" si="30"/>
        <v>Error?</v>
      </c>
    </row>
    <row r="2027" spans="1:4" x14ac:dyDescent="0.2">
      <c r="A2027" s="5">
        <v>1966</v>
      </c>
      <c r="B2027" s="1832">
        <f>'Cap Outlay Deprec 26'!F8</f>
        <v>568137</v>
      </c>
      <c r="C2027" s="2" t="s">
        <v>569</v>
      </c>
      <c r="D2027" s="2" t="str">
        <f t="shared" si="30"/>
        <v>Error?</v>
      </c>
    </row>
    <row r="2028" spans="1:4" x14ac:dyDescent="0.2">
      <c r="A2028" s="5">
        <v>1967</v>
      </c>
      <c r="B2028" s="1832">
        <f>'Cap Outlay Deprec 26'!F10</f>
        <v>16909</v>
      </c>
      <c r="C2028" s="2" t="s">
        <v>569</v>
      </c>
      <c r="D2028" s="2" t="str">
        <f t="shared" si="30"/>
        <v>Error?</v>
      </c>
    </row>
    <row r="2029" spans="1:4" x14ac:dyDescent="0.2">
      <c r="A2029" s="5">
        <v>1968</v>
      </c>
      <c r="B2029" s="1832">
        <f>'Cap Outlay Deprec 26'!F12</f>
        <v>36177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676073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304666</v>
      </c>
      <c r="D2033" s="2" t="str">
        <f t="shared" si="30"/>
        <v>Error?</v>
      </c>
    </row>
    <row r="2034" spans="1:4" x14ac:dyDescent="0.2">
      <c r="A2034" s="5">
        <v>1973</v>
      </c>
      <c r="B2034" s="1832">
        <f>'Cap Outlay Deprec 26'!H10</f>
        <v>10352</v>
      </c>
      <c r="D2034" s="2" t="str">
        <f t="shared" si="30"/>
        <v>Error?</v>
      </c>
    </row>
    <row r="2035" spans="1:4" x14ac:dyDescent="0.2">
      <c r="A2035" s="5">
        <v>1974</v>
      </c>
      <c r="B2035" s="1832">
        <f>'Cap Outlay Deprec 26'!H12</f>
        <v>28269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343287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8964</v>
      </c>
      <c r="D2039" s="2" t="str">
        <f t="shared" si="30"/>
        <v>Error?</v>
      </c>
    </row>
    <row r="2040" spans="1:4" x14ac:dyDescent="0.2">
      <c r="A2040" s="5">
        <v>1979</v>
      </c>
      <c r="B2040" s="1832">
        <f>'Cap Outlay Deprec 26'!I10</f>
        <v>846</v>
      </c>
      <c r="D2040" s="2" t="str">
        <f t="shared" si="30"/>
        <v>Error?</v>
      </c>
    </row>
    <row r="2041" spans="1:4" x14ac:dyDescent="0.2">
      <c r="A2041" s="5">
        <v>1980</v>
      </c>
      <c r="B2041" s="1832">
        <f>'Cap Outlay Deprec 26'!I12</f>
        <v>3620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13430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10902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10902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313630</v>
      </c>
      <c r="C2051" s="2" t="s">
        <v>569</v>
      </c>
      <c r="D2051" s="2" t="str">
        <f t="shared" si="31"/>
        <v>Error?</v>
      </c>
    </row>
    <row r="2052" spans="1:4" x14ac:dyDescent="0.2">
      <c r="A2052" s="5">
        <v>1991</v>
      </c>
      <c r="B2052" s="1832">
        <f>'Cap Outlay Deprec 26'!K10</f>
        <v>11198</v>
      </c>
      <c r="C2052" s="2" t="s">
        <v>569</v>
      </c>
      <c r="D2052" s="2" t="str">
        <f t="shared" si="31"/>
        <v>Error?</v>
      </c>
    </row>
    <row r="2053" spans="1:4" x14ac:dyDescent="0.2">
      <c r="A2053" s="5">
        <v>1992</v>
      </c>
      <c r="B2053" s="1832">
        <f>'Cap Outlay Deprec 26'!K12</f>
        <v>20987</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345815</v>
      </c>
      <c r="C2055" s="2" t="s">
        <v>569</v>
      </c>
      <c r="D2055" s="2" t="str">
        <f t="shared" si="31"/>
        <v>Error?</v>
      </c>
    </row>
    <row r="2056" spans="1:4" x14ac:dyDescent="0.2">
      <c r="A2056" s="5">
        <v>1995</v>
      </c>
      <c r="B2056" s="1832">
        <f>'Cap Outlay Deprec 26'!L5</f>
        <v>54850</v>
      </c>
      <c r="C2056" s="2" t="s">
        <v>569</v>
      </c>
      <c r="D2056" s="2" t="str">
        <f t="shared" si="31"/>
        <v>Error?</v>
      </c>
    </row>
    <row r="2057" spans="1:4" x14ac:dyDescent="0.2">
      <c r="A2057" s="5">
        <v>1996</v>
      </c>
      <c r="B2057" s="1832">
        <f>'Cap Outlay Deprec 26'!L8</f>
        <v>254507</v>
      </c>
      <c r="C2057" s="2" t="s">
        <v>569</v>
      </c>
      <c r="D2057" s="2" t="str">
        <f t="shared" si="31"/>
        <v>Error?</v>
      </c>
    </row>
    <row r="2058" spans="1:4" x14ac:dyDescent="0.2">
      <c r="A2058" s="5">
        <v>1997</v>
      </c>
      <c r="B2058" s="1832">
        <f>'Cap Outlay Deprec 26'!L10</f>
        <v>5711</v>
      </c>
      <c r="C2058" s="2" t="s">
        <v>569</v>
      </c>
      <c r="D2058" s="2" t="str">
        <f t="shared" si="31"/>
        <v>Error?</v>
      </c>
    </row>
    <row r="2059" spans="1:4" x14ac:dyDescent="0.2">
      <c r="A2059" s="5">
        <v>1998</v>
      </c>
      <c r="B2059" s="1832">
        <f>'Cap Outlay Deprec 26'!L12</f>
        <v>15190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330258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684427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107162</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648129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165000</v>
      </c>
      <c r="C2553" s="2" t="s">
        <v>569</v>
      </c>
      <c r="D2553" s="2" t="str">
        <f t="shared" si="38"/>
        <v>Error?</v>
      </c>
    </row>
    <row r="2554" spans="1:4" x14ac:dyDescent="0.2">
      <c r="A2554" s="5">
        <v>2493</v>
      </c>
      <c r="B2554" s="1832">
        <f>'Acct Summary 7-8'!C7</f>
        <v>8901</v>
      </c>
      <c r="C2554" s="2" t="s">
        <v>569</v>
      </c>
      <c r="D2554" s="2" t="str">
        <f t="shared" si="38"/>
        <v>Error?</v>
      </c>
    </row>
    <row r="2555" spans="1:4" x14ac:dyDescent="0.2">
      <c r="A2555" s="5">
        <v>2494</v>
      </c>
      <c r="B2555" s="1832">
        <f>'Acct Summary 7-8'!C8</f>
        <v>822030</v>
      </c>
      <c r="C2555" s="2" t="s">
        <v>569</v>
      </c>
      <c r="D2555" s="2" t="str">
        <f t="shared" si="38"/>
        <v>Error?</v>
      </c>
    </row>
    <row r="2556" spans="1:4" x14ac:dyDescent="0.2">
      <c r="A2556" s="5">
        <v>2495</v>
      </c>
      <c r="B2556" s="1832">
        <f>'Acct Summary 7-8'!C12</f>
        <v>132533</v>
      </c>
      <c r="C2556" s="2" t="s">
        <v>569</v>
      </c>
      <c r="D2556" s="2" t="str">
        <f t="shared" si="38"/>
        <v>Error?</v>
      </c>
    </row>
    <row r="2557" spans="1:4" x14ac:dyDescent="0.2">
      <c r="A2557" s="5">
        <v>2496</v>
      </c>
      <c r="B2557" s="1832">
        <f>'Acct Summary 7-8'!C13</f>
        <v>27874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684427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844834</v>
      </c>
      <c r="C2561" s="2" t="s">
        <v>569</v>
      </c>
      <c r="D2561" s="2" t="str">
        <f t="shared" si="39"/>
        <v>Error?</v>
      </c>
    </row>
    <row r="2562" spans="1:4" x14ac:dyDescent="0.2">
      <c r="A2562" s="5">
        <v>2501</v>
      </c>
      <c r="B2562" s="1832">
        <f>'Acct Summary 7-8'!C20</f>
        <v>-22804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159203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159203</v>
      </c>
      <c r="C2568" s="2" t="s">
        <v>569</v>
      </c>
      <c r="D2568" s="2" t="str">
        <f t="shared" si="39"/>
        <v>Error?</v>
      </c>
    </row>
    <row r="2569" spans="1:4" x14ac:dyDescent="0.2">
      <c r="A2569" s="5">
        <v>2508</v>
      </c>
      <c r="B2569" s="1832">
        <f>'Acct Summary 7-8'!D13</f>
        <v>49758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107162</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156920</v>
      </c>
      <c r="C2573" s="2" t="s">
        <v>569</v>
      </c>
      <c r="D2573" s="2" t="str">
        <f t="shared" si="39"/>
        <v>Error?</v>
      </c>
    </row>
    <row r="2574" spans="1:4" x14ac:dyDescent="0.2">
      <c r="A2574" s="5">
        <v>2513</v>
      </c>
      <c r="B2574" s="1832">
        <f>'Acct Summary 7-8'!D20</f>
        <v>2283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5406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3233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8639</v>
      </c>
      <c r="C2595" s="2" t="s">
        <v>569</v>
      </c>
      <c r="D2595" s="2" t="str">
        <f t="shared" si="39"/>
        <v>Error?</v>
      </c>
    </row>
    <row r="2596" spans="1:4" x14ac:dyDescent="0.2">
      <c r="A2596" s="5">
        <v>2535</v>
      </c>
      <c r="B2596" s="1832">
        <f>'Acct Summary 7-8'!F13</f>
        <v>1949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5520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7469</v>
      </c>
      <c r="C2600" s="2" t="s">
        <v>569</v>
      </c>
      <c r="D2600" s="2" t="str">
        <f t="shared" si="39"/>
        <v>Error?</v>
      </c>
    </row>
    <row r="2601" spans="1:4" x14ac:dyDescent="0.2">
      <c r="A2601" s="5">
        <v>2540</v>
      </c>
      <c r="B2601" s="1832">
        <f>'Acct Summary 7-8'!F20</f>
        <v>1170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684427</v>
      </c>
      <c r="C2789" s="2" t="s">
        <v>569</v>
      </c>
      <c r="D2789" s="2" t="str">
        <f t="shared" si="42"/>
        <v>Error?</v>
      </c>
    </row>
    <row r="2790" spans="1:4" x14ac:dyDescent="0.2">
      <c r="A2790" s="5">
        <v>2729</v>
      </c>
      <c r="B2790" s="1832">
        <f>'Expenditures 15-22'!E102</f>
        <v>684427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5520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5520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36177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24166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14179</v>
      </c>
      <c r="D2914" s="2" t="str">
        <f t="shared" si="44"/>
        <v>Error?</v>
      </c>
    </row>
    <row r="2915" spans="1:4" x14ac:dyDescent="0.2">
      <c r="A2915" s="10">
        <v>2854</v>
      </c>
      <c r="B2915" s="1832"/>
      <c r="D2915" s="2" t="str">
        <f t="shared" si="44"/>
        <v>OK</v>
      </c>
    </row>
    <row r="2916" spans="1:4" x14ac:dyDescent="0.2">
      <c r="A2916" s="5">
        <v>2855</v>
      </c>
      <c r="B2916" s="1832">
        <f>'Assets-Liab 5-6'!L34</f>
        <v>14179</v>
      </c>
      <c r="C2916" s="2" t="s">
        <v>569</v>
      </c>
      <c r="D2916" s="2" t="str">
        <f t="shared" si="44"/>
        <v>Error?</v>
      </c>
    </row>
    <row r="2917" spans="1:4" x14ac:dyDescent="0.2">
      <c r="A2917" s="5">
        <v>2856</v>
      </c>
      <c r="B2917" s="1832">
        <f>'Assets-Liab 5-6'!L41</f>
        <v>24166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684427</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684427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107162</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5520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5520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9987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-22804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2283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1170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195718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153966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41328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24166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822030</v>
      </c>
      <c r="C4122" s="2" t="s">
        <v>569</v>
      </c>
      <c r="D4122" s="2" t="str">
        <f t="shared" si="63"/>
        <v>Error?</v>
      </c>
    </row>
    <row r="4123" spans="1:4" x14ac:dyDescent="0.2">
      <c r="A4123" s="5">
        <v>4062</v>
      </c>
      <c r="B4123" s="1832">
        <f>'Acct Summary 7-8'!D10</f>
        <v>159203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8639</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844834</v>
      </c>
      <c r="C4136" s="2" t="s">
        <v>569</v>
      </c>
      <c r="D4136" s="2" t="str">
        <f t="shared" si="63"/>
        <v>Error?</v>
      </c>
    </row>
    <row r="4137" spans="1:4" x14ac:dyDescent="0.2">
      <c r="A4137" s="5">
        <v>4076</v>
      </c>
      <c r="B4137" s="1832">
        <f>'Acct Summary 7-8'!D19</f>
        <v>156920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7469</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107162</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107162</v>
      </c>
      <c r="C4202" s="2" t="s">
        <v>569</v>
      </c>
      <c r="D4202" s="2" t="str">
        <f t="shared" si="64"/>
        <v>Error?</v>
      </c>
    </row>
    <row r="4203" spans="1:4" x14ac:dyDescent="0.2">
      <c r="A4203" s="5">
        <v>4142</v>
      </c>
      <c r="B4203" s="1832">
        <f>'Expenditures 15-22'!E139</f>
        <v>107162</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391012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8901</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3892</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618908</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618908</v>
      </c>
      <c r="C5087" s="2" t="s">
        <v>569</v>
      </c>
      <c r="D5087" s="2" t="str">
        <f t="shared" si="78"/>
        <v>Error?</v>
      </c>
    </row>
    <row r="5088" spans="1:4" x14ac:dyDescent="0.2">
      <c r="A5088" s="5">
        <v>5027</v>
      </c>
      <c r="B5088" s="1832">
        <f>'Revenues 9-14'!C65</f>
        <v>317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317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843</v>
      </c>
      <c r="D5114" s="2" t="str">
        <f t="shared" si="78"/>
        <v>Error?</v>
      </c>
    </row>
    <row r="5115" spans="1:4" x14ac:dyDescent="0.2">
      <c r="A5115" s="5">
        <v>5054</v>
      </c>
      <c r="B5115" s="1832">
        <f>'Revenues 9-14'!C98</f>
        <v>500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23040</v>
      </c>
      <c r="D5117" s="2" t="str">
        <f t="shared" si="78"/>
        <v>Error?</v>
      </c>
    </row>
    <row r="5118" spans="1:4" x14ac:dyDescent="0.2">
      <c r="A5118" s="5">
        <v>5057</v>
      </c>
      <c r="B5118" s="1832">
        <f>'Revenues 9-14'!C106</f>
        <v>4521</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28904</v>
      </c>
      <c r="C5120" s="2" t="s">
        <v>569</v>
      </c>
      <c r="D5120" s="2" t="str">
        <f t="shared" si="79"/>
        <v>Error?</v>
      </c>
    </row>
    <row r="5121" spans="1:4" x14ac:dyDescent="0.2">
      <c r="A5121" s="5">
        <v>5060</v>
      </c>
      <c r="B5121" s="1832">
        <f>'Revenues 9-14'!C109</f>
        <v>648129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165000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165000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165000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165000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8901</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8901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8901</v>
      </c>
      <c r="C5326" s="2" t="s">
        <v>569</v>
      </c>
      <c r="D5326" s="2" t="str">
        <f t="shared" si="82"/>
        <v>Error?</v>
      </c>
    </row>
    <row r="5327" spans="1:5" x14ac:dyDescent="0.2">
      <c r="A5327" s="5">
        <v>5266</v>
      </c>
      <c r="B5327" s="1832">
        <f>'Revenues 9-14'!C268</f>
        <v>822030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198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3305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155700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159005</v>
      </c>
      <c r="C5355" s="2" t="s">
        <v>569</v>
      </c>
      <c r="D5355" s="2" t="str">
        <f t="shared" si="82"/>
        <v>Error?</v>
      </c>
    </row>
    <row r="5356" spans="1:4" x14ac:dyDescent="0.2">
      <c r="A5356" s="5">
        <v>5295</v>
      </c>
      <c r="B5356" s="1832">
        <f>'Revenues 9-14'!D109</f>
        <v>159203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159203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1465</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5357</v>
      </c>
      <c r="C5587" s="2" t="s">
        <v>569</v>
      </c>
      <c r="D5587" s="2" t="str">
        <f t="shared" si="86"/>
        <v>Error?</v>
      </c>
    </row>
    <row r="5588" spans="1:4" x14ac:dyDescent="0.2">
      <c r="A5588" s="5">
        <v>5527</v>
      </c>
      <c r="B5588" s="1832">
        <f>'Revenues 9-14'!F109</f>
        <v>5406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3233</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3233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3233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3233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8639</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-22804</v>
      </c>
      <c r="D6267" s="2" t="str">
        <f t="shared" si="96"/>
        <v>Error?</v>
      </c>
      <c r="E6267" s="2" t="s">
        <v>189</v>
      </c>
    </row>
    <row r="6268" spans="1:5" x14ac:dyDescent="0.2">
      <c r="A6268">
        <v>6207</v>
      </c>
      <c r="B6268" s="1832">
        <f>'Acct Summary 7-8'!D82</f>
        <v>2283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1170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-0.11651457709561716</v>
      </c>
      <c r="D6276" s="2" t="str">
        <f t="shared" si="97"/>
        <v>Error?</v>
      </c>
      <c r="E6276" s="2" t="s">
        <v>189</v>
      </c>
    </row>
    <row r="6277" spans="1:5" x14ac:dyDescent="0.2">
      <c r="A6277">
        <v>6216</v>
      </c>
      <c r="B6277" s="1832">
        <f>'Acct Summary 7-8'!D83</f>
        <v>1.4827949027707416E-2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2.8310104529616725E-2</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52000</v>
      </c>
      <c r="D6890" s="2" t="str">
        <f t="shared" si="106"/>
        <v>Error?</v>
      </c>
    </row>
    <row r="6891" spans="1:4" x14ac:dyDescent="0.2">
      <c r="A6891">
        <v>6830</v>
      </c>
      <c r="B6891" s="1832">
        <f>'Expenditures 15-22'!K27</f>
        <v>52000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13430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1009223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854239</v>
      </c>
      <c r="D7834" s="2" t="str">
        <f t="shared" si="129"/>
        <v>Error?</v>
      </c>
      <c r="E7834" s="4" t="s">
        <v>1998</v>
      </c>
    </row>
    <row r="7835" spans="1:5" x14ac:dyDescent="0.2">
      <c r="A7835">
        <v>7774</v>
      </c>
      <c r="B7835" s="1832">
        <f>'PCTC-OEPP 27-28'!F78</f>
        <v>154984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3305</v>
      </c>
      <c r="D7839" s="2" t="str">
        <f t="shared" si="129"/>
        <v>Error?</v>
      </c>
      <c r="E7839" s="4" t="s">
        <v>1998</v>
      </c>
    </row>
    <row r="7840" spans="1:5" x14ac:dyDescent="0.2">
      <c r="A7840">
        <v>7779</v>
      </c>
      <c r="B7840" s="1832">
        <f>'PCTC-OEPP 27-28'!F103</f>
        <v>1965</v>
      </c>
      <c r="D7840" s="2" t="str">
        <f t="shared" si="129"/>
        <v>Error?</v>
      </c>
      <c r="E7840" s="4" t="s">
        <v>1998</v>
      </c>
    </row>
    <row r="7841" spans="1:5" x14ac:dyDescent="0.2">
      <c r="A7841">
        <v>7780</v>
      </c>
      <c r="B7841" s="1832">
        <f>'PCTC-OEPP 27-28'!F104</f>
        <v>159592</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165000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3233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8901</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346517</v>
      </c>
      <c r="D7877" s="2" t="str">
        <f t="shared" si="129"/>
        <v>Error?</v>
      </c>
      <c r="E7877" s="4" t="s">
        <v>1998</v>
      </c>
    </row>
    <row r="7878" spans="1:5" x14ac:dyDescent="0.2">
      <c r="A7878">
        <v>7817</v>
      </c>
      <c r="B7878" s="1832">
        <f>'PCTC-OEPP 27-28'!F176</f>
        <v>-191533</v>
      </c>
      <c r="D7878" s="2" t="str">
        <f t="shared" si="129"/>
        <v>Error?</v>
      </c>
      <c r="E7878" s="4" t="s">
        <v>1998</v>
      </c>
    </row>
    <row r="7879" spans="1:5" x14ac:dyDescent="0.2">
      <c r="A7879">
        <v>7818</v>
      </c>
      <c r="B7879" s="1832">
        <f>'PCTC-OEPP 27-28'!F178</f>
        <v>-178103</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Lasalle-Peru Area Career Ctr</v>
      </c>
      <c r="B7" s="2516"/>
      <c r="C7" s="2516"/>
      <c r="D7" s="2554"/>
      <c r="E7" s="2555">
        <f>COVER!A13</f>
        <v>35050120040</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Dwayne Mentgen</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tcustis@gorenzcpa.com</v>
      </c>
      <c r="J13" s="2550"/>
      <c r="K13" s="2550"/>
      <c r="L13" s="2551"/>
    </row>
    <row r="14" spans="1:29" ht="13.5" customHeight="1" x14ac:dyDescent="0.2">
      <c r="A14" s="2528" t="str">
        <f>COVER!A19</f>
        <v>900 Ninth Street</v>
      </c>
      <c r="B14" s="2541"/>
      <c r="C14" s="2541"/>
      <c r="D14" s="2541"/>
      <c r="E14" s="2541"/>
      <c r="F14" s="2542"/>
      <c r="G14" s="974" t="s">
        <v>1175</v>
      </c>
      <c r="H14" s="972"/>
      <c r="I14" s="972"/>
      <c r="J14" s="972"/>
      <c r="K14" s="972"/>
      <c r="L14" s="973"/>
    </row>
    <row r="15" spans="1:29" ht="13.5" customHeight="1" x14ac:dyDescent="0.2">
      <c r="A15" s="2528" t="str">
        <f>COVER!A21</f>
        <v>Peru</v>
      </c>
      <c r="B15" s="2541"/>
      <c r="C15" s="2541"/>
      <c r="D15" s="2541"/>
      <c r="E15" s="2541"/>
      <c r="F15" s="2542"/>
      <c r="G15" s="2538" t="str">
        <f>COVER!T15</f>
        <v>Tim C. Custis, CPA</v>
      </c>
      <c r="H15" s="2539"/>
      <c r="I15" s="2539"/>
      <c r="J15" s="2539"/>
      <c r="K15" s="2539"/>
      <c r="L15" s="2540"/>
    </row>
    <row r="16" spans="1:29" ht="12.2" customHeight="1" x14ac:dyDescent="0.2">
      <c r="A16" s="2518">
        <f>COVER!A25</f>
        <v>61354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Lasalle-Peru Area Career Ctr</v>
      </c>
      <c r="B1" s="2558"/>
      <c r="C1" s="2558"/>
      <c r="D1" s="2558"/>
    </row>
    <row r="2" spans="1:11" s="991" customFormat="1" ht="12.75" x14ac:dyDescent="0.2">
      <c r="A2" s="2559">
        <f>'Single Audit Cover'!E7</f>
        <v>35050120040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Lasalle-Peru Area Career Ctr</v>
      </c>
      <c r="B1" s="2562"/>
      <c r="C1" s="2562"/>
      <c r="D1" s="2562"/>
      <c r="E1" s="2562"/>
    </row>
    <row r="2" spans="1:5" x14ac:dyDescent="0.2">
      <c r="A2" s="2563">
        <f>'Single Audit Cover'!E7</f>
        <v>35050120040</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8901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8901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8901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8901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Lasalle-Peru Area Career Ctr</v>
      </c>
      <c r="C1" s="2566"/>
      <c r="D1" s="2566"/>
      <c r="E1" s="2566"/>
      <c r="F1" s="2566"/>
      <c r="G1" s="2566"/>
      <c r="H1" s="2566"/>
      <c r="I1" s="2566"/>
      <c r="J1" s="2566"/>
      <c r="K1" s="2566"/>
      <c r="L1" s="2566"/>
      <c r="M1" s="2566"/>
    </row>
    <row r="2" spans="2:14" ht="15" x14ac:dyDescent="0.2">
      <c r="B2" s="2567">
        <f>'Single Audit Cover'!E7</f>
        <v>35050120040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Lasalle-Peru Area Career Ctr</v>
      </c>
      <c r="B1" s="2571"/>
      <c r="C1" s="2571"/>
      <c r="D1" s="2571"/>
      <c r="E1" s="2571"/>
      <c r="F1" s="2571"/>
    </row>
    <row r="2" spans="1:7" ht="13.5" customHeight="1" x14ac:dyDescent="0.2">
      <c r="A2" s="2567">
        <f>'Single Audit Cover'!E7</f>
        <v>35050120040</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Lasalle-Peru Area Career Ctr</v>
      </c>
      <c r="C1" s="2587"/>
      <c r="D1" s="2587"/>
      <c r="E1" s="2587"/>
      <c r="F1" s="2587"/>
      <c r="G1" s="2587"/>
      <c r="H1" s="2587"/>
      <c r="I1" s="2587"/>
      <c r="J1" s="1178"/>
    </row>
    <row r="2" spans="2:10" s="295" customFormat="1" ht="12.75" customHeight="1" x14ac:dyDescent="0.2">
      <c r="B2" s="2588">
        <f>'Single Audit Cover'!E7</f>
        <v>35050120040</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Lasalle-Peru Area Career Ctr</v>
      </c>
      <c r="C1" s="2586"/>
      <c r="D1" s="2586"/>
      <c r="E1" s="2586"/>
      <c r="F1" s="2586"/>
      <c r="G1" s="2586"/>
      <c r="H1" s="2586"/>
      <c r="I1" s="2586"/>
      <c r="J1" s="2586"/>
      <c r="K1" s="2586"/>
      <c r="L1" s="1144"/>
      <c r="M1" s="1144"/>
    </row>
    <row r="2" spans="1:13" ht="12" customHeight="1" x14ac:dyDescent="0.2">
      <c r="B2" s="2588">
        <f>'Single Audit Cover'!E7</f>
        <v>35050120040</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Lasalle-Peru Area Career Ctr</v>
      </c>
      <c r="C1" s="2613"/>
      <c r="D1" s="2613"/>
      <c r="E1" s="2613"/>
      <c r="F1" s="2613"/>
      <c r="G1" s="2613"/>
      <c r="H1" s="2613"/>
      <c r="I1" s="2613"/>
      <c r="J1" s="2613"/>
      <c r="K1" s="2613"/>
      <c r="L1" s="1221"/>
    </row>
    <row r="2" spans="1:12" ht="12.75" customHeight="1" x14ac:dyDescent="0.2">
      <c r="B2" s="2614">
        <f>'Single Audit Cover'!E7</f>
        <v>35050120040</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Lasalle-Peru Area Career Ctr</v>
      </c>
      <c r="C1" s="2586"/>
      <c r="D1" s="2586"/>
      <c r="E1" s="1240"/>
    </row>
    <row r="2" spans="2:5" s="1058" customFormat="1" ht="12.75" customHeight="1" x14ac:dyDescent="0.2">
      <c r="B2" s="2588">
        <f>'Single Audit Cover'!E7</f>
        <v>35050120040</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989872</v>
      </c>
      <c r="E16" s="1547"/>
      <c r="F16" s="1546">
        <f>SUM('Acct Summary 7-8'!C17,'Acct Summary 7-8'!D17,'Acct Summary 7-8'!F17)</f>
        <v>1009223</v>
      </c>
      <c r="G16" s="1547"/>
      <c r="H16" s="1546">
        <f>SUM(D16-F16)</f>
        <v>-19351</v>
      </c>
      <c r="I16" s="1548"/>
      <c r="J16" s="1546">
        <f>SUM('Acct Summary 7-8'!C81,'Acct Summary 7-8'!D81,'Acct Summary 7-8'!F81,'Acct Summary 7-8'!I81)</f>
        <v>391012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Lasalle-Peru Area Career Ctr</v>
      </c>
      <c r="E7" s="368"/>
      <c r="G7" s="247"/>
      <c r="H7" s="364"/>
      <c r="I7" s="364"/>
      <c r="J7" s="364"/>
      <c r="K7" s="364"/>
      <c r="L7" s="307"/>
      <c r="M7" s="307"/>
      <c r="N7" s="307"/>
      <c r="O7" s="307"/>
      <c r="P7" s="307"/>
    </row>
    <row r="8" spans="1:18" ht="12.75" x14ac:dyDescent="0.2">
      <c r="A8" s="307"/>
      <c r="B8" s="307"/>
      <c r="C8" s="366" t="s">
        <v>1115</v>
      </c>
      <c r="D8" s="369">
        <f>COVER!A13</f>
        <v>35050120040</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391012</v>
      </c>
      <c r="I12" s="380"/>
      <c r="J12" s="380"/>
      <c r="K12" s="1559">
        <f>TRUNC((H12/H13*100000),5)/100000</f>
        <v>0.39501268849999999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989872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1009223</v>
      </c>
      <c r="I17" s="380"/>
      <c r="J17" s="389"/>
      <c r="K17" s="1559">
        <f>TRUNC((H17/H18*100000),5)/100000</f>
        <v>1.0195489921000001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989872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15.0909411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391012</v>
      </c>
      <c r="I24" s="394"/>
      <c r="J24" s="394"/>
      <c r="K24" s="1555">
        <f>TRUNC(((H24/H25*100000)/100000),2)</f>
        <v>139.47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2803.3972199999998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7" sqref="F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195718</v>
      </c>
      <c r="D4" s="1573">
        <v>153966</v>
      </c>
      <c r="E4" s="1573">
        <v>0</v>
      </c>
      <c r="F4" s="1573">
        <v>41328</v>
      </c>
      <c r="G4" s="1573">
        <v>0</v>
      </c>
      <c r="H4" s="1573">
        <v>0</v>
      </c>
      <c r="I4" s="1573">
        <v>0</v>
      </c>
      <c r="J4" s="1574">
        <v>0</v>
      </c>
      <c r="K4" s="1573">
        <v>0</v>
      </c>
      <c r="L4" s="1573">
        <v>24166</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195718</v>
      </c>
      <c r="D13" s="1587">
        <f t="shared" ref="D13:L13" si="0">SUM(D4:D12)</f>
        <v>153966</v>
      </c>
      <c r="E13" s="1587">
        <f t="shared" si="0"/>
        <v>0</v>
      </c>
      <c r="F13" s="1587">
        <f t="shared" si="0"/>
        <v>41328</v>
      </c>
      <c r="G13" s="1587">
        <f t="shared" si="0"/>
        <v>0</v>
      </c>
      <c r="H13" s="1587">
        <f t="shared" si="0"/>
        <v>0</v>
      </c>
      <c r="I13" s="1587">
        <f t="shared" si="0"/>
        <v>0</v>
      </c>
      <c r="J13" s="1587">
        <f t="shared" si="0"/>
        <v>0</v>
      </c>
      <c r="K13" s="1587">
        <f t="shared" si="0"/>
        <v>0</v>
      </c>
      <c r="L13" s="1587">
        <f t="shared" si="0"/>
        <v>24166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54850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568137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16909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36177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676073</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14179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14179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0</v>
      </c>
      <c r="H38" s="1573">
        <v>0</v>
      </c>
      <c r="I38" s="1573">
        <v>0</v>
      </c>
      <c r="J38" s="1574">
        <v>0</v>
      </c>
      <c r="K38" s="1573">
        <v>0</v>
      </c>
      <c r="L38" s="1586">
        <v>9987</v>
      </c>
      <c r="M38" s="1604"/>
      <c r="N38" s="1604"/>
    </row>
    <row r="39" spans="1:14" s="307" customFormat="1" ht="13.5" customHeight="1" x14ac:dyDescent="0.2">
      <c r="A39" s="438" t="s">
        <v>339</v>
      </c>
      <c r="B39" s="432">
        <v>730</v>
      </c>
      <c r="C39" s="1573">
        <v>195718</v>
      </c>
      <c r="D39" s="1573">
        <v>153966</v>
      </c>
      <c r="E39" s="1573">
        <v>0</v>
      </c>
      <c r="F39" s="1573">
        <v>41328</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676073</v>
      </c>
      <c r="N40" s="1604"/>
    </row>
    <row r="41" spans="1:14" ht="13.5" customHeight="1" thickBot="1" x14ac:dyDescent="0.25">
      <c r="A41" s="1426" t="s">
        <v>650</v>
      </c>
      <c r="B41" s="1405"/>
      <c r="C41" s="1594">
        <f>(SUM(C34,C37,C38,C39))</f>
        <v>195718</v>
      </c>
      <c r="D41" s="1594">
        <f t="shared" ref="D41:L41" si="2">SUM(D34,D37,D38:D39)</f>
        <v>153966</v>
      </c>
      <c r="E41" s="1594">
        <f t="shared" si="2"/>
        <v>0</v>
      </c>
      <c r="F41" s="1594">
        <f t="shared" si="2"/>
        <v>41328</v>
      </c>
      <c r="G41" s="1594">
        <f t="shared" si="2"/>
        <v>0</v>
      </c>
      <c r="H41" s="1594">
        <f t="shared" si="2"/>
        <v>0</v>
      </c>
      <c r="I41" s="1594">
        <f t="shared" si="2"/>
        <v>0</v>
      </c>
      <c r="J41" s="1594">
        <f t="shared" si="2"/>
        <v>0</v>
      </c>
      <c r="K41" s="1594">
        <f t="shared" si="2"/>
        <v>0</v>
      </c>
      <c r="L41" s="1594">
        <f t="shared" si="2"/>
        <v>24166</v>
      </c>
      <c r="M41" s="1594">
        <f>SUM(M40)</f>
        <v>676073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7" sqref="F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648129</v>
      </c>
      <c r="D4" s="1606">
        <f>'Revenues 9-14'!D109</f>
        <v>159203</v>
      </c>
      <c r="E4" s="1606">
        <f>'Revenues 9-14'!E109</f>
        <v>0</v>
      </c>
      <c r="F4" s="1606">
        <f>'Revenues 9-14'!F109</f>
        <v>5406</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165000</v>
      </c>
      <c r="D6" s="1607">
        <f>'Revenues 9-14'!D170</f>
        <v>0</v>
      </c>
      <c r="E6" s="1607">
        <f>'Revenues 9-14'!E170</f>
        <v>0</v>
      </c>
      <c r="F6" s="1607">
        <f>'Revenues 9-14'!F170</f>
        <v>3233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8901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822030</v>
      </c>
      <c r="D8" s="1594">
        <f t="shared" ref="D8:K8" si="0">SUM(D4:D7)</f>
        <v>159203</v>
      </c>
      <c r="E8" s="1594">
        <f t="shared" si="0"/>
        <v>0</v>
      </c>
      <c r="F8" s="1594">
        <f t="shared" si="0"/>
        <v>8639</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822030</v>
      </c>
      <c r="D10" s="1594">
        <f t="shared" ref="D10:K10" si="1">SUM(D8:D9)</f>
        <v>159203</v>
      </c>
      <c r="E10" s="1594">
        <f t="shared" si="1"/>
        <v>0</v>
      </c>
      <c r="F10" s="1594">
        <f t="shared" si="1"/>
        <v>8639</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132533</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27874</v>
      </c>
      <c r="D13" s="1607">
        <f>'Expenditures 15-22'!K129</f>
        <v>49758</v>
      </c>
      <c r="E13" s="1576" t="s">
        <v>1159</v>
      </c>
      <c r="F13" s="1607">
        <f>'Expenditures 15-22'!K184</f>
        <v>1949</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684427</v>
      </c>
      <c r="D15" s="1607">
        <f>'Expenditures 15-22'!K139</f>
        <v>107162</v>
      </c>
      <c r="E15" s="1607">
        <f>'Expenditures 15-22'!K160</f>
        <v>0</v>
      </c>
      <c r="F15" s="1607">
        <f>'Expenditures 15-22'!K196</f>
        <v>5520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844834</v>
      </c>
      <c r="D17" s="1594">
        <f t="shared" si="2"/>
        <v>156920</v>
      </c>
      <c r="E17" s="1594">
        <f t="shared" si="2"/>
        <v>0</v>
      </c>
      <c r="F17" s="1594">
        <f t="shared" si="2"/>
        <v>7469</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844834</v>
      </c>
      <c r="D19" s="1594">
        <f t="shared" si="4"/>
        <v>156920</v>
      </c>
      <c r="E19" s="1594">
        <f t="shared" si="4"/>
        <v>0</v>
      </c>
      <c r="F19" s="1594">
        <f t="shared" si="4"/>
        <v>7469</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-22804</v>
      </c>
      <c r="D20" s="1622">
        <f t="shared" ref="D20:K20" si="5">D8-D17</f>
        <v>2283</v>
      </c>
      <c r="E20" s="1622">
        <f t="shared" si="5"/>
        <v>0</v>
      </c>
      <c r="F20" s="1622">
        <f t="shared" si="5"/>
        <v>1170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-22804</v>
      </c>
      <c r="D78" s="1629">
        <f t="shared" si="9"/>
        <v>2283</v>
      </c>
      <c r="E78" s="1629">
        <f t="shared" si="9"/>
        <v>0</v>
      </c>
      <c r="F78" s="1629">
        <f t="shared" si="9"/>
        <v>1170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218522</v>
      </c>
      <c r="D79" s="1583">
        <v>151683</v>
      </c>
      <c r="E79" s="1630">
        <v>0</v>
      </c>
      <c r="F79" s="1630">
        <v>40158</v>
      </c>
      <c r="G79" s="1630">
        <v>0</v>
      </c>
      <c r="H79" s="1630">
        <v>0</v>
      </c>
      <c r="I79" s="1630">
        <v>0</v>
      </c>
      <c r="J79" s="1630">
        <v>0</v>
      </c>
      <c r="K79" s="1630">
        <v>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195718</v>
      </c>
      <c r="D81" s="1594">
        <f>SUM(D78:D80)</f>
        <v>153966</v>
      </c>
      <c r="E81" s="1594">
        <f t="shared" ref="E81:K81" si="10">SUM(E78:E80)</f>
        <v>0</v>
      </c>
      <c r="F81" s="1594">
        <f t="shared" si="10"/>
        <v>41328</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-22804</v>
      </c>
      <c r="D82" s="461">
        <f t="shared" ref="D82:K82" si="11">(D81-D79)</f>
        <v>2283</v>
      </c>
      <c r="E82" s="461">
        <f t="shared" si="11"/>
        <v>0</v>
      </c>
      <c r="F82" s="461">
        <f t="shared" si="11"/>
        <v>1170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-0.11651457709561716</v>
      </c>
      <c r="D83" s="463">
        <f t="shared" ref="D83:K83" si="12">D82/D81</f>
        <v>1.4827949027707416E-2</v>
      </c>
      <c r="E83" s="463" t="e">
        <f t="shared" si="12"/>
        <v>#DIV/0!</v>
      </c>
      <c r="F83" s="463">
        <f t="shared" si="12"/>
        <v>2.8310104529616725E-2</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7" sqref="F7"/>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618908</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618908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317</v>
      </c>
      <c r="D65" s="1573">
        <v>198</v>
      </c>
      <c r="E65" s="1573">
        <v>0</v>
      </c>
      <c r="F65" s="1574">
        <v>49</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317</v>
      </c>
      <c r="D67" s="1594">
        <f t="shared" ref="D67:K67" si="2">SUM(D65:D66)</f>
        <v>198</v>
      </c>
      <c r="E67" s="1594">
        <f t="shared" si="2"/>
        <v>0</v>
      </c>
      <c r="F67" s="1594">
        <f t="shared" si="2"/>
        <v>49</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3305</v>
      </c>
      <c r="E95" s="1617"/>
      <c r="F95" s="1617"/>
      <c r="G95" s="1617"/>
      <c r="H95" s="1617"/>
      <c r="I95" s="1617"/>
      <c r="J95" s="1617"/>
      <c r="K95" s="1617"/>
    </row>
    <row r="96" spans="1:11" ht="12.75" customHeight="1" x14ac:dyDescent="0.2">
      <c r="A96" s="427" t="s">
        <v>388</v>
      </c>
      <c r="B96" s="429">
        <v>1920</v>
      </c>
      <c r="C96" s="1632">
        <v>843</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500</v>
      </c>
      <c r="D98" s="1573">
        <v>0</v>
      </c>
      <c r="E98" s="1612"/>
      <c r="F98" s="1573">
        <v>1465</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155700</v>
      </c>
      <c r="E104" s="1586">
        <v>0</v>
      </c>
      <c r="F104" s="1574">
        <v>3892</v>
      </c>
      <c r="G104" s="1574">
        <v>0</v>
      </c>
      <c r="H104" s="1573">
        <v>0</v>
      </c>
      <c r="I104" s="1575"/>
      <c r="J104" s="1575"/>
      <c r="K104" s="1575"/>
    </row>
    <row r="105" spans="1:12" ht="12.75" customHeight="1" x14ac:dyDescent="0.2">
      <c r="A105" s="427" t="s">
        <v>817</v>
      </c>
      <c r="B105" s="429">
        <v>1992</v>
      </c>
      <c r="C105" s="1573">
        <v>23040</v>
      </c>
      <c r="D105" s="1640"/>
      <c r="E105" s="1575"/>
      <c r="F105" s="1575"/>
      <c r="G105" s="1575"/>
      <c r="H105" s="1610"/>
      <c r="I105" s="1575"/>
      <c r="J105" s="1575"/>
      <c r="K105" s="1575"/>
    </row>
    <row r="106" spans="1:12" ht="12.75" customHeight="1" x14ac:dyDescent="0.2">
      <c r="A106" s="427" t="s">
        <v>1413</v>
      </c>
      <c r="B106" s="429">
        <v>1993</v>
      </c>
      <c r="C106" s="1573">
        <v>4521</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28904</v>
      </c>
      <c r="D108" s="1633">
        <f t="shared" ref="D108:K108" si="3">SUM(D95:D107)</f>
        <v>159005</v>
      </c>
      <c r="E108" s="1633">
        <f t="shared" si="3"/>
        <v>0</v>
      </c>
      <c r="F108" s="1633">
        <f t="shared" si="3"/>
        <v>5357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648129</v>
      </c>
      <c r="D109" s="1641">
        <f t="shared" si="4"/>
        <v>159203</v>
      </c>
      <c r="E109" s="1641">
        <f t="shared" si="4"/>
        <v>0</v>
      </c>
      <c r="F109" s="1641">
        <f t="shared" si="4"/>
        <v>5406</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165000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165000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3233</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3233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165000</v>
      </c>
      <c r="D169" s="1658">
        <f t="shared" si="6"/>
        <v>0</v>
      </c>
      <c r="E169" s="1658">
        <f t="shared" si="6"/>
        <v>0</v>
      </c>
      <c r="F169" s="1658">
        <f t="shared" si="6"/>
        <v>3233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165000</v>
      </c>
      <c r="D170" s="1641">
        <f t="shared" si="7"/>
        <v>0</v>
      </c>
      <c r="E170" s="1641">
        <f t="shared" si="7"/>
        <v>0</v>
      </c>
      <c r="F170" s="1641">
        <f t="shared" si="7"/>
        <v>3233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8901</v>
      </c>
      <c r="D220" s="1573">
        <v>0</v>
      </c>
      <c r="E220" s="1575"/>
      <c r="F220" s="1575"/>
      <c r="G220" s="1573">
        <v>0</v>
      </c>
      <c r="H220" s="1575"/>
      <c r="I220" s="1575"/>
      <c r="J220" s="1575"/>
      <c r="K220" s="1575"/>
    </row>
    <row r="221" spans="1:11" ht="12.75" customHeight="1" thickBot="1" x14ac:dyDescent="0.25">
      <c r="A221" s="1415" t="s">
        <v>1076</v>
      </c>
      <c r="B221" s="1416"/>
      <c r="C221" s="1633">
        <f>SUM(C219:C220)</f>
        <v>8901</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8901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8901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822030</v>
      </c>
      <c r="D268" s="1641">
        <f t="shared" si="12"/>
        <v>159203</v>
      </c>
      <c r="E268" s="1641">
        <f t="shared" si="12"/>
        <v>0</v>
      </c>
      <c r="F268" s="1641">
        <f t="shared" si="12"/>
        <v>8639</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7" sqref="F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8834</v>
      </c>
      <c r="F13" s="1573">
        <v>67210</v>
      </c>
      <c r="G13" s="1573">
        <v>3290</v>
      </c>
      <c r="H13" s="1573">
        <v>1199</v>
      </c>
      <c r="I13" s="1574">
        <v>0</v>
      </c>
      <c r="J13" s="1574">
        <v>0</v>
      </c>
      <c r="K13" s="1672">
        <f t="shared" si="0"/>
        <v>80533</v>
      </c>
      <c r="L13" s="1573">
        <v>103965</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52000</v>
      </c>
      <c r="I27" s="1673"/>
      <c r="J27" s="1582"/>
      <c r="K27" s="1672">
        <f t="shared" si="0"/>
        <v>52000</v>
      </c>
      <c r="L27" s="1577">
        <v>64000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8834</v>
      </c>
      <c r="F33" s="1674">
        <f t="shared" si="1"/>
        <v>67210</v>
      </c>
      <c r="G33" s="1674">
        <f t="shared" si="1"/>
        <v>3290</v>
      </c>
      <c r="H33" s="1674">
        <f t="shared" si="1"/>
        <v>53199</v>
      </c>
      <c r="I33" s="1674">
        <f t="shared" si="1"/>
        <v>0</v>
      </c>
      <c r="J33" s="1674">
        <f t="shared" si="1"/>
        <v>0</v>
      </c>
      <c r="K33" s="1674">
        <f t="shared" si="1"/>
        <v>132533</v>
      </c>
      <c r="L33" s="1674">
        <f t="shared" si="1"/>
        <v>167965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12653</v>
      </c>
      <c r="F44" s="1586">
        <v>0</v>
      </c>
      <c r="G44" s="1586">
        <v>0</v>
      </c>
      <c r="H44" s="1586">
        <v>704</v>
      </c>
      <c r="I44" s="1574">
        <v>0</v>
      </c>
      <c r="J44" s="1574">
        <v>0</v>
      </c>
      <c r="K44" s="1678">
        <f>SUM(C44:J44)</f>
        <v>13357</v>
      </c>
      <c r="L44" s="1586">
        <v>22500</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0</v>
      </c>
      <c r="D47" s="1674">
        <f t="shared" ref="D47:K47" si="4">SUM(D44:D46)</f>
        <v>0</v>
      </c>
      <c r="E47" s="1674">
        <f t="shared" si="4"/>
        <v>12653</v>
      </c>
      <c r="F47" s="1674">
        <f t="shared" si="4"/>
        <v>0</v>
      </c>
      <c r="G47" s="1674">
        <f t="shared" si="4"/>
        <v>0</v>
      </c>
      <c r="H47" s="1674">
        <f t="shared" si="4"/>
        <v>704</v>
      </c>
      <c r="I47" s="1674">
        <f t="shared" si="4"/>
        <v>0</v>
      </c>
      <c r="J47" s="1674">
        <f t="shared" si="4"/>
        <v>0</v>
      </c>
      <c r="K47" s="1674">
        <f t="shared" si="4"/>
        <v>13357</v>
      </c>
      <c r="L47" s="1674">
        <f>SUM(L44:L46)</f>
        <v>22500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4">
        <v>0</v>
      </c>
      <c r="D50" s="1573">
        <v>0</v>
      </c>
      <c r="E50" s="1573">
        <v>11426</v>
      </c>
      <c r="F50" s="1573">
        <v>1294</v>
      </c>
      <c r="G50" s="1573">
        <v>0</v>
      </c>
      <c r="H50" s="1573">
        <v>551</v>
      </c>
      <c r="I50" s="1574">
        <v>0</v>
      </c>
      <c r="J50" s="1574">
        <v>0</v>
      </c>
      <c r="K50" s="1678">
        <f>SUM(C50:J50)</f>
        <v>13271</v>
      </c>
      <c r="L50" s="1573">
        <v>27200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0</v>
      </c>
      <c r="D53" s="1674">
        <f t="shared" ref="D53:L53" si="5">SUM(D49:D52)</f>
        <v>0</v>
      </c>
      <c r="E53" s="1674">
        <f t="shared" si="5"/>
        <v>11426</v>
      </c>
      <c r="F53" s="1674">
        <f t="shared" si="5"/>
        <v>1294</v>
      </c>
      <c r="G53" s="1674">
        <f t="shared" si="5"/>
        <v>0</v>
      </c>
      <c r="H53" s="1674">
        <f t="shared" si="5"/>
        <v>551</v>
      </c>
      <c r="I53" s="1674">
        <f t="shared" si="5"/>
        <v>0</v>
      </c>
      <c r="J53" s="1674">
        <f t="shared" si="5"/>
        <v>0</v>
      </c>
      <c r="K53" s="1674">
        <f t="shared" si="5"/>
        <v>13271</v>
      </c>
      <c r="L53" s="1674">
        <f t="shared" si="5"/>
        <v>27200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906</v>
      </c>
      <c r="F61" s="1573">
        <v>0</v>
      </c>
      <c r="G61" s="1573">
        <v>0</v>
      </c>
      <c r="H61" s="1573">
        <v>0</v>
      </c>
      <c r="I61" s="1574">
        <v>0</v>
      </c>
      <c r="J61" s="1574">
        <v>0</v>
      </c>
      <c r="K61" s="1678">
        <f t="shared" si="7"/>
        <v>906</v>
      </c>
      <c r="L61" s="1573">
        <v>8000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906</v>
      </c>
      <c r="F65" s="1674">
        <f t="shared" si="8"/>
        <v>0</v>
      </c>
      <c r="G65" s="1674">
        <f t="shared" si="8"/>
        <v>0</v>
      </c>
      <c r="H65" s="1674">
        <f t="shared" si="8"/>
        <v>0</v>
      </c>
      <c r="I65" s="1674">
        <f t="shared" si="8"/>
        <v>0</v>
      </c>
      <c r="J65" s="1674">
        <f t="shared" si="8"/>
        <v>0</v>
      </c>
      <c r="K65" s="1674">
        <f t="shared" si="8"/>
        <v>906</v>
      </c>
      <c r="L65" s="1674">
        <f t="shared" si="8"/>
        <v>8000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340</v>
      </c>
      <c r="G69" s="1573">
        <v>0</v>
      </c>
      <c r="H69" s="1573">
        <v>0</v>
      </c>
      <c r="I69" s="1574">
        <v>0</v>
      </c>
      <c r="J69" s="1574">
        <v>0</v>
      </c>
      <c r="K69" s="1678">
        <f>SUM(C69:J69)</f>
        <v>340</v>
      </c>
      <c r="L69" s="1573">
        <v>1000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340</v>
      </c>
      <c r="G72" s="1674">
        <f t="shared" si="9"/>
        <v>0</v>
      </c>
      <c r="H72" s="1674">
        <f t="shared" si="9"/>
        <v>0</v>
      </c>
      <c r="I72" s="1674">
        <f t="shared" si="9"/>
        <v>0</v>
      </c>
      <c r="J72" s="1674">
        <f t="shared" si="9"/>
        <v>0</v>
      </c>
      <c r="K72" s="1674">
        <f t="shared" si="9"/>
        <v>340</v>
      </c>
      <c r="L72" s="1674">
        <f>SUM(L67:L71)</f>
        <v>1000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0</v>
      </c>
      <c r="D74" s="1681">
        <f t="shared" ref="D74:K74" si="10">SUM(D42,D47,D53,D57,D65,D72,D73)</f>
        <v>0</v>
      </c>
      <c r="E74" s="1681">
        <f t="shared" si="10"/>
        <v>24985</v>
      </c>
      <c r="F74" s="1681">
        <f t="shared" si="10"/>
        <v>1634</v>
      </c>
      <c r="G74" s="1681">
        <f t="shared" si="10"/>
        <v>0</v>
      </c>
      <c r="H74" s="1681">
        <f t="shared" si="10"/>
        <v>1255</v>
      </c>
      <c r="I74" s="1681">
        <f t="shared" si="10"/>
        <v>0</v>
      </c>
      <c r="J74" s="1681">
        <f t="shared" si="10"/>
        <v>0</v>
      </c>
      <c r="K74" s="1681">
        <f t="shared" si="10"/>
        <v>27874</v>
      </c>
      <c r="L74" s="1681">
        <f>SUM(L42,L47,L53,L57,L65,L72,L73)</f>
        <v>58700</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684427</v>
      </c>
      <c r="F81" s="1673"/>
      <c r="G81" s="1673"/>
      <c r="H81" s="1573">
        <v>0</v>
      </c>
      <c r="I81" s="1582"/>
      <c r="J81" s="1582"/>
      <c r="K81" s="1672">
        <f t="shared" si="11"/>
        <v>684427</v>
      </c>
      <c r="L81" s="1573">
        <v>728518</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684427</v>
      </c>
      <c r="F84" s="1673"/>
      <c r="G84" s="1673"/>
      <c r="H84" s="1674">
        <f>SUM(H78:H83)</f>
        <v>0</v>
      </c>
      <c r="I84" s="1582"/>
      <c r="J84" s="1582"/>
      <c r="K84" s="1674">
        <f>SUM(K78:K83)</f>
        <v>684427</v>
      </c>
      <c r="L84" s="1674">
        <f>SUM(L78:L83)</f>
        <v>728518</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684427</v>
      </c>
      <c r="F102" s="1673"/>
      <c r="G102" s="1673"/>
      <c r="H102" s="1681">
        <f>SUM(H84,H92,H100,H101)</f>
        <v>0</v>
      </c>
      <c r="I102" s="1582"/>
      <c r="J102" s="1582"/>
      <c r="K102" s="1681">
        <f>SUM(K84,K92,K100,K101)</f>
        <v>684427</v>
      </c>
      <c r="L102" s="1681">
        <f>SUM(L84,L92,L100,L101)</f>
        <v>728518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v>
      </c>
      <c r="M113" s="502"/>
      <c r="N113" s="502"/>
    </row>
    <row r="114" spans="1:14" ht="12.75" customHeight="1" thickTop="1" thickBot="1" x14ac:dyDescent="0.25">
      <c r="A114" s="1380" t="s">
        <v>48</v>
      </c>
      <c r="B114" s="1388"/>
      <c r="C114" s="1674">
        <f>SUM(C33,C74,C75,C102,C112,C113)</f>
        <v>0</v>
      </c>
      <c r="D114" s="1674">
        <f t="shared" ref="D114:K114" si="13">SUM(D33,D74,D75,D102,D112,D113)</f>
        <v>0</v>
      </c>
      <c r="E114" s="1674">
        <f t="shared" si="13"/>
        <v>718246</v>
      </c>
      <c r="F114" s="1674">
        <f t="shared" si="13"/>
        <v>68844</v>
      </c>
      <c r="G114" s="1674">
        <f t="shared" si="13"/>
        <v>3290</v>
      </c>
      <c r="H114" s="1674">
        <f>SUM(H33,H74,H75,H102,H112,H113)</f>
        <v>54454</v>
      </c>
      <c r="I114" s="1674">
        <f t="shared" si="13"/>
        <v>0</v>
      </c>
      <c r="J114" s="1674">
        <f t="shared" si="13"/>
        <v>0</v>
      </c>
      <c r="K114" s="1674">
        <f t="shared" si="13"/>
        <v>844834</v>
      </c>
      <c r="L114" s="1674">
        <f>SUM(L33,L74,L75,L102,L112,L113)</f>
        <v>956183</v>
      </c>
    </row>
    <row r="115" spans="1:14" ht="13.5" thickTop="1" x14ac:dyDescent="0.2">
      <c r="A115" s="2261" t="s">
        <v>989</v>
      </c>
      <c r="B115" s="2262"/>
      <c r="C115" s="1675"/>
      <c r="D115" s="1675"/>
      <c r="E115" s="1675"/>
      <c r="F115" s="1675"/>
      <c r="G115" s="1675"/>
      <c r="H115" s="1675"/>
      <c r="I115" s="1675"/>
      <c r="J115" s="1675"/>
      <c r="K115" s="1689">
        <f>'Revenues 9-14'!C268-'Expenditures 15-22'!K114</f>
        <v>-22804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5000</v>
      </c>
    </row>
    <row r="124" spans="1:14" ht="14.25" thickTop="1" thickBot="1" x14ac:dyDescent="0.25">
      <c r="A124" s="1274" t="s">
        <v>195</v>
      </c>
      <c r="B124" s="503">
        <v>2540</v>
      </c>
      <c r="C124" s="1573">
        <v>0</v>
      </c>
      <c r="D124" s="1573">
        <v>0</v>
      </c>
      <c r="E124" s="1573">
        <v>23020</v>
      </c>
      <c r="F124" s="1573">
        <v>24898</v>
      </c>
      <c r="G124" s="1573">
        <v>1840</v>
      </c>
      <c r="H124" s="1573">
        <v>0</v>
      </c>
      <c r="I124" s="1574">
        <v>0</v>
      </c>
      <c r="J124" s="1574">
        <v>0</v>
      </c>
      <c r="K124" s="1674">
        <f>SUM(C124:J124)</f>
        <v>49758</v>
      </c>
      <c r="L124" s="1573">
        <v>109907</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23020</v>
      </c>
      <c r="F127" s="1674">
        <f t="shared" si="14"/>
        <v>24898</v>
      </c>
      <c r="G127" s="1674">
        <f t="shared" si="14"/>
        <v>1840</v>
      </c>
      <c r="H127" s="1674">
        <f t="shared" si="14"/>
        <v>0</v>
      </c>
      <c r="I127" s="1674">
        <f t="shared" si="14"/>
        <v>0</v>
      </c>
      <c r="J127" s="1674">
        <f t="shared" si="14"/>
        <v>0</v>
      </c>
      <c r="K127" s="1674">
        <f t="shared" si="14"/>
        <v>49758</v>
      </c>
      <c r="L127" s="1674">
        <f t="shared" si="14"/>
        <v>114907</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23020</v>
      </c>
      <c r="F129" s="1681">
        <f t="shared" si="15"/>
        <v>24898</v>
      </c>
      <c r="G129" s="1681">
        <f t="shared" si="15"/>
        <v>1840</v>
      </c>
      <c r="H129" s="1681">
        <f t="shared" si="15"/>
        <v>0</v>
      </c>
      <c r="I129" s="1681">
        <f t="shared" si="15"/>
        <v>0</v>
      </c>
      <c r="J129" s="1681">
        <f t="shared" si="15"/>
        <v>0</v>
      </c>
      <c r="K129" s="1681">
        <f t="shared" si="15"/>
        <v>49758</v>
      </c>
      <c r="L129" s="1681">
        <f t="shared" si="15"/>
        <v>114907</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107162</v>
      </c>
      <c r="F135" s="1673"/>
      <c r="G135" s="1673"/>
      <c r="H135" s="1573">
        <v>0</v>
      </c>
      <c r="I135" s="1582"/>
      <c r="J135" s="1673"/>
      <c r="K135" s="1678">
        <f>SUM(E135,H135)</f>
        <v>107162</v>
      </c>
      <c r="L135" s="1573">
        <v>119877</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107162</v>
      </c>
      <c r="F137" s="1673"/>
      <c r="G137" s="1673"/>
      <c r="H137" s="1674">
        <f>SUM(H133:H136)</f>
        <v>0</v>
      </c>
      <c r="I137" s="1582"/>
      <c r="J137" s="1673"/>
      <c r="K137" s="1674">
        <f>SUM(K133:K136)</f>
        <v>107162</v>
      </c>
      <c r="L137" s="1674">
        <f>SUM(L133:L136)</f>
        <v>119877</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107162</v>
      </c>
      <c r="F139" s="1673"/>
      <c r="G139" s="1673"/>
      <c r="H139" s="1687">
        <f>SUM(H137:H138)</f>
        <v>0</v>
      </c>
      <c r="I139" s="1582"/>
      <c r="J139" s="1673"/>
      <c r="K139" s="1678">
        <f>SUM(K137,K138)</f>
        <v>107162</v>
      </c>
      <c r="L139" s="1687">
        <f>SUM(L137,L138)</f>
        <v>119877</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v>
      </c>
    </row>
    <row r="151" spans="1:14" ht="12.75" customHeight="1" thickTop="1" thickBot="1" x14ac:dyDescent="0.25">
      <c r="A151" s="2278" t="s">
        <v>616</v>
      </c>
      <c r="B151" s="2258"/>
      <c r="C151" s="1674">
        <f>SUM(C129,C130,C139,C149,C150)</f>
        <v>0</v>
      </c>
      <c r="D151" s="1674">
        <f t="shared" ref="D151:K151" si="16">SUM(D129,D130,D139,D149,D150)</f>
        <v>0</v>
      </c>
      <c r="E151" s="1674">
        <f t="shared" si="16"/>
        <v>130182</v>
      </c>
      <c r="F151" s="1674">
        <f t="shared" si="16"/>
        <v>24898</v>
      </c>
      <c r="G151" s="1674">
        <f t="shared" si="16"/>
        <v>1840</v>
      </c>
      <c r="H151" s="1674">
        <f t="shared" si="16"/>
        <v>0</v>
      </c>
      <c r="I151" s="1674">
        <f t="shared" si="16"/>
        <v>0</v>
      </c>
      <c r="J151" s="1674">
        <f t="shared" si="16"/>
        <v>0</v>
      </c>
      <c r="K151" s="1674">
        <f t="shared" si="16"/>
        <v>156920</v>
      </c>
      <c r="L151" s="1674">
        <f>SUM(L129,L130,L139,L149,L150)</f>
        <v>235784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2283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1894</v>
      </c>
      <c r="F182" s="1573">
        <v>0</v>
      </c>
      <c r="G182" s="1573">
        <v>0</v>
      </c>
      <c r="H182" s="1573">
        <v>55</v>
      </c>
      <c r="I182" s="1574">
        <v>0</v>
      </c>
      <c r="J182" s="1574">
        <v>0</v>
      </c>
      <c r="K182" s="1672">
        <f>SUM(C182:J182)</f>
        <v>1949</v>
      </c>
      <c r="L182" s="1573">
        <v>2200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1894</v>
      </c>
      <c r="F184" s="1681">
        <f t="shared" si="17"/>
        <v>0</v>
      </c>
      <c r="G184" s="1681">
        <f t="shared" si="17"/>
        <v>0</v>
      </c>
      <c r="H184" s="1681">
        <f t="shared" si="17"/>
        <v>55</v>
      </c>
      <c r="I184" s="1681">
        <f t="shared" si="17"/>
        <v>0</v>
      </c>
      <c r="J184" s="1681">
        <f t="shared" si="17"/>
        <v>0</v>
      </c>
      <c r="K184" s="1681">
        <f>SUM(K180,K182,K183)</f>
        <v>1949</v>
      </c>
      <c r="L184" s="1681">
        <f>SUM(L180, L182:L183)</f>
        <v>2200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5520</v>
      </c>
      <c r="F191" s="1673"/>
      <c r="G191" s="1673"/>
      <c r="H191" s="1573">
        <v>0</v>
      </c>
      <c r="I191" s="1582"/>
      <c r="J191" s="1673"/>
      <c r="K191" s="1672">
        <f t="shared" si="18"/>
        <v>5520</v>
      </c>
      <c r="L191" s="1573">
        <v>6446</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5520</v>
      </c>
      <c r="F194" s="1673"/>
      <c r="G194" s="1673"/>
      <c r="H194" s="1674">
        <f>SUM(H188:H193)</f>
        <v>0</v>
      </c>
      <c r="I194" s="1582"/>
      <c r="J194" s="1673"/>
      <c r="K194" s="1674">
        <f>SUM(K188:K193)</f>
        <v>5520</v>
      </c>
      <c r="L194" s="1674">
        <f>SUM(L188:L193)</f>
        <v>6446</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5520</v>
      </c>
      <c r="F196" s="1673"/>
      <c r="G196" s="1673"/>
      <c r="H196" s="1681">
        <f>SUM(H194,H195)</f>
        <v>0</v>
      </c>
      <c r="I196" s="1582"/>
      <c r="J196" s="1673"/>
      <c r="K196" s="1681">
        <f>SUM(K194,K195)</f>
        <v>5520</v>
      </c>
      <c r="L196" s="1681">
        <f>SUM(L194,L195)</f>
        <v>6446</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v>
      </c>
    </row>
    <row r="210" spans="1:14" ht="12.75" customHeight="1" thickTop="1" thickBot="1" x14ac:dyDescent="0.25">
      <c r="A210" s="1394" t="s">
        <v>275</v>
      </c>
      <c r="B210" s="1395"/>
      <c r="C210" s="1674">
        <f>SUM(C184,C185)</f>
        <v>0</v>
      </c>
      <c r="D210" s="1674">
        <f>SUM(D184,D185)</f>
        <v>0</v>
      </c>
      <c r="E210" s="1674">
        <f>SUM(E184,E185,E196)</f>
        <v>7414</v>
      </c>
      <c r="F210" s="1674">
        <f>SUM(F184,F185)</f>
        <v>0</v>
      </c>
      <c r="G210" s="1674">
        <f>SUM(G184,G185)</f>
        <v>0</v>
      </c>
      <c r="H210" s="1674">
        <f>SUM(H184,H185,H196,H208,H209)</f>
        <v>55</v>
      </c>
      <c r="I210" s="1674">
        <f>SUM(I184,I185)</f>
        <v>0</v>
      </c>
      <c r="J210" s="1674">
        <f>SUM(J184,J185)</f>
        <v>0</v>
      </c>
      <c r="K210" s="1672">
        <f>SUM(K184,K185,K196,K208,K209)</f>
        <v>7469</v>
      </c>
      <c r="L210" s="1674">
        <f>SUM(L184,L185,L196,L208,L209)</f>
        <v>9646</v>
      </c>
    </row>
    <row r="211" spans="1:14" ht="13.5" thickTop="1" x14ac:dyDescent="0.2">
      <c r="A211" s="2261" t="s">
        <v>989</v>
      </c>
      <c r="B211" s="2262"/>
      <c r="C211" s="1675"/>
      <c r="D211" s="1675"/>
      <c r="E211" s="1675"/>
      <c r="F211" s="1675"/>
      <c r="G211" s="1675"/>
      <c r="H211" s="1675"/>
      <c r="I211" s="1673"/>
      <c r="J211" s="1673"/>
      <c r="K211" s="1689">
        <f>'Revenues 9-14'!F268-'Expenditures 15-22'!K210</f>
        <v>1170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d21dc803-237d-4c68-8692-8d731fd29118"/>
    <ds:schemaRef ds:uri="6ce3111e-7420-4802-b50a-75d4e9a0b980"/>
    <ds:schemaRef ds:uri="http://www.w3.org/XML/1998/namespace"/>
    <ds:schemaRef ds:uri="http://schemas.microsoft.com/office/2006/documentManagement/types"/>
    <ds:schemaRef ds:uri="http://schemas.microsoft.com/office/infopath/2007/PartnerControls"/>
    <ds:schemaRef ds:uri="http://schemas.microsoft.com/sharepoint/v3"/>
    <ds:schemaRef ds:uri="http://purl.org/dc/dcmitype/"/>
    <ds:schemaRef ds:uri="http://schemas.openxmlformats.org/package/2006/metadata/core-properties"/>
    <ds:schemaRef ds:uri="4d435f69-8686-490b-bd6d-b153bf22ab5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2020-10-14T14:50:25Z</cp:lastPrinted>
  <dcterms:created xsi:type="dcterms:W3CDTF">2003-10-29T19:06:34Z</dcterms:created>
  <dcterms:modified xsi:type="dcterms:W3CDTF">2020-10-19T15:04:57Z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