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6F93694-ADC7-4808-81AD-227DDA4FACF7}" xr6:coauthVersionLast="36" xr6:coauthVersionMax="36" xr10:uidLastSave="{00000000-0000-0000-0000-000000000000}"/>
  <bookViews>
    <workbookView xWindow="4305" yWindow="1365"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185" l="1"/>
  <c r="L26" i="185" s="1"/>
  <c r="L26" i="179" l="1"/>
  <c r="I26" i="179"/>
  <c r="F26" i="179"/>
  <c r="G26" i="179" l="1"/>
  <c r="E26" i="179"/>
  <c r="D13" i="11" l="1"/>
  <c r="D8" i="11"/>
  <c r="D35" i="171" l="1"/>
  <c r="I9" i="185" l="1"/>
  <c r="G9" i="185"/>
  <c r="F9" i="185"/>
  <c r="E9" i="185"/>
  <c r="J8" i="185"/>
  <c r="H8" i="185"/>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L334" i="29" l="1"/>
  <c r="B7808" i="106"/>
  <c r="D7808" i="106" s="1"/>
  <c r="K333" i="29"/>
  <c r="B7788" i="106" s="1"/>
  <c r="B7787" i="106"/>
  <c r="B7807" i="106"/>
  <c r="D7807" i="106" s="1"/>
  <c r="K356" i="29"/>
  <c r="B3673" i="106" s="1"/>
  <c r="B7236" i="106"/>
  <c r="K332" i="29"/>
  <c r="B7786" i="106" s="1"/>
  <c r="H334" i="29"/>
  <c r="B7789" i="106" s="1"/>
  <c r="B7785" i="106"/>
  <c r="B7793" i="106"/>
  <c r="K355" i="29"/>
  <c r="B7794" i="106" s="1"/>
  <c r="K354" i="29"/>
  <c r="H357" i="29"/>
  <c r="B7237" i="106" s="1"/>
  <c r="B7791" i="106"/>
  <c r="K334" i="29" l="1"/>
  <c r="F74" i="34" s="1"/>
  <c r="K357" i="29"/>
  <c r="B3674" i="106" s="1"/>
  <c r="B7792" i="106"/>
  <c r="L357" i="29"/>
  <c r="J15" i="4" l="1"/>
  <c r="B7796" i="106" s="1"/>
  <c r="B7790" i="106"/>
  <c r="K15" i="4"/>
  <c r="B4" i="179" l="1"/>
  <c r="D14" i="171" l="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7809" i="106"/>
  <c r="D7809" i="106" s="1"/>
  <c r="B7813" i="106"/>
  <c r="D7813" i="106" s="1"/>
  <c r="B7801" i="106"/>
  <c r="D7801" i="106" s="1"/>
  <c r="K7" i="12"/>
  <c r="K9" i="12"/>
  <c r="H5" i="12"/>
  <c r="B5196" i="10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5" i="106" l="1"/>
  <c r="B7758" i="106"/>
  <c r="D7758" i="106" s="1"/>
  <c r="K12" i="12"/>
  <c r="B7719" i="106" s="1"/>
  <c r="D7719" i="106" s="1"/>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D78" i="36"/>
  <c r="K75" i="29"/>
  <c r="C14" i="4" s="1"/>
  <c r="B2558" i="106" s="1"/>
  <c r="D2558" i="106" s="1"/>
  <c r="K185" i="29"/>
  <c r="F62" i="34" s="1"/>
  <c r="B7833" i="106" s="1"/>
  <c r="D7833" i="106"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D2759" i="106"/>
  <c r="D2761" i="106"/>
  <c r="D2764" i="106"/>
  <c r="D2765" i="106"/>
  <c r="D2767" i="106"/>
  <c r="D2768"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D4119" i="106"/>
  <c r="D4120" i="106"/>
  <c r="B4121" i="106"/>
  <c r="D4121" i="106" s="1"/>
  <c r="D4129" i="106"/>
  <c r="C18" i="4"/>
  <c r="B4131" i="106" s="1"/>
  <c r="D4131"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B4189" i="106"/>
  <c r="D4189" i="106" s="1"/>
  <c r="D4193" i="106"/>
  <c r="D4194" i="106"/>
  <c r="D4195" i="106"/>
  <c r="D4196" i="106"/>
  <c r="D4197" i="106"/>
  <c r="D4198" i="106"/>
  <c r="D4204" i="106"/>
  <c r="D4205" i="106"/>
  <c r="D4206" i="106"/>
  <c r="D4207" i="106"/>
  <c r="D4208" i="106"/>
  <c r="D4209" i="106"/>
  <c r="D4212" i="106"/>
  <c r="D4213" i="106"/>
  <c r="D4214" i="106"/>
  <c r="B4215" i="106"/>
  <c r="D4215" i="106" s="1"/>
  <c r="D4218" i="106"/>
  <c r="D4219" i="106"/>
  <c r="D4220" i="106"/>
  <c r="D4221" i="106"/>
  <c r="D4222" i="106"/>
  <c r="D4223" i="106"/>
  <c r="D4224" i="106"/>
  <c r="D4225" i="106"/>
  <c r="D4226" i="106"/>
  <c r="B4227" i="106"/>
  <c r="D4227" i="106" s="1"/>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2" i="106"/>
  <c r="D4312" i="106" s="1"/>
  <c r="B4314" i="106"/>
  <c r="D4314" i="106" s="1"/>
  <c r="B4317" i="106"/>
  <c r="D4317" i="106" s="1"/>
  <c r="D4319" i="106"/>
  <c r="D4320" i="106"/>
  <c r="B4321" i="106"/>
  <c r="D4321" i="106" s="1"/>
  <c r="D4323" i="106"/>
  <c r="D4324" i="106"/>
  <c r="D4325" i="106"/>
  <c r="D4326" i="106"/>
  <c r="B4330" i="106"/>
  <c r="D4330" i="106" s="1"/>
  <c r="B4331" i="106"/>
  <c r="D4331" i="106" s="1"/>
  <c r="B4332" i="106"/>
  <c r="D4332" i="106" s="1"/>
  <c r="B4336" i="106"/>
  <c r="D4336" i="106" s="1"/>
  <c r="B4340" i="106"/>
  <c r="D4340" i="106" s="1"/>
  <c r="B4344" i="106"/>
  <c r="D4344" i="106" s="1"/>
  <c r="D4347" i="106"/>
  <c r="D4348" i="106"/>
  <c r="D4349" i="106"/>
  <c r="D4350" i="106"/>
  <c r="B4351" i="106"/>
  <c r="D4351" i="106" s="1"/>
  <c r="B4358" i="106"/>
  <c r="D4358" i="106" s="1"/>
  <c r="B4362" i="106"/>
  <c r="D4362" i="106" s="1"/>
  <c r="B4366" i="106"/>
  <c r="D4366" i="106" s="1"/>
  <c r="D4367" i="106"/>
  <c r="B4368" i="106"/>
  <c r="D4368" i="106" s="1"/>
  <c r="B4370" i="106"/>
  <c r="D4370" i="106" s="1"/>
  <c r="D4371" i="106"/>
  <c r="D4374" i="106"/>
  <c r="B4375" i="106"/>
  <c r="D4375" i="106" s="1"/>
  <c r="B4379" i="106"/>
  <c r="D4379" i="106" s="1"/>
  <c r="D4383" i="106"/>
  <c r="D4384" i="106"/>
  <c r="D4385" i="106"/>
  <c r="D4386" i="106"/>
  <c r="D4387" i="106"/>
  <c r="D4388" i="106"/>
  <c r="D4389" i="106"/>
  <c r="D4390" i="106"/>
  <c r="B4391" i="106"/>
  <c r="D4391" i="106" s="1"/>
  <c r="D4399" i="106"/>
  <c r="D4400" i="106"/>
  <c r="D4401" i="106"/>
  <c r="D4402" i="106"/>
  <c r="D4403" i="106"/>
  <c r="D4404" i="106"/>
  <c r="D4405" i="106"/>
  <c r="D4406" i="106"/>
  <c r="B4407" i="106"/>
  <c r="D4407" i="106" s="1"/>
  <c r="B4415" i="106"/>
  <c r="D4415" i="106" s="1"/>
  <c r="B4418" i="106"/>
  <c r="D4418"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B4799" i="106"/>
  <c r="D4799" i="106" s="1"/>
  <c r="D4800" i="106"/>
  <c r="B4801" i="106"/>
  <c r="D4801" i="106" s="1"/>
  <c r="D4803" i="106"/>
  <c r="B4805" i="106"/>
  <c r="D4805" i="106" s="1"/>
  <c r="D4807" i="106"/>
  <c r="D4809" i="106"/>
  <c r="D4812"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B4868" i="106"/>
  <c r="D4868" i="106" s="1"/>
  <c r="D4869" i="106"/>
  <c r="D4870" i="106"/>
  <c r="D4871" i="106"/>
  <c r="D4872" i="106"/>
  <c r="D4873" i="106"/>
  <c r="B4874" i="106"/>
  <c r="D4874" i="106" s="1"/>
  <c r="D4879" i="106"/>
  <c r="D4880" i="106"/>
  <c r="B4881" i="106"/>
  <c r="D4881" i="106" s="1"/>
  <c r="B4882" i="106"/>
  <c r="D4882"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B5022" i="106"/>
  <c r="D5022" i="106" s="1"/>
  <c r="D5025" i="106"/>
  <c r="B5026" i="106"/>
  <c r="D5026"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7" i="106"/>
  <c r="D6087" i="106" s="1"/>
  <c r="B6088" i="106"/>
  <c r="D6088" i="106" s="1"/>
  <c r="B6089" i="106"/>
  <c r="D6089" i="106" s="1"/>
  <c r="B6090" i="106"/>
  <c r="D6090" i="106" s="1"/>
  <c r="B6096" i="106"/>
  <c r="D6096" i="106" s="1"/>
  <c r="B6097" i="106"/>
  <c r="D6097" i="106" s="1"/>
  <c r="B6098" i="106"/>
  <c r="D6098" i="106" s="1"/>
  <c r="B6099" i="106"/>
  <c r="D6099" i="106" s="1"/>
  <c r="A6103" i="106"/>
  <c r="B6105" i="106"/>
  <c r="D6105" i="106" s="1"/>
  <c r="B6106" i="106"/>
  <c r="D6106" i="106" s="1"/>
  <c r="B6107" i="106"/>
  <c r="D6107" i="106" s="1"/>
  <c r="B6108" i="106"/>
  <c r="D6108" i="106" s="1"/>
  <c r="B6111" i="106"/>
  <c r="D6111" i="106" s="1"/>
  <c r="B6112" i="106"/>
  <c r="D6112" i="106" s="1"/>
  <c r="B6113" i="106"/>
  <c r="D6113" i="106" s="1"/>
  <c r="B6119" i="106"/>
  <c r="D6119" i="106" s="1"/>
  <c r="B6120" i="106"/>
  <c r="D6120" i="106" s="1"/>
  <c r="B6121" i="106"/>
  <c r="D6121" i="106" s="1"/>
  <c r="B6122" i="106"/>
  <c r="D6122" i="106" s="1"/>
  <c r="B6123" i="106"/>
  <c r="D6123" i="106" s="1"/>
  <c r="J13" i="3"/>
  <c r="B6124" i="106" s="1"/>
  <c r="D6124" i="106" s="1"/>
  <c r="B6125" i="106"/>
  <c r="D6125" i="106" s="1"/>
  <c r="B6131" i="106"/>
  <c r="D6131" i="106" s="1"/>
  <c r="B6132" i="106"/>
  <c r="D6132" i="106" s="1"/>
  <c r="B6133" i="106"/>
  <c r="D6133" i="106" s="1"/>
  <c r="B6139" i="106"/>
  <c r="D6139" i="106" s="1"/>
  <c r="B6140" i="106"/>
  <c r="D6140" i="106" s="1"/>
  <c r="B6141" i="106"/>
  <c r="D6141" i="106" s="1"/>
  <c r="B6142" i="106"/>
  <c r="D6142" i="106" s="1"/>
  <c r="B6148" i="106"/>
  <c r="D6148" i="106" s="1"/>
  <c r="B6149" i="106"/>
  <c r="D6149" i="106" s="1"/>
  <c r="B6150" i="106"/>
  <c r="D6150" i="106" s="1"/>
  <c r="B6151" i="106"/>
  <c r="D6151" i="106" s="1"/>
  <c r="B6157" i="106"/>
  <c r="D6157" i="106" s="1"/>
  <c r="B6158" i="106"/>
  <c r="D6158" i="106" s="1"/>
  <c r="B6159" i="106"/>
  <c r="D6159" i="106" s="1"/>
  <c r="B6160" i="106"/>
  <c r="D6160" i="106" s="1"/>
  <c r="B6166" i="106"/>
  <c r="D6166" i="106" s="1"/>
  <c r="B6167" i="106"/>
  <c r="D6167" i="106" s="1"/>
  <c r="B6168" i="106"/>
  <c r="D6168" i="106" s="1"/>
  <c r="B6169" i="106"/>
  <c r="D6169" i="106" s="1"/>
  <c r="B6175" i="106"/>
  <c r="D6175" i="106" s="1"/>
  <c r="B6176" i="106"/>
  <c r="D6176" i="106" s="1"/>
  <c r="B6177" i="106"/>
  <c r="D6177" i="106" s="1"/>
  <c r="B6179" i="106"/>
  <c r="D6179" i="106" s="1"/>
  <c r="B6180" i="106"/>
  <c r="D6180" i="106" s="1"/>
  <c r="B6181" i="106"/>
  <c r="D6181" i="106" s="1"/>
  <c r="B6182" i="106"/>
  <c r="D6182"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3" i="106"/>
  <c r="D6243" i="106" s="1"/>
  <c r="B6246" i="106"/>
  <c r="D6246" i="106" s="1"/>
  <c r="B6248" i="106"/>
  <c r="D6248" i="106" s="1"/>
  <c r="B6250" i="106"/>
  <c r="D6250" i="106" s="1"/>
  <c r="B6252" i="106"/>
  <c r="D6252" i="106" s="1"/>
  <c r="B6257" i="106"/>
  <c r="D6257" i="106" s="1"/>
  <c r="B6259" i="106"/>
  <c r="D6259" i="106" s="1"/>
  <c r="B6260" i="106"/>
  <c r="D6260" i="106" s="1"/>
  <c r="J76" i="4"/>
  <c r="B6261" i="106" s="1"/>
  <c r="D6261" i="106" s="1"/>
  <c r="B6264" i="106"/>
  <c r="D6264" i="106" s="1"/>
  <c r="B6265" i="106"/>
  <c r="D6265" i="106" s="1"/>
  <c r="B6290" i="106"/>
  <c r="D6290" i="106" s="1"/>
  <c r="B6296" i="106"/>
  <c r="D6296" i="106" s="1"/>
  <c r="B6297" i="106"/>
  <c r="D6297" i="106" s="1"/>
  <c r="B6298" i="106"/>
  <c r="D6298"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6" i="106"/>
  <c r="D6316" i="106" s="1"/>
  <c r="B6317" i="106"/>
  <c r="D6317" i="106" s="1"/>
  <c r="B6319" i="106"/>
  <c r="D6319" i="106" s="1"/>
  <c r="B6320" i="106"/>
  <c r="D6320" i="106" s="1"/>
  <c r="B6326" i="106"/>
  <c r="D6326" i="106" s="1"/>
  <c r="B6327" i="106"/>
  <c r="D6327" i="106" s="1"/>
  <c r="B6328" i="106"/>
  <c r="D6328" i="106" s="1"/>
  <c r="B6329" i="106"/>
  <c r="D6329" i="106" s="1"/>
  <c r="B6330" i="106"/>
  <c r="D6330" i="106" s="1"/>
  <c r="B6336" i="106"/>
  <c r="D6336" i="106" s="1"/>
  <c r="B6337" i="106"/>
  <c r="D6337" i="106" s="1"/>
  <c r="B6338" i="106"/>
  <c r="D6338" i="106" s="1"/>
  <c r="B6339" i="106"/>
  <c r="D6339" i="106" s="1"/>
  <c r="B6346" i="106"/>
  <c r="D6346" i="106" s="1"/>
  <c r="B6347" i="106"/>
  <c r="D6347" i="106" s="1"/>
  <c r="B6348" i="106"/>
  <c r="D6348" i="106" s="1"/>
  <c r="B6350" i="106"/>
  <c r="D6350" i="106" s="1"/>
  <c r="B6353" i="106"/>
  <c r="D6353" i="106" s="1"/>
  <c r="B6354" i="106"/>
  <c r="D6354" i="106" s="1"/>
  <c r="B6355" i="106"/>
  <c r="D6355" i="106" s="1"/>
  <c r="B6356" i="106"/>
  <c r="D6356" i="106" s="1"/>
  <c r="B6359" i="106"/>
  <c r="D6359" i="106" s="1"/>
  <c r="B6362" i="106"/>
  <c r="D6362" i="106" s="1"/>
  <c r="B6365" i="106"/>
  <c r="D6365" i="106" s="1"/>
  <c r="B6372" i="106"/>
  <c r="D6372" i="106" s="1"/>
  <c r="B6373" i="106"/>
  <c r="D6373" i="106" s="1"/>
  <c r="B6374" i="106"/>
  <c r="D6374" i="106" s="1"/>
  <c r="B6377" i="106"/>
  <c r="D6377" i="106" s="1"/>
  <c r="B6378" i="106"/>
  <c r="D6378" i="106" s="1"/>
  <c r="B6379" i="106"/>
  <c r="D6379" i="106" s="1"/>
  <c r="D6382" i="106"/>
  <c r="D6383" i="106"/>
  <c r="D6384" i="106"/>
  <c r="D6385" i="106"/>
  <c r="D6386" i="106"/>
  <c r="D6387" i="106"/>
  <c r="B6388" i="106"/>
  <c r="D6388" i="106" s="1"/>
  <c r="B6394" i="106"/>
  <c r="D6394" i="106" s="1"/>
  <c r="B6395" i="106"/>
  <c r="D6395" i="106" s="1"/>
  <c r="B6398" i="106"/>
  <c r="D6398" i="106" s="1"/>
  <c r="B6399" i="106"/>
  <c r="D6399" i="106" s="1"/>
  <c r="B6401" i="106"/>
  <c r="D6401"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20" i="106"/>
  <c r="D6620" i="106" s="1"/>
  <c r="B6621" i="106"/>
  <c r="D6621" i="106" s="1"/>
  <c r="B6622" i="106"/>
  <c r="D6622" i="106" s="1"/>
  <c r="B6626" i="106"/>
  <c r="D6626" i="106" s="1"/>
  <c r="B6632" i="106"/>
  <c r="D6632" i="106" s="1"/>
  <c r="B6633" i="106"/>
  <c r="D6633" i="106" s="1"/>
  <c r="B6634" i="106"/>
  <c r="D6634" i="106" s="1"/>
  <c r="B6640" i="106"/>
  <c r="D6640" i="106" s="1"/>
  <c r="B6641" i="106"/>
  <c r="D6641" i="106" s="1"/>
  <c r="B6642" i="106"/>
  <c r="D6642" i="106" s="1"/>
  <c r="B6648" i="106"/>
  <c r="D6648" i="106" s="1"/>
  <c r="B6649" i="106"/>
  <c r="D6649" i="106" s="1"/>
  <c r="B6650" i="106"/>
  <c r="D6650" i="106" s="1"/>
  <c r="B6656" i="106"/>
  <c r="D6656" i="106" s="1"/>
  <c r="B6657" i="106"/>
  <c r="D6657" i="106" s="1"/>
  <c r="B6658" i="106"/>
  <c r="D6658" i="106" s="1"/>
  <c r="B6664" i="106"/>
  <c r="D6664" i="106" s="1"/>
  <c r="B6665" i="106"/>
  <c r="D6665" i="106" s="1"/>
  <c r="B6666" i="106"/>
  <c r="D6666" i="106" s="1"/>
  <c r="B6672" i="106"/>
  <c r="D6672" i="106" s="1"/>
  <c r="B6673" i="106"/>
  <c r="D6673" i="106" s="1"/>
  <c r="B6674" i="106"/>
  <c r="D6674" i="106" s="1"/>
  <c r="B6680" i="106"/>
  <c r="D6680" i="106" s="1"/>
  <c r="B6681" i="106"/>
  <c r="D6681" i="106" s="1"/>
  <c r="B6682" i="106"/>
  <c r="D6682" i="106" s="1"/>
  <c r="B6688" i="106"/>
  <c r="D6688" i="106" s="1"/>
  <c r="B6689" i="106"/>
  <c r="D6689" i="106" s="1"/>
  <c r="B6690" i="106"/>
  <c r="D6690" i="106" s="1"/>
  <c r="B6694" i="106"/>
  <c r="D6694" i="106" s="1"/>
  <c r="B6696" i="106"/>
  <c r="D6696" i="106" s="1"/>
  <c r="B6702" i="106"/>
  <c r="D6702" i="106" s="1"/>
  <c r="B6703" i="106"/>
  <c r="D6703" i="106" s="1"/>
  <c r="B6704" i="106"/>
  <c r="D6704" i="106" s="1"/>
  <c r="B6710" i="106"/>
  <c r="D6710" i="106" s="1"/>
  <c r="B6711" i="106"/>
  <c r="D6711" i="106" s="1"/>
  <c r="B6712" i="106"/>
  <c r="D6712" i="106" s="1"/>
  <c r="B6718" i="106"/>
  <c r="D6718" i="106" s="1"/>
  <c r="B6719" i="106"/>
  <c r="D6719" i="106" s="1"/>
  <c r="B6720" i="106"/>
  <c r="D6720" i="106" s="1"/>
  <c r="B6726" i="106"/>
  <c r="D6726" i="106" s="1"/>
  <c r="B6727" i="106"/>
  <c r="D6727" i="106" s="1"/>
  <c r="B6728" i="106"/>
  <c r="D6728" i="106" s="1"/>
  <c r="B6729" i="106"/>
  <c r="D6729" i="106" s="1"/>
  <c r="B6735" i="106"/>
  <c r="D6735" i="106" s="1"/>
  <c r="B6736" i="106"/>
  <c r="D6736" i="106" s="1"/>
  <c r="B6737" i="106"/>
  <c r="D6737" i="106" s="1"/>
  <c r="B6743" i="106"/>
  <c r="D6743" i="106" s="1"/>
  <c r="B6744" i="106"/>
  <c r="D6744" i="106" s="1"/>
  <c r="B6745" i="106"/>
  <c r="D6745" i="106" s="1"/>
  <c r="B6751" i="106"/>
  <c r="D6751" i="106" s="1"/>
  <c r="B6752" i="106"/>
  <c r="D6752" i="106" s="1"/>
  <c r="B6753" i="106"/>
  <c r="D6753" i="106" s="1"/>
  <c r="B6759" i="106"/>
  <c r="D6759" i="106" s="1"/>
  <c r="B6760" i="106"/>
  <c r="D6760" i="106" s="1"/>
  <c r="B6761" i="106"/>
  <c r="D6761" i="106" s="1"/>
  <c r="B6767" i="106"/>
  <c r="D6767" i="106" s="1"/>
  <c r="B6768" i="106"/>
  <c r="D6768" i="106" s="1"/>
  <c r="B6769" i="106"/>
  <c r="D6769" i="106" s="1"/>
  <c r="B6775" i="106"/>
  <c r="D6775" i="106" s="1"/>
  <c r="B6776" i="106"/>
  <c r="D6776" i="106" s="1"/>
  <c r="B6777" i="106"/>
  <c r="D6777" i="106" s="1"/>
  <c r="B6783" i="106"/>
  <c r="D6783" i="106" s="1"/>
  <c r="B6784" i="106"/>
  <c r="D6784" i="106" s="1"/>
  <c r="B6785" i="106"/>
  <c r="D6785" i="106" s="1"/>
  <c r="B6791" i="106"/>
  <c r="D6791" i="106" s="1"/>
  <c r="B6792" i="106"/>
  <c r="D6792" i="106" s="1"/>
  <c r="B6793" i="106"/>
  <c r="D6793" i="106" s="1"/>
  <c r="B6799" i="106"/>
  <c r="D6799" i="106" s="1"/>
  <c r="B6800" i="106"/>
  <c r="D6800" i="106" s="1"/>
  <c r="B6801" i="106"/>
  <c r="D6801" i="106" s="1"/>
  <c r="B6807" i="106"/>
  <c r="D6807" i="106" s="1"/>
  <c r="B6808" i="106"/>
  <c r="D6808" i="106" s="1"/>
  <c r="B6809" i="106"/>
  <c r="D6809" i="106" s="1"/>
  <c r="B6815" i="106"/>
  <c r="D6815" i="106" s="1"/>
  <c r="B6816" i="106"/>
  <c r="D6816" i="106" s="1"/>
  <c r="B6817" i="106"/>
  <c r="D6817" i="106" s="1"/>
  <c r="B6823" i="106"/>
  <c r="D6823" i="106" s="1"/>
  <c r="B6824" i="106"/>
  <c r="D6824" i="106" s="1"/>
  <c r="B6825" i="106"/>
  <c r="D6825"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D7056" i="106"/>
  <c r="B7065" i="106"/>
  <c r="D7065" i="106" s="1"/>
  <c r="B7066" i="106"/>
  <c r="D7066"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8" i="106"/>
  <c r="B7639" i="106"/>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5" i="106"/>
  <c r="D7745" i="106" s="1"/>
  <c r="B7748" i="106"/>
  <c r="D7748" i="106" s="1"/>
  <c r="B7754" i="106"/>
  <c r="D7754" i="106" s="1"/>
  <c r="B7755" i="106"/>
  <c r="D7755" i="106" s="1"/>
  <c r="D7756" i="106"/>
  <c r="D7757" i="106"/>
  <c r="D7765" i="106"/>
  <c r="D7770" i="106"/>
  <c r="D7771" i="106"/>
  <c r="D7772" i="106"/>
  <c r="D7773"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9" i="36"/>
  <c r="D40" i="36"/>
  <c r="D41"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C75" i="5"/>
  <c r="F95" i="34" s="1"/>
  <c r="D96" i="34"/>
  <c r="C97" i="34"/>
  <c r="D97" i="34"/>
  <c r="F97" i="34"/>
  <c r="C98" i="34"/>
  <c r="D98" i="34"/>
  <c r="F98" i="34"/>
  <c r="C99" i="34"/>
  <c r="D99" i="34"/>
  <c r="F99" i="34"/>
  <c r="C100" i="34"/>
  <c r="D100" i="34"/>
  <c r="F100" i="34"/>
  <c r="C101" i="34"/>
  <c r="D101" i="34"/>
  <c r="F101" i="34"/>
  <c r="C102" i="34"/>
  <c r="D102" i="34"/>
  <c r="C103" i="34"/>
  <c r="D103" i="34"/>
  <c r="C104" i="34"/>
  <c r="D104" i="34"/>
  <c r="C105" i="34"/>
  <c r="D105" i="34"/>
  <c r="F105" i="34"/>
  <c r="D106" i="34"/>
  <c r="D107" i="34"/>
  <c r="D108" i="34"/>
  <c r="C109" i="34"/>
  <c r="D109" i="34"/>
  <c r="F109" i="34"/>
  <c r="C110" i="34"/>
  <c r="D110" i="34"/>
  <c r="C111" i="34"/>
  <c r="D111" i="34"/>
  <c r="D112" i="34"/>
  <c r="C113" i="34"/>
  <c r="D113" i="34"/>
  <c r="F113" i="34"/>
  <c r="C114" i="34"/>
  <c r="D114" i="34"/>
  <c r="C115" i="34"/>
  <c r="D115" i="34"/>
  <c r="C116" i="34"/>
  <c r="D116" i="34"/>
  <c r="C117" i="34"/>
  <c r="D117" i="34"/>
  <c r="C118" i="34"/>
  <c r="D118" i="34"/>
  <c r="C119" i="34"/>
  <c r="D119" i="34"/>
  <c r="C120" i="34"/>
  <c r="D120" i="34"/>
  <c r="C121" i="34"/>
  <c r="D121" i="34"/>
  <c r="C122" i="34"/>
  <c r="C123" i="34"/>
  <c r="D123" i="34"/>
  <c r="F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4" i="7"/>
  <c r="B1744" i="106" s="1"/>
  <c r="D1744" i="106" s="1"/>
  <c r="B8" i="7"/>
  <c r="B1748" i="106" s="1"/>
  <c r="D1748" i="106" s="1"/>
  <c r="B1749" i="106"/>
  <c r="D1749" i="106" s="1"/>
  <c r="B1752" i="106"/>
  <c r="D1752" i="106" s="1"/>
  <c r="B1753" i="106"/>
  <c r="D1753" i="106" s="1"/>
  <c r="B17" i="7"/>
  <c r="B4102" i="106" s="1"/>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K44" i="29"/>
  <c r="K45" i="29"/>
  <c r="B1117" i="106" s="1"/>
  <c r="D1117" i="106" s="1"/>
  <c r="C47" i="29"/>
  <c r="K50" i="29"/>
  <c r="E12" i="184" s="1"/>
  <c r="C53" i="29"/>
  <c r="B734" i="106" s="1"/>
  <c r="D734" i="106" s="1"/>
  <c r="L330" i="29"/>
  <c r="L340" i="29"/>
  <c r="L350" i="29"/>
  <c r="L352" i="29" s="1"/>
  <c r="L362" i="29"/>
  <c r="L365" i="29" s="1"/>
  <c r="C12" i="5"/>
  <c r="I12" i="5"/>
  <c r="B5918" i="106" s="1"/>
  <c r="D5918" i="106" s="1"/>
  <c r="J12" i="5"/>
  <c r="B6301" i="106" s="1"/>
  <c r="D6301" i="106" s="1"/>
  <c r="K12" i="5"/>
  <c r="B5987" i="106" s="1"/>
  <c r="D5987" i="106" s="1"/>
  <c r="C18" i="5"/>
  <c r="B5071" i="106" s="1"/>
  <c r="D5071" i="106" s="1"/>
  <c r="I18" i="5"/>
  <c r="B5923" i="106" s="1"/>
  <c r="D5923" i="106" s="1"/>
  <c r="J18" i="5"/>
  <c r="B6306" i="106" s="1"/>
  <c r="D6306" i="106" s="1"/>
  <c r="K18" i="5"/>
  <c r="B5992" i="106" s="1"/>
  <c r="D5992" i="106" s="1"/>
  <c r="C40" i="5"/>
  <c r="B5087" i="106" s="1"/>
  <c r="D5087" i="106" s="1"/>
  <c r="C67" i="5"/>
  <c r="B5090" i="106" s="1"/>
  <c r="D5090" i="106" s="1"/>
  <c r="I67" i="5"/>
  <c r="B5926" i="106" s="1"/>
  <c r="D5926" i="106" s="1"/>
  <c r="J67" i="5"/>
  <c r="B6318" i="106" s="1"/>
  <c r="D6318" i="106" s="1"/>
  <c r="K67" i="5"/>
  <c r="B5995" i="106" s="1"/>
  <c r="D5995" i="106" s="1"/>
  <c r="C82" i="5"/>
  <c r="B5102" i="106" s="1"/>
  <c r="D5102" i="106" s="1"/>
  <c r="C93" i="5"/>
  <c r="B5112" i="106" s="1"/>
  <c r="D5112" i="106" s="1"/>
  <c r="I108" i="5"/>
  <c r="B5930" i="106" s="1"/>
  <c r="D5930" i="106" s="1"/>
  <c r="J108" i="5"/>
  <c r="B6351" i="106" s="1"/>
  <c r="D6351" i="106" s="1"/>
  <c r="K108" i="5"/>
  <c r="B5999" i="106" s="1"/>
  <c r="D5999" i="106" s="1"/>
  <c r="C114" i="5"/>
  <c r="B5125" i="106" s="1"/>
  <c r="D5125" i="106" s="1"/>
  <c r="C122" i="5"/>
  <c r="B5132" i="106" s="1"/>
  <c r="D5132" i="106" s="1"/>
  <c r="J122" i="5"/>
  <c r="B6357" i="106" s="1"/>
  <c r="D6357" i="106" s="1"/>
  <c r="K122" i="5"/>
  <c r="B6006" i="106" s="1"/>
  <c r="D6006" i="106" s="1"/>
  <c r="C132" i="5"/>
  <c r="B5147" i="106" s="1"/>
  <c r="D5147" i="106" s="1"/>
  <c r="C141" i="5"/>
  <c r="B5161" i="106" s="1"/>
  <c r="D5161" i="106" s="1"/>
  <c r="C145" i="5"/>
  <c r="B5165" i="106" s="1"/>
  <c r="D5165" i="106" s="1"/>
  <c r="C155" i="5"/>
  <c r="B5178" i="106" s="1"/>
  <c r="D5178" i="106" s="1"/>
  <c r="I169" i="5"/>
  <c r="B4363" i="106" s="1"/>
  <c r="D4363" i="106" s="1"/>
  <c r="J169" i="5"/>
  <c r="B6396" i="106" s="1"/>
  <c r="D6396" i="106" s="1"/>
  <c r="K169" i="5"/>
  <c r="B5000" i="106" s="1"/>
  <c r="D5000" i="106" s="1"/>
  <c r="C175" i="5"/>
  <c r="B5225" i="106" s="1"/>
  <c r="D5225" i="106" s="1"/>
  <c r="I175" i="5"/>
  <c r="B4373" i="106" s="1"/>
  <c r="D4373" i="106" s="1"/>
  <c r="J175" i="5"/>
  <c r="B6400" i="106" s="1"/>
  <c r="D6400" i="106" s="1"/>
  <c r="K175" i="5"/>
  <c r="B4951" i="106" s="1"/>
  <c r="D4951" i="106" s="1"/>
  <c r="C181" i="5"/>
  <c r="B5232" i="106" s="1"/>
  <c r="D5232" i="106" s="1"/>
  <c r="K181" i="5"/>
  <c r="B6016" i="106" s="1"/>
  <c r="D6016" i="106" s="1"/>
  <c r="J252" i="5"/>
  <c r="J266" i="5" s="1"/>
  <c r="B7041" i="106" s="1"/>
  <c r="D7041" i="106" s="1"/>
  <c r="K252" i="5"/>
  <c r="K266" i="5" s="1"/>
  <c r="B4442" i="106" s="1"/>
  <c r="D4442" i="106" s="1"/>
  <c r="D7" i="118"/>
  <c r="D8" i="118"/>
  <c r="D9" i="118"/>
  <c r="H33" i="118"/>
  <c r="D22" i="37"/>
  <c r="L22" i="37"/>
  <c r="H28" i="118" l="1"/>
  <c r="B2836" i="106"/>
  <c r="D2836" i="106" s="1"/>
  <c r="D24" i="37"/>
  <c r="B4270" i="106" s="1"/>
  <c r="D4270" i="106" s="1"/>
  <c r="F52" i="34"/>
  <c r="B7831" i="106" s="1"/>
  <c r="D7831" i="106" s="1"/>
  <c r="B2724" i="106"/>
  <c r="D2724" i="106" s="1"/>
  <c r="F50" i="34"/>
  <c r="F42" i="34"/>
  <c r="B7720" i="106"/>
  <c r="D7720" i="106" s="1"/>
  <c r="F34" i="34"/>
  <c r="B7826" i="106" s="1"/>
  <c r="D7826" i="106" s="1"/>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E16" i="184"/>
  <c r="H16" i="184" s="1"/>
  <c r="B7696" i="106"/>
  <c r="D7696" i="106" s="1"/>
  <c r="E66" i="184"/>
  <c r="N66" i="184" s="1"/>
  <c r="B7171" i="106"/>
  <c r="D7171" i="106" s="1"/>
  <c r="E62" i="184"/>
  <c r="N62" i="184" s="1"/>
  <c r="B7135" i="106"/>
  <c r="D7135" i="106" s="1"/>
  <c r="E58" i="184"/>
  <c r="N58" i="184" s="1"/>
  <c r="E17" i="184"/>
  <c r="H17" i="184" s="1"/>
  <c r="B6995" i="106"/>
  <c r="D6995" i="106" s="1"/>
  <c r="F37" i="34"/>
  <c r="B7829" i="106" s="1"/>
  <c r="D7829" i="106" s="1"/>
  <c r="F36" i="34"/>
  <c r="B7828" i="106" s="1"/>
  <c r="D7828" i="106" s="1"/>
  <c r="C342" i="29"/>
  <c r="B7216" i="106" s="1"/>
  <c r="D7216" i="106" s="1"/>
  <c r="H342" i="29"/>
  <c r="B7221" i="106" s="1"/>
  <c r="D7221"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C352" i="29"/>
  <c r="B3621" i="106" s="1"/>
  <c r="D3621" i="106" s="1"/>
  <c r="B1124" i="106"/>
  <c r="D1124" i="106" s="1"/>
  <c r="B1126" i="106"/>
  <c r="D1126" i="106" s="1"/>
  <c r="J22" i="37"/>
  <c r="L367" i="29"/>
  <c r="L342" i="29"/>
  <c r="F19" i="7"/>
  <c r="B1807" i="106" s="1"/>
  <c r="D1807" i="106" s="1"/>
  <c r="F46" i="34"/>
  <c r="F38" i="34"/>
  <c r="B7830" i="106" s="1"/>
  <c r="D7830" i="106" s="1"/>
  <c r="H112" i="29"/>
  <c r="B7018" i="106" s="1"/>
  <c r="D7018" i="106" s="1"/>
  <c r="J77" i="4"/>
  <c r="B6262" i="106" s="1"/>
  <c r="D6262" i="106" s="1"/>
  <c r="B3647" i="106"/>
  <c r="D3647" i="106" s="1"/>
  <c r="L13" i="11"/>
  <c r="B2060" i="106" s="1"/>
  <c r="D2060" i="106" s="1"/>
  <c r="L5" i="11"/>
  <c r="B2056" i="106" s="1"/>
  <c r="D2056" i="106" s="1"/>
  <c r="J352" i="29"/>
  <c r="J367" i="29" s="1"/>
  <c r="B7245" i="106" s="1"/>
  <c r="D7245" i="106" s="1"/>
  <c r="D17" i="7"/>
  <c r="B4104" i="106" s="1"/>
  <c r="D4104" i="106" s="1"/>
  <c r="D11" i="37"/>
  <c r="H29" i="118"/>
  <c r="N22" i="3"/>
  <c r="B283" i="106" s="1"/>
  <c r="D283" i="106" s="1"/>
  <c r="F14" i="4"/>
  <c r="B2597" i="106" s="1"/>
  <c r="D2597" i="106" s="1"/>
  <c r="B7727" i="106"/>
  <c r="D7727" i="106" s="1"/>
  <c r="F49" i="34"/>
  <c r="F44" i="34"/>
  <c r="D31" i="36"/>
  <c r="L15" i="11"/>
  <c r="B3459" i="106" s="1"/>
  <c r="D3459" i="106" s="1"/>
  <c r="I24" i="12"/>
  <c r="B3649" i="106"/>
  <c r="D3649" i="106" s="1"/>
  <c r="G367" i="29"/>
  <c r="B3650" i="106" s="1"/>
  <c r="D3650" i="106" s="1"/>
  <c r="I342" i="29"/>
  <c r="K350" i="29"/>
  <c r="F21" i="8"/>
  <c r="K24" i="12"/>
  <c r="F41" i="34"/>
  <c r="F35" i="34"/>
  <c r="B7827" i="106" s="1"/>
  <c r="D7827" i="106" s="1"/>
  <c r="D3583" i="106"/>
  <c r="F45" i="34"/>
  <c r="D12" i="7"/>
  <c r="B1769" i="106" s="1"/>
  <c r="D1769" i="106" s="1"/>
  <c r="I170" i="5"/>
  <c r="B4216" i="106" s="1"/>
  <c r="D4216" i="106" s="1"/>
  <c r="B5096" i="106"/>
  <c r="D5096" i="106" s="1"/>
  <c r="D4" i="7"/>
  <c r="B1760" i="106" s="1"/>
  <c r="D1760" i="106" s="1"/>
  <c r="I267" i="5"/>
  <c r="B4435" i="106" s="1"/>
  <c r="D4435" i="106" s="1"/>
  <c r="B5066" i="106"/>
  <c r="D5066" i="106" s="1"/>
  <c r="C169" i="5"/>
  <c r="K170" i="5"/>
  <c r="K6" i="4" s="1"/>
  <c r="B3570" i="106" s="1"/>
  <c r="D3570" i="106" s="1"/>
  <c r="J267" i="5"/>
  <c r="B7054" i="106" s="1"/>
  <c r="D7054" i="106" s="1"/>
  <c r="K267" i="5"/>
  <c r="B6022" i="106" s="1"/>
  <c r="D6022" i="106" s="1"/>
  <c r="D11" i="7"/>
  <c r="B1768" i="106" s="1"/>
  <c r="D1768" i="106" s="1"/>
  <c r="H352" i="29"/>
  <c r="B3656" i="106" s="1"/>
  <c r="D3656" i="106" s="1"/>
  <c r="E102" i="29"/>
  <c r="B2790" i="106" s="1"/>
  <c r="D2790" i="106" s="1"/>
  <c r="J342" i="29"/>
  <c r="B7223" i="106" s="1"/>
  <c r="D7223" i="106" s="1"/>
  <c r="G342" i="29"/>
  <c r="K84" i="29"/>
  <c r="B2088" i="106" s="1"/>
  <c r="D2088" i="106" s="1"/>
  <c r="B79" i="36"/>
  <c r="B77" i="36"/>
  <c r="D18" i="7"/>
  <c r="B4105" i="106" s="1"/>
  <c r="D4105" i="106" s="1"/>
  <c r="J109" i="5"/>
  <c r="J170" i="5"/>
  <c r="C5" i="4"/>
  <c r="B3405" i="106" s="1"/>
  <c r="D3405" i="106" s="1"/>
  <c r="B6840" i="106"/>
  <c r="D6840" i="106" s="1"/>
  <c r="B6839" i="106"/>
  <c r="D6839"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K362" i="29"/>
  <c r="B3676" i="106" s="1"/>
  <c r="D3676" i="106" s="1"/>
  <c r="D352" i="29"/>
  <c r="D367" i="29" s="1"/>
  <c r="B3629" i="106" s="1"/>
  <c r="D3629" i="106" s="1"/>
  <c r="K16" i="11"/>
  <c r="B2055" i="106" s="1"/>
  <c r="D2055" i="106" s="1"/>
  <c r="B1146" i="106"/>
  <c r="D1146" i="106" s="1"/>
  <c r="K110" i="29"/>
  <c r="B1134" i="106"/>
  <c r="D1134" i="106" s="1"/>
  <c r="B7759" i="106"/>
  <c r="D7759" i="106" s="1"/>
  <c r="B1131" i="106"/>
  <c r="D1131" i="106" s="1"/>
  <c r="L3" i="11"/>
  <c r="B7596" i="106" s="1"/>
  <c r="L9" i="11"/>
  <c r="B7614" i="106" s="1"/>
  <c r="L10" i="11"/>
  <c r="B2058" i="106" s="1"/>
  <c r="D2058" i="106" s="1"/>
  <c r="D10" i="7"/>
  <c r="B1765" i="106" s="1"/>
  <c r="D1765" i="106" s="1"/>
  <c r="D8" i="7"/>
  <c r="B1764" i="106" s="1"/>
  <c r="D1764" i="106" s="1"/>
  <c r="B1121" i="106"/>
  <c r="D1121" i="106" s="1"/>
  <c r="K53" i="29"/>
  <c r="B731" i="106"/>
  <c r="D731" i="106" s="1"/>
  <c r="C74" i="29"/>
  <c r="B755" i="106" s="1"/>
  <c r="D755" i="106" s="1"/>
  <c r="B1116" i="106"/>
  <c r="D1116" i="106" s="1"/>
  <c r="K47" i="29"/>
  <c r="B7600" i="106"/>
  <c r="L6" i="11"/>
  <c r="B7605" i="106" s="1"/>
  <c r="A7250" i="106"/>
  <c r="A7251" i="106" s="1"/>
  <c r="A7252" i="106" s="1"/>
  <c r="A7253" i="106" s="1"/>
  <c r="A7254" i="106" s="1"/>
  <c r="A7255" i="106" s="1"/>
  <c r="A7256" i="106" s="1"/>
  <c r="A7257" i="106" s="1"/>
  <c r="D7249" i="106"/>
  <c r="I109" i="5"/>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7248" i="106"/>
  <c r="D7247" i="106"/>
  <c r="D7246" i="106"/>
  <c r="B6916" i="106"/>
  <c r="D6916" i="106" s="1"/>
  <c r="I74" i="29"/>
  <c r="I49" i="8"/>
  <c r="B3633" i="106"/>
  <c r="D3633" i="106" s="1"/>
  <c r="E352" i="29"/>
  <c r="B3229" i="106"/>
  <c r="D3229" i="106" s="1"/>
  <c r="C77" i="4"/>
  <c r="B3232" i="106" s="1"/>
  <c r="D3232" i="106" s="1"/>
  <c r="B1977" i="106"/>
  <c r="D1977" i="106" s="1"/>
  <c r="H24" i="12"/>
  <c r="B1867" i="106"/>
  <c r="D1867" i="106" s="1"/>
  <c r="F15" i="8"/>
  <c r="B1127" i="106"/>
  <c r="D1127" i="106" s="1"/>
  <c r="K65" i="29"/>
  <c r="B1133" i="106" s="1"/>
  <c r="D1133" i="106" s="1"/>
  <c r="B1123" i="106"/>
  <c r="D1123" i="106" s="1"/>
  <c r="K57" i="29"/>
  <c r="B3640" i="106"/>
  <c r="D3640" i="106" s="1"/>
  <c r="F352" i="29"/>
  <c r="F367" i="29" s="1"/>
  <c r="L12" i="11"/>
  <c r="B2059" i="106" s="1"/>
  <c r="D2059" i="106" s="1"/>
  <c r="L8" i="11"/>
  <c r="B2057" i="106" s="1"/>
  <c r="D2057" i="106" s="1"/>
  <c r="G24" i="12"/>
  <c r="K100" i="29"/>
  <c r="B7013" i="106" s="1"/>
  <c r="D7013" i="106" s="1"/>
  <c r="B1135" i="106"/>
  <c r="D1135" i="106" s="1"/>
  <c r="K72" i="29"/>
  <c r="B1141" i="106" s="1"/>
  <c r="D1141" i="106" s="1"/>
  <c r="B1021" i="106"/>
  <c r="D1021" i="106" s="1"/>
  <c r="H74" i="29"/>
  <c r="B847" i="106"/>
  <c r="D847" i="106" s="1"/>
  <c r="E74" i="29"/>
  <c r="B1144" i="106"/>
  <c r="D1144" i="106" s="1"/>
  <c r="B1109" i="106"/>
  <c r="D1109" i="106" s="1"/>
  <c r="K42" i="29"/>
  <c r="H102" i="29"/>
  <c r="B1047" i="106" s="1"/>
  <c r="D1047" i="106" s="1"/>
  <c r="G74" i="29"/>
  <c r="B905" i="106"/>
  <c r="D905" i="106" s="1"/>
  <c r="F74" i="29"/>
  <c r="D74" i="29"/>
  <c r="C266" i="5"/>
  <c r="J24" i="12"/>
  <c r="B7730" i="106"/>
  <c r="D7730" i="106" s="1"/>
  <c r="K28" i="118" l="1"/>
  <c r="O27" i="118" s="1"/>
  <c r="O29" i="118" s="1"/>
  <c r="K365" i="29"/>
  <c r="B7243" i="106" s="1"/>
  <c r="D7243" i="106" s="1"/>
  <c r="B7215" i="106"/>
  <c r="D7215" i="106" s="1"/>
  <c r="N57" i="184"/>
  <c r="N68" i="184" s="1"/>
  <c r="E68" i="184"/>
  <c r="E19" i="184"/>
  <c r="C367" i="29"/>
  <c r="B3622" i="106" s="1"/>
  <c r="D3622" i="106" s="1"/>
  <c r="I7" i="4"/>
  <c r="B4444" i="106" s="1"/>
  <c r="D4444" i="106" s="1"/>
  <c r="B273" i="106"/>
  <c r="D273" i="106" s="1"/>
  <c r="M23" i="3"/>
  <c r="B2914" i="106"/>
  <c r="D2914" i="106" s="1"/>
  <c r="L34" i="3"/>
  <c r="B7235" i="106"/>
  <c r="D7235"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I26" i="12"/>
  <c r="B7741" i="106" s="1"/>
  <c r="D7741" i="106" s="1"/>
  <c r="B1996" i="106"/>
  <c r="D1996" i="106" s="1"/>
  <c r="D7255" i="106"/>
  <c r="D7253" i="106"/>
  <c r="D7252" i="106"/>
  <c r="B7733" i="106"/>
  <c r="D7733" i="106" s="1"/>
  <c r="K26" i="12"/>
  <c r="B7743" i="106" s="1"/>
  <c r="D7743" i="106" s="1"/>
  <c r="B1879" i="106"/>
  <c r="D1879" i="106" s="1"/>
  <c r="H22" i="37"/>
  <c r="B3628" i="106"/>
  <c r="D3628" i="106" s="1"/>
  <c r="B3670" i="106"/>
  <c r="D3670" i="106" s="1"/>
  <c r="K352" i="29"/>
  <c r="H367" i="29"/>
  <c r="B3660" i="106" s="1"/>
  <c r="D3660" i="106" s="1"/>
  <c r="I6" i="4"/>
  <c r="B5011" i="106" s="1"/>
  <c r="D5011" i="106" s="1"/>
  <c r="K7" i="4"/>
  <c r="B3718" i="106" s="1"/>
  <c r="D3718" i="106" s="1"/>
  <c r="J7" i="4"/>
  <c r="B6222" i="106" s="1"/>
  <c r="D6222" i="106" s="1"/>
  <c r="B6014" i="106"/>
  <c r="D6014" i="106" s="1"/>
  <c r="B5214" i="106"/>
  <c r="D5214" i="106" s="1"/>
  <c r="C170" i="5"/>
  <c r="B7760" i="106"/>
  <c r="D7760" i="106" s="1"/>
  <c r="D24" i="36"/>
  <c r="K102" i="29"/>
  <c r="F53" i="34" s="1"/>
  <c r="D3674" i="106"/>
  <c r="B3573" i="106"/>
  <c r="D3573" i="106" s="1"/>
  <c r="K4" i="4"/>
  <c r="B6028" i="106"/>
  <c r="D6028" i="106" s="1"/>
  <c r="B1151" i="106"/>
  <c r="D1151" i="106" s="1"/>
  <c r="K112" i="29"/>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K74" i="29"/>
  <c r="B1125" i="106"/>
  <c r="D1125" i="106" s="1"/>
  <c r="B1875" i="106"/>
  <c r="D1875" i="106" s="1"/>
  <c r="F22" i="37"/>
  <c r="B1983" i="106"/>
  <c r="D1983" i="106" s="1"/>
  <c r="H26" i="12"/>
  <c r="B7740" i="106" s="1"/>
  <c r="D7740" i="106" s="1"/>
  <c r="B6977" i="106"/>
  <c r="D6977" i="106" s="1"/>
  <c r="I114" i="29"/>
  <c r="B6026" i="106"/>
  <c r="D6026" i="106" s="1"/>
  <c r="I4" i="4"/>
  <c r="I268" i="5"/>
  <c r="B5946" i="106" s="1"/>
  <c r="D5946" i="106" s="1"/>
  <c r="A7258" i="106"/>
  <c r="D7257" i="106"/>
  <c r="B1122" i="106"/>
  <c r="D1122" i="106" s="1"/>
  <c r="B7732" i="106"/>
  <c r="D7732" i="106" s="1"/>
  <c r="J26" i="12"/>
  <c r="B7742" i="106" s="1"/>
  <c r="D7742" i="106" s="1"/>
  <c r="B813" i="106"/>
  <c r="D813" i="106" s="1"/>
  <c r="D114" i="29"/>
  <c r="B815" i="106" s="1"/>
  <c r="D815" i="106" s="1"/>
  <c r="B871" i="106"/>
  <c r="D871" i="106" s="1"/>
  <c r="B1045" i="106"/>
  <c r="D1045" i="106" s="1"/>
  <c r="H114" i="29"/>
  <c r="B1054" i="106" s="1"/>
  <c r="D1054" i="106" s="1"/>
  <c r="B1958" i="106"/>
  <c r="D1958" i="106" s="1"/>
  <c r="G26" i="12"/>
  <c r="B7739" i="106" s="1"/>
  <c r="D7739" i="106" s="1"/>
  <c r="B3642" i="106"/>
  <c r="D3642" i="106" s="1"/>
  <c r="B3643" i="106"/>
  <c r="D3643" i="106" s="1"/>
  <c r="B4171" i="106"/>
  <c r="D4171" i="106" s="1"/>
  <c r="N36" i="3"/>
  <c r="J114" i="29"/>
  <c r="B7021" i="106" s="1"/>
  <c r="D7021" i="106" s="1"/>
  <c r="B6978" i="106"/>
  <c r="D6978" i="106" s="1"/>
  <c r="B7244" i="106"/>
  <c r="D7244" i="106" s="1"/>
  <c r="B7234" i="106"/>
  <c r="D7234" i="106" s="1"/>
  <c r="B1119" i="106"/>
  <c r="D1119" i="106" s="1"/>
  <c r="K16" i="4" l="1"/>
  <c r="B3574" i="106" s="1"/>
  <c r="D3574" i="106" s="1"/>
  <c r="K367" i="29"/>
  <c r="B3678" i="106" s="1"/>
  <c r="D3678" i="106" s="1"/>
  <c r="B7224" i="106"/>
  <c r="D7224" i="106" s="1"/>
  <c r="B279" i="106"/>
  <c r="D279" i="106" s="1"/>
  <c r="B2916" i="106"/>
  <c r="D2916" i="106" s="1"/>
  <c r="L41" i="3"/>
  <c r="B1145" i="106"/>
  <c r="D1145" i="106" s="1"/>
  <c r="F24" i="37"/>
  <c r="J17" i="4"/>
  <c r="J19" i="4" s="1"/>
  <c r="B6229" i="106" s="1"/>
  <c r="D6229" i="106" s="1"/>
  <c r="K13" i="4"/>
  <c r="B3572" i="106" s="1"/>
  <c r="D3572" i="106" s="1"/>
  <c r="B3672" i="106"/>
  <c r="D3672" i="106" s="1"/>
  <c r="B5223" i="106"/>
  <c r="D5223" i="106" s="1"/>
  <c r="C6" i="4"/>
  <c r="B2553" i="106" s="1"/>
  <c r="D2553" i="106" s="1"/>
  <c r="J8" i="4"/>
  <c r="J10" i="4" s="1"/>
  <c r="B6225" i="106" s="1"/>
  <c r="D6225" i="106" s="1"/>
  <c r="C15" i="4"/>
  <c r="B2559" i="106" s="1"/>
  <c r="D2559" i="106" s="1"/>
  <c r="B7055" i="106"/>
  <c r="D7055" i="106" s="1"/>
  <c r="K343" i="29"/>
  <c r="B7225" i="106" s="1"/>
  <c r="D7225" i="106" s="1"/>
  <c r="B7019" i="106"/>
  <c r="D7019" i="106" s="1"/>
  <c r="C16" i="4"/>
  <c r="B2560" i="106" s="1"/>
  <c r="D2560" i="106" s="1"/>
  <c r="B3569" i="106"/>
  <c r="D3569" i="106" s="1"/>
  <c r="K8" i="4"/>
  <c r="A7259" i="106"/>
  <c r="D7258" i="106"/>
  <c r="B989" i="106"/>
  <c r="D989" i="106" s="1"/>
  <c r="F54" i="34"/>
  <c r="B5326" i="106"/>
  <c r="D5326" i="106" s="1"/>
  <c r="C7" i="4"/>
  <c r="H37" i="37"/>
  <c r="B285" i="106"/>
  <c r="D285" i="106" s="1"/>
  <c r="N37" i="3"/>
  <c r="B3225" i="106"/>
  <c r="D3225" i="106" s="1"/>
  <c r="I8" i="4"/>
  <c r="B7020" i="106"/>
  <c r="D7020" i="106" s="1"/>
  <c r="F55" i="34"/>
  <c r="B1143" i="106"/>
  <c r="D1143" i="106" s="1"/>
  <c r="C13" i="4"/>
  <c r="B2557" i="106" s="1"/>
  <c r="D2557" i="106" s="1"/>
  <c r="K368" i="29" l="1"/>
  <c r="B3681" i="106" s="1"/>
  <c r="D3681" i="106" s="1"/>
  <c r="B6223" i="106"/>
  <c r="D6223" i="106" s="1"/>
  <c r="K17" i="4"/>
  <c r="B3575" i="106" s="1"/>
  <c r="D3575" i="106" s="1"/>
  <c r="J20" i="4"/>
  <c r="J78" i="4" s="1"/>
  <c r="B280" i="106"/>
  <c r="D280" i="106" s="1"/>
  <c r="M41" i="3"/>
  <c r="B2917" i="106"/>
  <c r="D2917" i="106" s="1"/>
  <c r="D53" i="36"/>
  <c r="B6227" i="106"/>
  <c r="D6227" i="106" s="1"/>
  <c r="K10" i="4"/>
  <c r="B4130" i="106" s="1"/>
  <c r="D4130" i="106" s="1"/>
  <c r="B3571" i="106"/>
  <c r="D3571" i="106" s="1"/>
  <c r="N41" i="3"/>
  <c r="B287" i="106"/>
  <c r="D287" i="106" s="1"/>
  <c r="B4997" i="106"/>
  <c r="D4997" i="106" s="1"/>
  <c r="H32" i="118"/>
  <c r="K32" i="118" s="1"/>
  <c r="O31" i="118" s="1"/>
  <c r="O33" i="118" s="1"/>
  <c r="B3226" i="106"/>
  <c r="D3226" i="106" s="1"/>
  <c r="E8" i="146"/>
  <c r="E10" i="146" s="1"/>
  <c r="I20" i="4"/>
  <c r="I10" i="4"/>
  <c r="B4128" i="106" s="1"/>
  <c r="D4128" i="106" s="1"/>
  <c r="B2554" i="106"/>
  <c r="D2554" i="106" s="1"/>
  <c r="A7260" i="106"/>
  <c r="D7259" i="106"/>
  <c r="K19" i="4" l="1"/>
  <c r="B4144" i="106" s="1"/>
  <c r="D4144" i="106" s="1"/>
  <c r="K20" i="4"/>
  <c r="B3576" i="106" s="1"/>
  <c r="D3576" i="106" s="1"/>
  <c r="B6230" i="106"/>
  <c r="D6230" i="106" s="1"/>
  <c r="B281" i="106"/>
  <c r="D281" i="106" s="1"/>
  <c r="D54" i="36"/>
  <c r="A7261" i="106"/>
  <c r="D7260" i="106"/>
  <c r="B288" i="106"/>
  <c r="D288" i="106" s="1"/>
  <c r="B3227" i="106"/>
  <c r="D3227" i="106" s="1"/>
  <c r="J81" i="4"/>
  <c r="B6263" i="106"/>
  <c r="D6263" i="106" s="1"/>
  <c r="B6215" i="106" l="1"/>
  <c r="D6215" i="106" s="1"/>
  <c r="J41" i="3"/>
  <c r="A7262" i="106"/>
  <c r="D7261" i="106"/>
  <c r="D64" i="36"/>
  <c r="J82" i="4"/>
  <c r="B6266" i="106"/>
  <c r="D6266" i="106" s="1"/>
  <c r="B2912" i="106" l="1"/>
  <c r="D2912" i="106" s="1"/>
  <c r="I41" i="3"/>
  <c r="B3567" i="106"/>
  <c r="D3567" i="106" s="1"/>
  <c r="K41" i="3"/>
  <c r="D51" i="36"/>
  <c r="B6216" i="106"/>
  <c r="D6216" i="106" s="1"/>
  <c r="A7263" i="106"/>
  <c r="D7262" i="106"/>
  <c r="J83" i="4"/>
  <c r="B6283" i="106" s="1"/>
  <c r="D6283" i="106" s="1"/>
  <c r="B6274" i="106"/>
  <c r="D6274" i="106" s="1"/>
  <c r="B2913" i="106" l="1"/>
  <c r="D2913" i="106" s="1"/>
  <c r="D50" i="36"/>
  <c r="B3568" i="106"/>
  <c r="D3568" i="106" s="1"/>
  <c r="D52" i="36"/>
  <c r="A7264" i="106"/>
  <c r="D7263" i="106"/>
  <c r="A7265" i="106" l="1"/>
  <c r="D7264" i="106"/>
  <c r="A7266" i="106" l="1"/>
  <c r="D7265" i="106"/>
  <c r="B6734" i="106" l="1"/>
  <c r="D6734" i="106" s="1"/>
  <c r="B6668" i="106"/>
  <c r="D6668" i="106" s="1"/>
  <c r="B7804" i="106"/>
  <c r="D7804" i="106" s="1"/>
  <c r="B2813" i="106"/>
  <c r="D2813" i="106" s="1"/>
  <c r="K166" i="29"/>
  <c r="B2819" i="106" s="1"/>
  <c r="D2819" i="106" s="1"/>
  <c r="B4191" i="106"/>
  <c r="D4191" i="106" s="1"/>
  <c r="B7680" i="106"/>
  <c r="D7680" i="106" s="1"/>
  <c r="K126" i="29"/>
  <c r="B1277" i="106" s="1"/>
  <c r="D1277" i="106" s="1"/>
  <c r="B1254" i="106"/>
  <c r="D1254" i="106" s="1"/>
  <c r="B5522" i="106"/>
  <c r="D5522" i="106" s="1"/>
  <c r="E108" i="5"/>
  <c r="B5526" i="106" s="1"/>
  <c r="D5526" i="106" s="1"/>
  <c r="B3273" i="106"/>
  <c r="D3273" i="106" s="1"/>
  <c r="B3084" i="106"/>
  <c r="D3084" i="106" s="1"/>
  <c r="B4364" i="106"/>
  <c r="D4364" i="106" s="1"/>
  <c r="E175" i="5"/>
  <c r="B4372" i="106" s="1"/>
  <c r="D4372" i="106" s="1"/>
  <c r="B3532" i="106"/>
  <c r="D3532" i="106" s="1"/>
  <c r="L194" i="29"/>
  <c r="L196" i="29" s="1"/>
  <c r="B4315" i="106"/>
  <c r="D4315" i="106" s="1"/>
  <c r="B620" i="106"/>
  <c r="D620" i="106" s="1"/>
  <c r="B1313" i="106"/>
  <c r="D1313" i="106" s="1"/>
  <c r="K167" i="29"/>
  <c r="B1327" i="106" s="1"/>
  <c r="D1327" i="106" s="1"/>
  <c r="B6679" i="106"/>
  <c r="D6679" i="106" s="1"/>
  <c r="B7043" i="106"/>
  <c r="D7043" i="106" s="1"/>
  <c r="B1335" i="106"/>
  <c r="D1335" i="106" s="1"/>
  <c r="K182" i="29"/>
  <c r="B1377" i="106" s="1"/>
  <c r="D1377" i="106" s="1"/>
  <c r="B6299" i="106"/>
  <c r="D6299" i="106" s="1"/>
  <c r="B6741" i="106"/>
  <c r="D6741" i="106" s="1"/>
  <c r="B4448" i="106"/>
  <c r="D4448" i="106" s="1"/>
  <c r="B5880" i="106"/>
  <c r="D5880" i="106" s="1"/>
  <c r="B5855" i="106"/>
  <c r="D5855" i="106" s="1"/>
  <c r="B5602" i="106"/>
  <c r="D5602" i="106" s="1"/>
  <c r="B7073" i="106"/>
  <c r="D7073" i="106" s="1"/>
  <c r="K216" i="29"/>
  <c r="B1221" i="106"/>
  <c r="D1221" i="106" s="1"/>
  <c r="K124" i="29"/>
  <c r="G127" i="29"/>
  <c r="B1256" i="106" s="1"/>
  <c r="D1256" i="106" s="1"/>
  <c r="B1251" i="106"/>
  <c r="D1251" i="106" s="1"/>
  <c r="B5464" i="106"/>
  <c r="D5464" i="106" s="1"/>
  <c r="F131" i="34"/>
  <c r="B7863" i="106" s="1"/>
  <c r="D7863" i="106" s="1"/>
  <c r="B4361" i="106"/>
  <c r="D4361" i="106" s="1"/>
  <c r="B6241" i="106"/>
  <c r="D6241" i="106" s="1"/>
  <c r="E37" i="4"/>
  <c r="B6285" i="106" s="1"/>
  <c r="D6285" i="106" s="1"/>
  <c r="H14" i="118"/>
  <c r="H19" i="118"/>
  <c r="B6093" i="106"/>
  <c r="D6093" i="106" s="1"/>
  <c r="B6094" i="106"/>
  <c r="D6094" i="106" s="1"/>
  <c r="B6770" i="106"/>
  <c r="D6770" i="106" s="1"/>
  <c r="F150" i="34"/>
  <c r="B4310" i="106"/>
  <c r="D4310" i="106" s="1"/>
  <c r="L285" i="29"/>
  <c r="B5765" i="106"/>
  <c r="D5765" i="106" s="1"/>
  <c r="B4885" i="106"/>
  <c r="D4885" i="106" s="1"/>
  <c r="B4377" i="106"/>
  <c r="D4377" i="106" s="1"/>
  <c r="B5515" i="106"/>
  <c r="D5515" i="106" s="1"/>
  <c r="K195" i="29"/>
  <c r="B2839" i="106" s="1"/>
  <c r="D2839" i="106" s="1"/>
  <c r="B2824" i="106"/>
  <c r="D2824" i="106" s="1"/>
  <c r="B5665" i="106"/>
  <c r="D5665" i="106" s="1"/>
  <c r="D243" i="29"/>
  <c r="K240" i="29"/>
  <c r="B1418" i="106"/>
  <c r="D1418" i="106" s="1"/>
  <c r="B7670" i="106"/>
  <c r="D7670" i="106" s="1"/>
  <c r="B7882" i="106"/>
  <c r="D7882" i="106" s="1"/>
  <c r="H122" i="5"/>
  <c r="B7811" i="106"/>
  <c r="D7811" i="106" s="1"/>
  <c r="B7044" i="106"/>
  <c r="D7044" i="106" s="1"/>
  <c r="B3251" i="106"/>
  <c r="D3251" i="106" s="1"/>
  <c r="B6084" i="106"/>
  <c r="D6084" i="106" s="1"/>
  <c r="F18" i="5"/>
  <c r="B5562" i="106" s="1"/>
  <c r="D5562" i="106" s="1"/>
  <c r="B5558" i="106"/>
  <c r="D5558" i="106" s="1"/>
  <c r="B1350" i="106"/>
  <c r="D1350" i="106" s="1"/>
  <c r="B3388" i="106"/>
  <c r="D3388" i="106" s="1"/>
  <c r="K217" i="29"/>
  <c r="B3391" i="106" s="1"/>
  <c r="D3391" i="106" s="1"/>
  <c r="B173" i="106"/>
  <c r="D173" i="106" s="1"/>
  <c r="B6698" i="106"/>
  <c r="D6698" i="106" s="1"/>
  <c r="B3485" i="106"/>
  <c r="D3485" i="106" s="1"/>
  <c r="K192" i="29"/>
  <c r="B3011" i="106" s="1"/>
  <c r="D3011" i="106" s="1"/>
  <c r="B2993" i="106"/>
  <c r="D2993" i="106" s="1"/>
  <c r="B6115" i="106"/>
  <c r="D6115" i="106" s="1"/>
  <c r="F143" i="34"/>
  <c r="B6691" i="106"/>
  <c r="D6691" i="106" s="1"/>
  <c r="B7806" i="106"/>
  <c r="D7806" i="106" s="1"/>
  <c r="B7779" i="106"/>
  <c r="D7779" i="106" s="1"/>
  <c r="K158" i="29"/>
  <c r="B7780" i="106" s="1"/>
  <c r="D7780" i="106" s="1"/>
  <c r="B5559" i="106"/>
  <c r="D5559" i="106" s="1"/>
  <c r="B1236" i="106"/>
  <c r="D1236" i="106" s="1"/>
  <c r="B4447" i="106"/>
  <c r="D4447" i="106" s="1"/>
  <c r="F129" i="34"/>
  <c r="B7861" i="106" s="1"/>
  <c r="D7861" i="106" s="1"/>
  <c r="B5462" i="106"/>
  <c r="D5462" i="106" s="1"/>
  <c r="B5337" i="106"/>
  <c r="D5337" i="106" s="1"/>
  <c r="B6406" i="106"/>
  <c r="D6406" i="106" s="1"/>
  <c r="B3275" i="106"/>
  <c r="D3275" i="106" s="1"/>
  <c r="B5426" i="106"/>
  <c r="D5426" i="106" s="1"/>
  <c r="D188" i="5"/>
  <c r="L33" i="29"/>
  <c r="B6630" i="106"/>
  <c r="D6630" i="106" s="1"/>
  <c r="B5879" i="106"/>
  <c r="D5879" i="106" s="1"/>
  <c r="H67" i="5"/>
  <c r="B5881" i="106" s="1"/>
  <c r="D5881" i="106" s="1"/>
  <c r="K146" i="29"/>
  <c r="B1285" i="106" s="1"/>
  <c r="D1285" i="106" s="1"/>
  <c r="B1270" i="106"/>
  <c r="D1270" i="106" s="1"/>
  <c r="B6717" i="106"/>
  <c r="D6717" i="106" s="1"/>
  <c r="B2766" i="106"/>
  <c r="D2766" i="106" s="1"/>
  <c r="K265" i="29"/>
  <c r="B1494" i="106" s="1"/>
  <c r="D1494" i="106" s="1"/>
  <c r="B1430" i="106"/>
  <c r="D1430" i="106" s="1"/>
  <c r="B7106" i="106"/>
  <c r="D7106" i="106" s="1"/>
  <c r="H310" i="29"/>
  <c r="B7115" i="106" s="1"/>
  <c r="D7115" i="106" s="1"/>
  <c r="B4802" i="106"/>
  <c r="D4802" i="106" s="1"/>
  <c r="D221" i="5"/>
  <c r="B5485" i="106"/>
  <c r="D5485" i="106" s="1"/>
  <c r="B6152" i="106"/>
  <c r="D6152" i="106" s="1"/>
  <c r="B130" i="106"/>
  <c r="D130" i="106" s="1"/>
  <c r="B5560" i="106"/>
  <c r="D5560" i="106" s="1"/>
  <c r="B5431" i="106"/>
  <c r="D5431" i="106" s="1"/>
  <c r="D204" i="5"/>
  <c r="B5444" i="106" s="1"/>
  <c r="D5444" i="106" s="1"/>
  <c r="B7040" i="106"/>
  <c r="D7040" i="106" s="1"/>
  <c r="B5350" i="106"/>
  <c r="D5350" i="106" s="1"/>
  <c r="G141" i="5"/>
  <c r="B5749" i="106"/>
  <c r="D5749" i="106" s="1"/>
  <c r="B6368" i="106"/>
  <c r="D6368" i="106" s="1"/>
  <c r="E169" i="5"/>
  <c r="B5537" i="106" s="1"/>
  <c r="D5537" i="106" s="1"/>
  <c r="B1423" i="106"/>
  <c r="D1423" i="106" s="1"/>
  <c r="K246" i="29"/>
  <c r="B1487" i="106" s="1"/>
  <c r="D1487" i="106" s="1"/>
  <c r="B1369" i="106"/>
  <c r="D1369" i="106" s="1"/>
  <c r="B4116" i="106"/>
  <c r="D4116" i="106" s="1"/>
  <c r="F18" i="4"/>
  <c r="B4133" i="106" s="1"/>
  <c r="D4133" i="106" s="1"/>
  <c r="B4181" i="106"/>
  <c r="D4181" i="106" s="1"/>
  <c r="B6813" i="106"/>
  <c r="D6813" i="106" s="1"/>
  <c r="B6652" i="106"/>
  <c r="D6652" i="106" s="1"/>
  <c r="K249" i="29"/>
  <c r="B7084" i="106" s="1"/>
  <c r="D7084" i="106" s="1"/>
  <c r="B7083" i="106"/>
  <c r="D7083" i="106" s="1"/>
  <c r="B4877" i="106"/>
  <c r="D4877" i="106" s="1"/>
  <c r="E252" i="5"/>
  <c r="B6616" i="106"/>
  <c r="D6616" i="106" s="1"/>
  <c r="B3493" i="106"/>
  <c r="D3493" i="106" s="1"/>
  <c r="K188" i="29"/>
  <c r="B2989" i="106"/>
  <c r="D2989" i="106" s="1"/>
  <c r="E194" i="29"/>
  <c r="E196" i="29" s="1"/>
  <c r="B1373" i="106"/>
  <c r="D1373" i="106" s="1"/>
  <c r="K203" i="29"/>
  <c r="B1385" i="106" s="1"/>
  <c r="D1385" i="106" s="1"/>
  <c r="B6806" i="106"/>
  <c r="D6806" i="106" s="1"/>
  <c r="B2769" i="106"/>
  <c r="D2769" i="106" s="1"/>
  <c r="B7636" i="106"/>
  <c r="L92" i="29"/>
  <c r="B4382" i="106"/>
  <c r="D4382" i="106" s="1"/>
  <c r="B6174" i="106"/>
  <c r="D6174" i="106" s="1"/>
  <c r="B1416" i="106"/>
  <c r="D1416" i="106" s="1"/>
  <c r="K237" i="29"/>
  <c r="B1480" i="106" s="1"/>
  <c r="D1480" i="106" s="1"/>
  <c r="F30" i="34"/>
  <c r="B7823" i="106" s="1"/>
  <c r="B4313" i="106"/>
  <c r="D4313" i="106" s="1"/>
  <c r="B7753" i="106"/>
  <c r="D7753" i="106" s="1"/>
  <c r="B6153" i="106"/>
  <c r="D6153" i="106" s="1"/>
  <c r="B6321" i="106"/>
  <c r="D6321" i="106" s="1"/>
  <c r="B5740" i="106"/>
  <c r="D5740" i="106" s="1"/>
  <c r="B7062" i="106"/>
  <c r="D7062" i="106" s="1"/>
  <c r="B6255" i="106"/>
  <c r="D6255" i="106" s="1"/>
  <c r="F132" i="34"/>
  <c r="B7864" i="106" s="1"/>
  <c r="D7864" i="106" s="1"/>
  <c r="B4341" i="106"/>
  <c r="D4341" i="106" s="1"/>
  <c r="L168" i="29"/>
  <c r="L172" i="29" s="1"/>
  <c r="B5440" i="106"/>
  <c r="D5440" i="106" s="1"/>
  <c r="D209" i="5"/>
  <c r="B1447" i="106"/>
  <c r="D1447" i="106" s="1"/>
  <c r="K280" i="29"/>
  <c r="E303" i="29"/>
  <c r="B1531" i="106"/>
  <c r="D1531" i="106" s="1"/>
  <c r="B5374" i="106"/>
  <c r="D5374" i="106" s="1"/>
  <c r="B4355" i="106"/>
  <c r="D4355" i="106" s="1"/>
  <c r="L47" i="29"/>
  <c r="B6788" i="106"/>
  <c r="D6788" i="106" s="1"/>
  <c r="B4392" i="106"/>
  <c r="D4392" i="106" s="1"/>
  <c r="B7781" i="106"/>
  <c r="D7781" i="106" s="1"/>
  <c r="K159" i="29"/>
  <c r="B7782" i="106" s="1"/>
  <c r="D7782" i="106" s="1"/>
  <c r="F27" i="108"/>
  <c r="B1429" i="106"/>
  <c r="D1429" i="106" s="1"/>
  <c r="K264" i="29"/>
  <c r="B1493" i="106" s="1"/>
  <c r="D1493" i="106" s="1"/>
  <c r="D27" i="108"/>
  <c r="B1224" i="106"/>
  <c r="D1224" i="106" s="1"/>
  <c r="K128" i="29"/>
  <c r="B4393" i="106"/>
  <c r="D4393" i="106" s="1"/>
  <c r="B5564" i="106"/>
  <c r="D5564" i="106" s="1"/>
  <c r="F18" i="34"/>
  <c r="B4086" i="106"/>
  <c r="D4086" i="106" s="1"/>
  <c r="H184" i="29"/>
  <c r="B1370" i="106" s="1"/>
  <c r="D1370" i="106" s="1"/>
  <c r="B5738" i="106"/>
  <c r="D5738" i="106" s="1"/>
  <c r="G114" i="5"/>
  <c r="B7079" i="106"/>
  <c r="D7079" i="106" s="1"/>
  <c r="K226" i="29"/>
  <c r="B7080" i="106" s="1"/>
  <c r="D7080" i="106" s="1"/>
  <c r="B5735" i="106"/>
  <c r="D5735" i="106" s="1"/>
  <c r="B166" i="106"/>
  <c r="D166" i="106" s="1"/>
  <c r="L100" i="29"/>
  <c r="B6700" i="106"/>
  <c r="D6700" i="106" s="1"/>
  <c r="B6402" i="106"/>
  <c r="D6402" i="106" s="1"/>
  <c r="G198" i="5"/>
  <c r="B5884" i="106"/>
  <c r="D5884" i="106" s="1"/>
  <c r="B6765" i="106"/>
  <c r="D6765" i="106" s="1"/>
  <c r="B6407" i="106"/>
  <c r="D6407" i="106" s="1"/>
  <c r="B6334" i="106"/>
  <c r="D6334" i="106" s="1"/>
  <c r="B6295" i="106"/>
  <c r="D6295" i="106" s="1"/>
  <c r="B6755" i="106"/>
  <c r="D6755" i="106" s="1"/>
  <c r="B4352" i="106"/>
  <c r="D4352" i="106" s="1"/>
  <c r="F110" i="34"/>
  <c r="B7845" i="106" s="1"/>
  <c r="D7845" i="106" s="1"/>
  <c r="B6184" i="106"/>
  <c r="D6184" i="106" s="1"/>
  <c r="B7026" i="106"/>
  <c r="D7026" i="106" s="1"/>
  <c r="B6750" i="106"/>
  <c r="D6750" i="106" s="1"/>
  <c r="F117" i="34"/>
  <c r="B7851" i="106" s="1"/>
  <c r="D7851" i="106" s="1"/>
  <c r="B4179" i="106"/>
  <c r="D4179" i="106" s="1"/>
  <c r="B5575" i="106"/>
  <c r="D5575" i="106" s="1"/>
  <c r="F93" i="34"/>
  <c r="B1261" i="106"/>
  <c r="D1261" i="106" s="1"/>
  <c r="B6178" i="106"/>
  <c r="D6178" i="106" s="1"/>
  <c r="B6367" i="106"/>
  <c r="D6367" i="106" s="1"/>
  <c r="B3417" i="106"/>
  <c r="D3417" i="106" s="1"/>
  <c r="E13" i="3"/>
  <c r="B131" i="106" s="1"/>
  <c r="D131" i="106" s="1"/>
  <c r="D36" i="36"/>
  <c r="B5353" i="106"/>
  <c r="D5353" i="106" s="1"/>
  <c r="F104" i="34"/>
  <c r="B7841" i="106" s="1"/>
  <c r="D7841" i="106" s="1"/>
  <c r="B6116" i="106"/>
  <c r="D6116" i="106" s="1"/>
  <c r="F102" i="34"/>
  <c r="B7839" i="106" s="1"/>
  <c r="D7839" i="106" s="1"/>
  <c r="D108" i="5"/>
  <c r="B5355" i="106" s="1"/>
  <c r="D5355" i="106" s="1"/>
  <c r="B5349" i="106"/>
  <c r="D5349" i="106" s="1"/>
  <c r="B6772" i="106"/>
  <c r="D6772" i="106" s="1"/>
  <c r="K218" i="29"/>
  <c r="B7075" i="106"/>
  <c r="D7075" i="106" s="1"/>
  <c r="B6723" i="106"/>
  <c r="D6723" i="106" s="1"/>
  <c r="B7658" i="106"/>
  <c r="D7658" i="106" s="1"/>
  <c r="B5027" i="106"/>
  <c r="D5027" i="106" s="1"/>
  <c r="B1552" i="106"/>
  <c r="D1552" i="106" s="1"/>
  <c r="B4771" i="106"/>
  <c r="D4771" i="106" s="1"/>
  <c r="B6731" i="106"/>
  <c r="D6731" i="106" s="1"/>
  <c r="B5724" i="106"/>
  <c r="D5724" i="106" s="1"/>
  <c r="B6371" i="106"/>
  <c r="D6371" i="106" s="1"/>
  <c r="H169" i="5"/>
  <c r="B5899" i="106" s="1"/>
  <c r="D5899" i="106" s="1"/>
  <c r="F148" i="34"/>
  <c r="B6754" i="106"/>
  <c r="D6754" i="106" s="1"/>
  <c r="B7766" i="106"/>
  <c r="D7766" i="106" s="1"/>
  <c r="F160" i="34"/>
  <c r="B7867" i="106" s="1"/>
  <c r="D7867" i="106" s="1"/>
  <c r="B4075" i="106"/>
  <c r="D4075" i="106" s="1"/>
  <c r="B6763" i="106"/>
  <c r="D6763" i="106" s="1"/>
  <c r="B6655" i="106"/>
  <c r="D6655" i="106" s="1"/>
  <c r="L270" i="29"/>
  <c r="B5346" i="106"/>
  <c r="D5346" i="106" s="1"/>
  <c r="B4360" i="106"/>
  <c r="D4360" i="106" s="1"/>
  <c r="B6164" i="106"/>
  <c r="D6164" i="106" s="1"/>
  <c r="F27" i="34"/>
  <c r="B5578" i="106"/>
  <c r="D5578" i="106" s="1"/>
  <c r="K247" i="29"/>
  <c r="B2726" i="106" s="1"/>
  <c r="D2726" i="106" s="1"/>
  <c r="B2725" i="106"/>
  <c r="D2725" i="106" s="1"/>
  <c r="L110" i="29"/>
  <c r="L112" i="29" s="1"/>
  <c r="B1432" i="106"/>
  <c r="D1432" i="106" s="1"/>
  <c r="K267" i="29"/>
  <c r="B1496" i="106" s="1"/>
  <c r="D1496" i="106" s="1"/>
  <c r="B6335" i="106"/>
  <c r="D6335" i="106" s="1"/>
  <c r="B6822" i="106"/>
  <c r="D6822" i="106" s="1"/>
  <c r="B2817" i="106"/>
  <c r="D2817" i="106" s="1"/>
  <c r="E76" i="4"/>
  <c r="B3276" i="106" s="1"/>
  <c r="D3276" i="106" s="1"/>
  <c r="B4410" i="106"/>
  <c r="D4410" i="106" s="1"/>
  <c r="B6631" i="106"/>
  <c r="D6631" i="106" s="1"/>
  <c r="B5393" i="106"/>
  <c r="D5393" i="106" s="1"/>
  <c r="B4085" i="106"/>
  <c r="D4085" i="106" s="1"/>
  <c r="G184" i="29"/>
  <c r="G210" i="29" s="1"/>
  <c r="B7029" i="106"/>
  <c r="D7029" i="106" s="1"/>
  <c r="E18" i="5"/>
  <c r="B5518" i="106" s="1"/>
  <c r="D5518" i="106" s="1"/>
  <c r="B5514" i="106"/>
  <c r="D5514" i="106" s="1"/>
  <c r="B6638" i="106"/>
  <c r="D6638" i="106" s="1"/>
  <c r="B7036" i="106"/>
  <c r="D7036" i="106" s="1"/>
  <c r="B4853" i="106"/>
  <c r="D4853" i="106" s="1"/>
  <c r="F171" i="34"/>
  <c r="B7876" i="106" s="1"/>
  <c r="D7876" i="106" s="1"/>
  <c r="B6364" i="106"/>
  <c r="D6364" i="106" s="1"/>
  <c r="B6742" i="106"/>
  <c r="D6742" i="106" s="1"/>
  <c r="B4228" i="106"/>
  <c r="D4228" i="106" s="1"/>
  <c r="B6392" i="106"/>
  <c r="D6392" i="106" s="1"/>
  <c r="B4378" i="106"/>
  <c r="D4378" i="106" s="1"/>
  <c r="F25" i="34"/>
  <c r="B5576" i="106"/>
  <c r="D5576" i="106" s="1"/>
  <c r="B179" i="106"/>
  <c r="D179" i="106" s="1"/>
  <c r="B6171" i="106"/>
  <c r="D6171" i="106" s="1"/>
  <c r="B6242" i="106"/>
  <c r="D6242" i="106" s="1"/>
  <c r="B7039" i="106"/>
  <c r="D7039" i="106" s="1"/>
  <c r="B6092" i="106"/>
  <c r="D6092" i="106" s="1"/>
  <c r="G122" i="5"/>
  <c r="B5748" i="106" s="1"/>
  <c r="D5748" i="106" s="1"/>
  <c r="B5742" i="106"/>
  <c r="D5742" i="106" s="1"/>
  <c r="B4311" i="106"/>
  <c r="D4311" i="106" s="1"/>
  <c r="K274" i="29"/>
  <c r="B1503" i="106" s="1"/>
  <c r="D1503" i="106" s="1"/>
  <c r="G35" i="108"/>
  <c r="E35" i="108"/>
  <c r="B1439" i="106"/>
  <c r="D1439" i="106" s="1"/>
  <c r="B3080" i="106"/>
  <c r="D3080" i="106" s="1"/>
  <c r="B7678" i="106"/>
  <c r="D7678" i="106" s="1"/>
  <c r="B198" i="106"/>
  <c r="D198" i="106" s="1"/>
  <c r="B5555" i="106"/>
  <c r="D5555" i="106" s="1"/>
  <c r="B6258" i="106"/>
  <c r="D6258" i="106" s="1"/>
  <c r="B6805" i="106"/>
  <c r="D6805" i="106" s="1"/>
  <c r="B6091" i="106"/>
  <c r="D6091" i="106" s="1"/>
  <c r="C184" i="29"/>
  <c r="C210" i="29" s="1"/>
  <c r="B1340" i="106" s="1"/>
  <c r="D1340" i="106" s="1"/>
  <c r="B4081" i="106"/>
  <c r="D4081" i="106" s="1"/>
  <c r="K180" i="29"/>
  <c r="B6619" i="106"/>
  <c r="D6619" i="106" s="1"/>
  <c r="H252" i="5"/>
  <c r="H266" i="5" s="1"/>
  <c r="B6716" i="106"/>
  <c r="D6716" i="106" s="1"/>
  <c r="B5" i="7"/>
  <c r="B5328" i="106"/>
  <c r="D5328" i="106" s="1"/>
  <c r="D12" i="5"/>
  <c r="B4813" i="106"/>
  <c r="D4813" i="106" s="1"/>
  <c r="B6685" i="106"/>
  <c r="D6685" i="106" s="1"/>
  <c r="D34" i="3"/>
  <c r="B122" i="106" s="1"/>
  <c r="D122" i="106" s="1"/>
  <c r="B6126" i="106"/>
  <c r="D6126" i="106" s="1"/>
  <c r="B6798" i="106"/>
  <c r="D6798" i="106" s="1"/>
  <c r="B7089" i="106"/>
  <c r="D7089" i="106" s="1"/>
  <c r="K252" i="29"/>
  <c r="B7090" i="106" s="1"/>
  <c r="D7090" i="106" s="1"/>
  <c r="B5059" i="106"/>
  <c r="D5059" i="106" s="1"/>
  <c r="B3487" i="106"/>
  <c r="D3487" i="106" s="1"/>
  <c r="K263" i="29"/>
  <c r="B1492" i="106" s="1"/>
  <c r="D1492" i="106" s="1"/>
  <c r="B1428" i="106"/>
  <c r="D1428" i="106" s="1"/>
  <c r="D270" i="29"/>
  <c r="B1436" i="106" s="1"/>
  <c r="D1436" i="106" s="1"/>
  <c r="D26" i="108"/>
  <c r="F26" i="108"/>
  <c r="B4876" i="106"/>
  <c r="D4876" i="106" s="1"/>
  <c r="B3295" i="106"/>
  <c r="D3295" i="106" s="1"/>
  <c r="B5357" i="106"/>
  <c r="D5357" i="106" s="1"/>
  <c r="D114" i="5"/>
  <c r="B7656" i="106"/>
  <c r="D7656" i="106" s="1"/>
  <c r="B156" i="106"/>
  <c r="D156" i="106" s="1"/>
  <c r="K220" i="29"/>
  <c r="B7078" i="106" s="1"/>
  <c r="D7078" i="106" s="1"/>
  <c r="B7077" i="106"/>
  <c r="D7077" i="106" s="1"/>
  <c r="B5606" i="106"/>
  <c r="D5606" i="106" s="1"/>
  <c r="K308" i="29"/>
  <c r="B4100" i="106" s="1"/>
  <c r="D4100" i="106" s="1"/>
  <c r="B7110" i="106"/>
  <c r="D7110" i="106" s="1"/>
  <c r="B6110" i="106"/>
  <c r="D6110" i="106" s="1"/>
  <c r="B6134" i="106"/>
  <c r="D6134" i="106" s="1"/>
  <c r="B6637" i="106"/>
  <c r="D6637" i="106" s="1"/>
  <c r="B1357" i="106"/>
  <c r="D1357" i="106" s="1"/>
  <c r="K52" i="4"/>
  <c r="B3698" i="106"/>
  <c r="D3698" i="106" s="1"/>
  <c r="D68" i="36"/>
  <c r="B3078" i="106"/>
  <c r="D3078" i="106" s="1"/>
  <c r="E40" i="4"/>
  <c r="B6288" i="106" s="1"/>
  <c r="D6288" i="106" s="1"/>
  <c r="B6249" i="106"/>
  <c r="D6249" i="106" s="1"/>
  <c r="L293" i="29"/>
  <c r="H24" i="118"/>
  <c r="D13" i="3"/>
  <c r="B109" i="106" s="1"/>
  <c r="D109" i="106" s="1"/>
  <c r="B3414" i="106"/>
  <c r="D3414" i="106" s="1"/>
  <c r="D35" i="36"/>
  <c r="I47" i="4"/>
  <c r="B2105" i="106" s="1"/>
  <c r="D2105" i="106" s="1"/>
  <c r="D44" i="4"/>
  <c r="B7749" i="106"/>
  <c r="D7749" i="106" s="1"/>
  <c r="B5728" i="106"/>
  <c r="D5728" i="106" s="1"/>
  <c r="K123" i="29"/>
  <c r="B1275" i="106" s="1"/>
  <c r="D1275" i="106" s="1"/>
  <c r="B1220" i="106"/>
  <c r="D1220" i="106" s="1"/>
  <c r="B4883" i="106"/>
  <c r="D4883" i="106" s="1"/>
  <c r="B619" i="106"/>
  <c r="D619" i="106" s="1"/>
  <c r="B6660" i="106"/>
  <c r="D6660" i="106" s="1"/>
  <c r="B5341" i="106"/>
  <c r="D5341" i="106" s="1"/>
  <c r="B4917" i="106"/>
  <c r="D4917" i="106" s="1"/>
  <c r="H41" i="4"/>
  <c r="B6289" i="106" s="1"/>
  <c r="D6289" i="106" s="1"/>
  <c r="B6251" i="106"/>
  <c r="D6251" i="106" s="1"/>
  <c r="B5722" i="106"/>
  <c r="D5722" i="106" s="1"/>
  <c r="G12" i="5"/>
  <c r="D285" i="29"/>
  <c r="B3722" i="106" s="1"/>
  <c r="D3722" i="106" s="1"/>
  <c r="K282" i="29"/>
  <c r="B7783" i="106"/>
  <c r="D7783" i="106" s="1"/>
  <c r="K288" i="29"/>
  <c r="H293" i="29"/>
  <c r="B1449" i="106"/>
  <c r="D1449" i="106" s="1"/>
  <c r="D82" i="5"/>
  <c r="B5348" i="106" s="1"/>
  <c r="D5348" i="106" s="1"/>
  <c r="B5343" i="106"/>
  <c r="D5343" i="106" s="1"/>
  <c r="D71" i="36"/>
  <c r="B5013" i="106"/>
  <c r="D5013" i="106" s="1"/>
  <c r="F155" i="5"/>
  <c r="B5618" i="106" s="1"/>
  <c r="D5618" i="106" s="1"/>
  <c r="B5615" i="106"/>
  <c r="D5615" i="106" s="1"/>
  <c r="B5860" i="106"/>
  <c r="D5860" i="106" s="1"/>
  <c r="B2979" i="106"/>
  <c r="D2979" i="106" s="1"/>
  <c r="B6789" i="106"/>
  <c r="D6789" i="106" s="1"/>
  <c r="B4865" i="106"/>
  <c r="D4865" i="106" s="1"/>
  <c r="K307" i="29"/>
  <c r="B4099" i="106" s="1"/>
  <c r="D4099" i="106" s="1"/>
  <c r="B7108" i="106"/>
  <c r="D7108" i="106" s="1"/>
  <c r="B6764" i="106"/>
  <c r="D6764" i="106" s="1"/>
  <c r="F108" i="5"/>
  <c r="B5587" i="106" s="1"/>
  <c r="D5587" i="106" s="1"/>
  <c r="B5583" i="106"/>
  <c r="D5583" i="106" s="1"/>
  <c r="B6795" i="106"/>
  <c r="D6795" i="106" s="1"/>
  <c r="B5516" i="106"/>
  <c r="D5516" i="106" s="1"/>
  <c r="D73" i="36"/>
  <c r="B6291" i="106"/>
  <c r="D6291" i="106" s="1"/>
  <c r="B5732" i="106"/>
  <c r="D5732" i="106" s="1"/>
  <c r="B6135" i="106"/>
  <c r="D6135" i="106" s="1"/>
  <c r="B3483" i="106"/>
  <c r="D3483" i="106" s="1"/>
  <c r="L57" i="29"/>
  <c r="B7805" i="106"/>
  <c r="D7805" i="106" s="1"/>
  <c r="B5822" i="106"/>
  <c r="D5822" i="106" s="1"/>
  <c r="B5368" i="106"/>
  <c r="D5368" i="106" s="1"/>
  <c r="D132" i="5"/>
  <c r="B1347" i="106"/>
  <c r="D1347" i="106" s="1"/>
  <c r="B4875" i="106"/>
  <c r="D4875" i="106" s="1"/>
  <c r="B6172" i="106"/>
  <c r="D6172" i="106" s="1"/>
  <c r="B6405" i="106"/>
  <c r="D6405" i="106" s="1"/>
  <c r="B5692" i="106"/>
  <c r="D5692" i="106" s="1"/>
  <c r="B1257" i="106"/>
  <c r="D1257" i="106" s="1"/>
  <c r="B5387" i="106"/>
  <c r="D5387" i="106" s="1"/>
  <c r="F29" i="34"/>
  <c r="B7881" i="106" s="1"/>
  <c r="D7881" i="106" s="1"/>
  <c r="B6256" i="106"/>
  <c r="D6256" i="106" s="1"/>
  <c r="L257" i="29"/>
  <c r="K254" i="29"/>
  <c r="B7094" i="106" s="1"/>
  <c r="D7094" i="106" s="1"/>
  <c r="B7093" i="106"/>
  <c r="D7093" i="106" s="1"/>
  <c r="B2997" i="106"/>
  <c r="D2997" i="106" s="1"/>
  <c r="B6144" i="106"/>
  <c r="D6144" i="106" s="1"/>
  <c r="B5391" i="106"/>
  <c r="D5391" i="106" s="1"/>
  <c r="D155" i="5"/>
  <c r="B6683" i="106"/>
  <c r="D6683" i="106" s="1"/>
  <c r="F142" i="34"/>
  <c r="B117" i="106"/>
  <c r="D117" i="106" s="1"/>
  <c r="K145" i="29"/>
  <c r="B2811" i="106" s="1"/>
  <c r="D2811" i="106" s="1"/>
  <c r="B2808" i="106"/>
  <c r="D2808" i="106" s="1"/>
  <c r="B4855" i="106"/>
  <c r="D4855" i="106" s="1"/>
  <c r="B7762" i="106"/>
  <c r="D7762" i="106" s="1"/>
  <c r="K6" i="29"/>
  <c r="E33" i="29"/>
  <c r="B6323" i="106"/>
  <c r="D6323" i="106" s="1"/>
  <c r="B6724" i="106"/>
  <c r="D6724" i="106" s="1"/>
  <c r="B1237" i="106"/>
  <c r="D1237" i="106" s="1"/>
  <c r="B6671" i="106"/>
  <c r="D6671" i="106" s="1"/>
  <c r="B7035" i="106"/>
  <c r="D7035" i="106" s="1"/>
  <c r="F127" i="29"/>
  <c r="B1247" i="106" s="1"/>
  <c r="D1247" i="106" s="1"/>
  <c r="B1243" i="106"/>
  <c r="D1243" i="106" s="1"/>
  <c r="B6628" i="106"/>
  <c r="D6628" i="106" s="1"/>
  <c r="B6130" i="106"/>
  <c r="D6130" i="106" s="1"/>
  <c r="H34" i="3"/>
  <c r="B211" i="106" s="1"/>
  <c r="D211" i="106" s="1"/>
  <c r="B7659" i="106"/>
  <c r="D7659" i="106" s="1"/>
  <c r="B5572" i="106"/>
  <c r="D5572" i="106" s="1"/>
  <c r="F90" i="34"/>
  <c r="B1528" i="106"/>
  <c r="D1528" i="106" s="1"/>
  <c r="K190" i="29"/>
  <c r="B3009" i="106" s="1"/>
  <c r="D3009" i="106" s="1"/>
  <c r="B2991" i="106"/>
  <c r="D2991" i="106" s="1"/>
  <c r="B2992" i="106"/>
  <c r="D2992" i="106" s="1"/>
  <c r="K191" i="29"/>
  <c r="B3010" i="106" s="1"/>
  <c r="D3010" i="106" s="1"/>
  <c r="B5877" i="106"/>
  <c r="D5877" i="106" s="1"/>
  <c r="B7706" i="106"/>
  <c r="D7706" i="106" s="1"/>
  <c r="B4210" i="106"/>
  <c r="D4210" i="106" s="1"/>
  <c r="K206" i="29"/>
  <c r="B6391" i="106"/>
  <c r="D6391" i="106" s="1"/>
  <c r="F151" i="34"/>
  <c r="B6778" i="106"/>
  <c r="D6778" i="106" s="1"/>
  <c r="B7059" i="106"/>
  <c r="D7059" i="106" s="1"/>
  <c r="B6739" i="106"/>
  <c r="D6739" i="106" s="1"/>
  <c r="B4329" i="106"/>
  <c r="D4329" i="106" s="1"/>
  <c r="F121" i="34"/>
  <c r="B5853" i="106"/>
  <c r="D5853" i="106" s="1"/>
  <c r="B4082" i="106"/>
  <c r="D4082" i="106" s="1"/>
  <c r="D184" i="29"/>
  <c r="L204" i="29"/>
  <c r="L208" i="29" s="1"/>
  <c r="B1245" i="106"/>
  <c r="D1245" i="106" s="1"/>
  <c r="B7803" i="106"/>
  <c r="D7803" i="106" s="1"/>
  <c r="B4217" i="106"/>
  <c r="D4217" i="106" s="1"/>
  <c r="B5570" i="106"/>
  <c r="D5570" i="106" s="1"/>
  <c r="F89" i="34"/>
  <c r="B5524" i="106"/>
  <c r="D5524" i="106" s="1"/>
  <c r="B7664" i="106"/>
  <c r="D7664" i="106" s="1"/>
  <c r="B5494" i="106"/>
  <c r="D5494" i="106" s="1"/>
  <c r="F33" i="34"/>
  <c r="B3389" i="106"/>
  <c r="D3389" i="106" s="1"/>
  <c r="K228" i="29"/>
  <c r="B3392" i="106" s="1"/>
  <c r="D3392" i="106" s="1"/>
  <c r="B3236" i="106"/>
  <c r="D3236" i="106" s="1"/>
  <c r="B6095" i="106"/>
  <c r="D6095" i="106" s="1"/>
  <c r="D261" i="29"/>
  <c r="K259" i="29"/>
  <c r="B1425" i="106"/>
  <c r="D1425" i="106" s="1"/>
  <c r="B16" i="7"/>
  <c r="B5723" i="106"/>
  <c r="D5723" i="106" s="1"/>
  <c r="K273" i="29"/>
  <c r="B1502" i="106" s="1"/>
  <c r="D1502" i="106" s="1"/>
  <c r="G34" i="108"/>
  <c r="E34" i="108"/>
  <c r="B1438" i="106"/>
  <c r="D1438" i="106" s="1"/>
  <c r="B6722" i="106"/>
  <c r="D6722" i="106" s="1"/>
  <c r="L160" i="29"/>
  <c r="L174" i="29" s="1"/>
  <c r="B5422" i="106"/>
  <c r="D5422" i="106" s="1"/>
  <c r="D175" i="5"/>
  <c r="B5423" i="106" s="1"/>
  <c r="D5423" i="106" s="1"/>
  <c r="B5333" i="106"/>
  <c r="D5333" i="106" s="1"/>
  <c r="B4322" i="106"/>
  <c r="D4322" i="106" s="1"/>
  <c r="K292" i="29"/>
  <c r="B1514" i="106" s="1"/>
  <c r="D1514" i="106" s="1"/>
  <c r="B1451" i="106"/>
  <c r="D1451" i="106" s="1"/>
  <c r="B6693" i="106"/>
  <c r="D6693" i="106" s="1"/>
  <c r="B1360" i="106"/>
  <c r="D1360" i="106" s="1"/>
  <c r="J303" i="29"/>
  <c r="B7100" i="106"/>
  <c r="D7100" i="106" s="1"/>
  <c r="F162" i="34"/>
  <c r="B7869" i="106" s="1"/>
  <c r="D7869" i="106" s="1"/>
  <c r="B4416" i="106"/>
  <c r="D4416" i="106" s="1"/>
  <c r="B6701" i="106"/>
  <c r="D6701" i="106" s="1"/>
  <c r="B5818" i="106"/>
  <c r="D5818" i="106" s="1"/>
  <c r="B4797" i="106"/>
  <c r="D4797" i="106" s="1"/>
  <c r="B202" i="106"/>
  <c r="D202" i="106" s="1"/>
  <c r="F132" i="5"/>
  <c r="B5600" i="106"/>
  <c r="D5600" i="106" s="1"/>
  <c r="B7885" i="106"/>
  <c r="D7885" i="106" s="1"/>
  <c r="B3253" i="106"/>
  <c r="D3253" i="106" s="1"/>
  <c r="L147" i="29"/>
  <c r="L149" i="29"/>
  <c r="B6695" i="106"/>
  <c r="D6695" i="106" s="1"/>
  <c r="B6707" i="106"/>
  <c r="D6707" i="106" s="1"/>
  <c r="L303" i="29"/>
  <c r="B4919" i="106"/>
  <c r="D4919" i="106" s="1"/>
  <c r="F156" i="34"/>
  <c r="B6818" i="106"/>
  <c r="D6818" i="106" s="1"/>
  <c r="B6748" i="106"/>
  <c r="D6748" i="106" s="1"/>
  <c r="B7884" i="106"/>
  <c r="D7884" i="106" s="1"/>
  <c r="B5014" i="106"/>
  <c r="D5014" i="106" s="1"/>
  <c r="B3484" i="106"/>
  <c r="D3484" i="106" s="1"/>
  <c r="B6390" i="106"/>
  <c r="D6390" i="106" s="1"/>
  <c r="K233" i="29"/>
  <c r="B1476" i="106" s="1"/>
  <c r="D1476" i="106" s="1"/>
  <c r="B1412" i="106"/>
  <c r="D1412" i="106" s="1"/>
  <c r="B1228" i="106"/>
  <c r="D1228" i="106" s="1"/>
  <c r="B6137" i="106"/>
  <c r="D6137" i="106" s="1"/>
  <c r="E310" i="29"/>
  <c r="B7114" i="106" s="1"/>
  <c r="D7114" i="106" s="1"/>
  <c r="K306" i="29"/>
  <c r="B7105" i="106"/>
  <c r="D7105" i="106" s="1"/>
  <c r="B6802" i="106"/>
  <c r="D6802" i="106" s="1"/>
  <c r="F154" i="34"/>
  <c r="B5763" i="106"/>
  <c r="D5763" i="106" s="1"/>
  <c r="B6349" i="106"/>
  <c r="D6349" i="106" s="1"/>
  <c r="L184" i="29"/>
  <c r="B1396" i="106"/>
  <c r="D1396" i="106" s="1"/>
  <c r="K225" i="29"/>
  <c r="B1460" i="106" s="1"/>
  <c r="D1460" i="106" s="1"/>
  <c r="B6706" i="106"/>
  <c r="D6706" i="106" s="1"/>
  <c r="B4334" i="106"/>
  <c r="D4334" i="106" s="1"/>
  <c r="F168" i="34"/>
  <c r="B7814" i="106"/>
  <c r="D7814" i="106" s="1"/>
  <c r="B7802" i="106"/>
  <c r="D7802" i="106" s="1"/>
  <c r="B5875" i="106"/>
  <c r="D5875" i="106" s="1"/>
  <c r="B1227" i="106"/>
  <c r="D1227" i="106" s="1"/>
  <c r="D127" i="29"/>
  <c r="B1231" i="106" s="1"/>
  <c r="D1231" i="106" s="1"/>
  <c r="K202" i="29"/>
  <c r="B2842" i="106" s="1"/>
  <c r="D2842" i="106" s="1"/>
  <c r="B2832" i="106"/>
  <c r="D2832" i="106" s="1"/>
  <c r="B5844" i="106"/>
  <c r="D5844" i="106" s="1"/>
  <c r="G221" i="5"/>
  <c r="B5847" i="106" s="1"/>
  <c r="D5847" i="106" s="1"/>
  <c r="B208" i="106"/>
  <c r="D208" i="106" s="1"/>
  <c r="B5496" i="106"/>
  <c r="D5496" i="106" s="1"/>
  <c r="F163" i="34"/>
  <c r="B7870" i="106" s="1"/>
  <c r="D7870" i="106" s="1"/>
  <c r="B6699" i="106"/>
  <c r="D6699" i="106" s="1"/>
  <c r="B7028" i="106"/>
  <c r="D7028" i="106" s="1"/>
  <c r="B5743" i="106"/>
  <c r="D5743" i="106" s="1"/>
  <c r="B5790" i="106"/>
  <c r="D5790" i="106" s="1"/>
  <c r="G204" i="5"/>
  <c r="B5803" i="106" s="1"/>
  <c r="D5803" i="106" s="1"/>
  <c r="B4918" i="106"/>
  <c r="D4918" i="106" s="1"/>
  <c r="B6747" i="106"/>
  <c r="D6747" i="106" s="1"/>
  <c r="B6623" i="106"/>
  <c r="D6623" i="106" s="1"/>
  <c r="F134" i="34"/>
  <c r="B4327" i="106"/>
  <c r="D4327" i="106" s="1"/>
  <c r="B5673" i="106"/>
  <c r="D5673" i="106" s="1"/>
  <c r="F209" i="5"/>
  <c r="B4413" i="106" s="1"/>
  <c r="D4413" i="106" s="1"/>
  <c r="B6827" i="106"/>
  <c r="D6827" i="106" s="1"/>
  <c r="B3083" i="106"/>
  <c r="D3083" i="106" s="1"/>
  <c r="B500" i="106"/>
  <c r="D500" i="106" s="1"/>
  <c r="F181" i="5"/>
  <c r="B5658" i="106" s="1"/>
  <c r="D5658" i="106" s="1"/>
  <c r="B4804" i="106"/>
  <c r="D4804" i="106" s="1"/>
  <c r="B3531" i="106"/>
  <c r="D3531" i="106" s="1"/>
  <c r="B6730" i="106"/>
  <c r="D6730" i="106" s="1"/>
  <c r="F146" i="34"/>
  <c r="B2994" i="106"/>
  <c r="D2994" i="106" s="1"/>
  <c r="K193" i="29"/>
  <c r="B3012" i="106" s="1"/>
  <c r="D3012" i="106" s="1"/>
  <c r="B185" i="106"/>
  <c r="D185" i="106" s="1"/>
  <c r="B6686" i="106"/>
  <c r="D6686" i="106" s="1"/>
  <c r="B4945" i="106"/>
  <c r="D4945" i="106" s="1"/>
  <c r="B3079" i="106"/>
  <c r="D3079" i="106" s="1"/>
  <c r="B5601" i="106"/>
  <c r="D5601" i="106" s="1"/>
  <c r="F153" i="34"/>
  <c r="B6794" i="106"/>
  <c r="D6794" i="106" s="1"/>
  <c r="B6253" i="106"/>
  <c r="D6253" i="106" s="1"/>
  <c r="B4338" i="106"/>
  <c r="D4338" i="106" s="1"/>
  <c r="B5561" i="106"/>
  <c r="D5561" i="106" s="1"/>
  <c r="B6322" i="106"/>
  <c r="D6322" i="106" s="1"/>
  <c r="B3533" i="106"/>
  <c r="D3533" i="106" s="1"/>
  <c r="K235" i="29"/>
  <c r="B1478" i="106" s="1"/>
  <c r="D1478" i="106" s="1"/>
  <c r="B1414" i="106"/>
  <c r="D1414" i="106" s="1"/>
  <c r="K219" i="29"/>
  <c r="B3065" i="106" s="1"/>
  <c r="D3065" i="106" s="1"/>
  <c r="B3064" i="106"/>
  <c r="D3064" i="106" s="1"/>
  <c r="B7769" i="106"/>
  <c r="D7769" i="106" s="1"/>
  <c r="K134" i="29"/>
  <c r="B2986" i="106" s="1"/>
  <c r="D2986" i="106" s="1"/>
  <c r="B4199" i="106"/>
  <c r="D4199" i="106" s="1"/>
  <c r="B5401" i="106"/>
  <c r="D5401" i="106" s="1"/>
  <c r="B1363" i="106"/>
  <c r="D1363" i="106" s="1"/>
  <c r="B6787" i="106"/>
  <c r="D6787" i="106" s="1"/>
  <c r="B4810" i="106"/>
  <c r="D4810" i="106" s="1"/>
  <c r="G181" i="5"/>
  <c r="B5784" i="106" s="1"/>
  <c r="D5784" i="106" s="1"/>
  <c r="B1253" i="106"/>
  <c r="D1253" i="106" s="1"/>
  <c r="B3422" i="106"/>
  <c r="D3422" i="106" s="1"/>
  <c r="D38" i="36"/>
  <c r="G13" i="3"/>
  <c r="B180" i="106" s="1"/>
  <c r="D180" i="106" s="1"/>
  <c r="K291" i="29"/>
  <c r="B2846" i="106" s="1"/>
  <c r="D2846" i="106" s="1"/>
  <c r="B2844" i="106"/>
  <c r="D2844" i="106" s="1"/>
  <c r="B6797" i="106"/>
  <c r="D6797" i="106" s="1"/>
  <c r="B6109" i="106"/>
  <c r="D6109" i="106" s="1"/>
  <c r="B6771" i="106"/>
  <c r="D6771" i="106" s="1"/>
  <c r="B4380" i="106"/>
  <c r="D4380" i="106" s="1"/>
  <c r="E122" i="5"/>
  <c r="B5528" i="106"/>
  <c r="D5528" i="106" s="1"/>
  <c r="B6163" i="106"/>
  <c r="D6163" i="106" s="1"/>
  <c r="B1433" i="106"/>
  <c r="D1433" i="106" s="1"/>
  <c r="K268" i="29"/>
  <c r="B1497" i="106" s="1"/>
  <c r="D1497" i="106" s="1"/>
  <c r="E30" i="108"/>
  <c r="G30" i="108"/>
  <c r="B2801" i="106"/>
  <c r="D2801" i="106" s="1"/>
  <c r="B3534" i="106"/>
  <c r="D3534" i="106" s="1"/>
  <c r="B4328" i="106"/>
  <c r="D4328" i="106" s="1"/>
  <c r="F122" i="5"/>
  <c r="B5599" i="106" s="1"/>
  <c r="D5599" i="106" s="1"/>
  <c r="B5593" i="106"/>
  <c r="D5593" i="106" s="1"/>
  <c r="B5672" i="106"/>
  <c r="D5672" i="106" s="1"/>
  <c r="G303" i="29"/>
  <c r="B1543" i="106"/>
  <c r="D1543" i="106" s="1"/>
  <c r="B5619" i="106"/>
  <c r="D5619" i="106" s="1"/>
  <c r="B1522" i="106"/>
  <c r="D1522" i="106" s="1"/>
  <c r="K302" i="29"/>
  <c r="B1558" i="106" s="1"/>
  <c r="D1558" i="106" s="1"/>
  <c r="B6804" i="106"/>
  <c r="D6804" i="106" s="1"/>
  <c r="B5024" i="106"/>
  <c r="D5024" i="106" s="1"/>
  <c r="F76" i="4"/>
  <c r="B3254" i="106" s="1"/>
  <c r="D3254" i="106" s="1"/>
  <c r="B2798" i="106"/>
  <c r="D2798" i="106" s="1"/>
  <c r="B7672" i="106"/>
  <c r="D7672" i="106" s="1"/>
  <c r="B3297" i="106"/>
  <c r="D3297" i="106" s="1"/>
  <c r="B2829" i="106"/>
  <c r="D2829" i="106" s="1"/>
  <c r="B5344" i="106"/>
  <c r="D5344" i="106" s="1"/>
  <c r="B5659" i="106"/>
  <c r="D5659" i="106" s="1"/>
  <c r="F188" i="5"/>
  <c r="B4397" i="106" s="1"/>
  <c r="D4397" i="106" s="1"/>
  <c r="B7057" i="106"/>
  <c r="D7057" i="106" s="1"/>
  <c r="I184" i="29"/>
  <c r="I210" i="29" s="1"/>
  <c r="B5755" i="106"/>
  <c r="D5755" i="106" s="1"/>
  <c r="B4074" i="106"/>
  <c r="D4074" i="106" s="1"/>
  <c r="K120" i="29"/>
  <c r="E21" i="108" s="1"/>
  <c r="B4376" i="106"/>
  <c r="D4376" i="106" s="1"/>
  <c r="B5594" i="106"/>
  <c r="D5594" i="106" s="1"/>
  <c r="B7046" i="106"/>
  <c r="D7046" i="106" s="1"/>
  <c r="B5591" i="106"/>
  <c r="D5591" i="106" s="1"/>
  <c r="B6796" i="106"/>
  <c r="D6796" i="106" s="1"/>
  <c r="B4420" i="106"/>
  <c r="D4420" i="106" s="1"/>
  <c r="B6154" i="106"/>
  <c r="D6154" i="106" s="1"/>
  <c r="B3519" i="106"/>
  <c r="D3519" i="106" s="1"/>
  <c r="H13" i="3"/>
  <c r="B203" i="106" s="1"/>
  <c r="D203" i="106" s="1"/>
  <c r="L42" i="29"/>
  <c r="B7102" i="106"/>
  <c r="D7102" i="106" s="1"/>
  <c r="B6389" i="106"/>
  <c r="D6389" i="106" s="1"/>
  <c r="F119" i="34"/>
  <c r="B7853" i="106" s="1"/>
  <c r="D7853" i="106" s="1"/>
  <c r="F92" i="34"/>
  <c r="B5573" i="106"/>
  <c r="D5573" i="106" s="1"/>
  <c r="B6370" i="106"/>
  <c r="D6370" i="106" s="1"/>
  <c r="B5517" i="106"/>
  <c r="D5517" i="106" s="1"/>
  <c r="B4369" i="106"/>
  <c r="D4369" i="106" s="1"/>
  <c r="B7768" i="106"/>
  <c r="D7768" i="106" s="1"/>
  <c r="K255" i="29"/>
  <c r="B7096" i="106" s="1"/>
  <c r="D7096" i="106" s="1"/>
  <c r="B7095" i="106"/>
  <c r="D7095" i="106" s="1"/>
  <c r="B3486" i="106"/>
  <c r="D3486" i="106" s="1"/>
  <c r="B5523" i="106"/>
  <c r="D5523" i="106" s="1"/>
  <c r="B6819" i="106"/>
  <c r="D6819" i="106" s="1"/>
  <c r="B6821" i="106"/>
  <c r="D6821" i="106" s="1"/>
  <c r="B5057" i="106"/>
  <c r="D5057" i="106" s="1"/>
  <c r="F116" i="34"/>
  <c r="B7850" i="106" s="1"/>
  <c r="D7850" i="106" s="1"/>
  <c r="K148" i="29"/>
  <c r="B7050" i="106" s="1"/>
  <c r="D7050" i="106" s="1"/>
  <c r="B7049" i="106"/>
  <c r="D7049" i="106" s="1"/>
  <c r="B7032" i="106"/>
  <c r="D7032" i="106" s="1"/>
  <c r="B6757" i="106"/>
  <c r="D6757" i="106" s="1"/>
  <c r="L72" i="29"/>
  <c r="B4230" i="106"/>
  <c r="D4230" i="106" s="1"/>
  <c r="B5731" i="106"/>
  <c r="D5731" i="106" s="1"/>
  <c r="G67" i="5"/>
  <c r="B5733" i="106" s="1"/>
  <c r="D5733" i="106" s="1"/>
  <c r="K245" i="29"/>
  <c r="B1486" i="106" s="1"/>
  <c r="D1486" i="106" s="1"/>
  <c r="B1422" i="106"/>
  <c r="D1422" i="106" s="1"/>
  <c r="D257" i="29"/>
  <c r="B7109" i="106"/>
  <c r="D7109" i="106" s="1"/>
  <c r="B6294" i="106"/>
  <c r="D6294" i="106" s="1"/>
  <c r="B3492" i="106"/>
  <c r="D3492" i="106" s="1"/>
  <c r="B5885" i="106"/>
  <c r="D5885" i="106" s="1"/>
  <c r="B6663" i="106"/>
  <c r="D6663" i="106" s="1"/>
  <c r="B6380" i="106"/>
  <c r="D6380" i="106" s="1"/>
  <c r="G155" i="5"/>
  <c r="B4357" i="106" s="1"/>
  <c r="D4357" i="106" s="1"/>
  <c r="B6173" i="106"/>
  <c r="D6173" i="106" s="1"/>
  <c r="B5691" i="106"/>
  <c r="D5691" i="106" s="1"/>
  <c r="F217" i="5"/>
  <c r="B5703" i="106" s="1"/>
  <c r="D5703" i="106" s="1"/>
  <c r="F103" i="34"/>
  <c r="B7840" i="106" s="1"/>
  <c r="D7840" i="106" s="1"/>
  <c r="B5351" i="106"/>
  <c r="D5351" i="106" s="1"/>
  <c r="B2831" i="106"/>
  <c r="D2831" i="106" s="1"/>
  <c r="K201" i="29"/>
  <c r="B2841" i="106" s="1"/>
  <c r="D2841" i="106" s="1"/>
  <c r="B5338" i="106"/>
  <c r="D5338" i="106" s="1"/>
  <c r="D17" i="171"/>
  <c r="B4446" i="106"/>
  <c r="D4446" i="106" s="1"/>
  <c r="F170" i="34"/>
  <c r="B7875" i="106" s="1"/>
  <c r="D7875" i="106" s="1"/>
  <c r="B1265" i="106"/>
  <c r="D1265" i="106" s="1"/>
  <c r="B7060" i="106"/>
  <c r="D7060" i="106" s="1"/>
  <c r="B5352" i="106"/>
  <c r="D5352" i="106" s="1"/>
  <c r="B6342" i="106"/>
  <c r="D6342" i="106" s="1"/>
  <c r="B6659" i="106"/>
  <c r="D6659" i="106" s="1"/>
  <c r="B6829" i="106"/>
  <c r="D6829" i="106" s="1"/>
  <c r="B7081" i="106"/>
  <c r="D7081" i="106" s="1"/>
  <c r="K248" i="29"/>
  <c r="B7082" i="106" s="1"/>
  <c r="D7082" i="106" s="1"/>
  <c r="B6341" i="106"/>
  <c r="D6341" i="106" s="1"/>
  <c r="B14" i="7"/>
  <c r="B5331" i="106"/>
  <c r="D5331" i="106" s="1"/>
  <c r="B2848" i="106"/>
  <c r="D2848" i="106" s="1"/>
  <c r="B7752" i="106"/>
  <c r="D7752" i="106" s="1"/>
  <c r="G44" i="4"/>
  <c r="B3258" i="106" s="1"/>
  <c r="D3258" i="106" s="1"/>
  <c r="B6156" i="106"/>
  <c r="D6156" i="106" s="1"/>
  <c r="B152" i="106"/>
  <c r="D152" i="106" s="1"/>
  <c r="B206" i="106"/>
  <c r="D206" i="106" s="1"/>
  <c r="F167" i="34"/>
  <c r="B7810" i="106"/>
  <c r="D7810" i="106" s="1"/>
  <c r="B7045" i="106"/>
  <c r="D7045" i="106" s="1"/>
  <c r="B6324" i="106"/>
  <c r="D6324" i="106" s="1"/>
  <c r="B5511" i="106"/>
  <c r="D5511" i="106" s="1"/>
  <c r="B5459" i="106"/>
  <c r="D5459" i="106" s="1"/>
  <c r="F32" i="34"/>
  <c r="B7825" i="106" s="1"/>
  <c r="D7825" i="106" s="1"/>
  <c r="F169" i="34"/>
  <c r="B7874" i="106" s="1"/>
  <c r="D7874" i="106" s="1"/>
  <c r="B4359" i="106"/>
  <c r="D4359" i="106" s="1"/>
  <c r="B6403" i="106"/>
  <c r="D6403" i="106" s="1"/>
  <c r="B6820" i="106"/>
  <c r="D6820" i="106" s="1"/>
  <c r="F91" i="34"/>
  <c r="B6314" i="106"/>
  <c r="D6314" i="106" s="1"/>
  <c r="F138" i="34"/>
  <c r="B6651" i="106"/>
  <c r="D6651" i="106" s="1"/>
  <c r="B7025" i="106"/>
  <c r="D7025" i="106" s="1"/>
  <c r="J127" i="29"/>
  <c r="B7034" i="106" s="1"/>
  <c r="D7034" i="106" s="1"/>
  <c r="B3721" i="106"/>
  <c r="D3721" i="106" s="1"/>
  <c r="K283" i="29"/>
  <c r="B3723" i="106" s="1"/>
  <c r="D3723" i="106" s="1"/>
  <c r="B5710" i="106"/>
  <c r="D5710" i="106" s="1"/>
  <c r="B6811" i="106"/>
  <c r="D6811" i="106" s="1"/>
  <c r="B5727" i="106"/>
  <c r="D5727" i="106" s="1"/>
  <c r="B6361" i="106"/>
  <c r="D6361" i="106" s="1"/>
  <c r="K227" i="29"/>
  <c r="B1466" i="106" s="1"/>
  <c r="D1466" i="106" s="1"/>
  <c r="B1402" i="106"/>
  <c r="D1402" i="106" s="1"/>
  <c r="B1540" i="106"/>
  <c r="D1540" i="106" s="1"/>
  <c r="B2999" i="106"/>
  <c r="D2999" i="106" s="1"/>
  <c r="B126" i="106"/>
  <c r="D126" i="106" s="1"/>
  <c r="B3161" i="106"/>
  <c r="D3161" i="106" s="1"/>
  <c r="H51" i="4"/>
  <c r="B3170" i="106" s="1"/>
  <c r="D3170" i="106" s="1"/>
  <c r="K253" i="29"/>
  <c r="B7092" i="106" s="1"/>
  <c r="D7092" i="106" s="1"/>
  <c r="B7091" i="106"/>
  <c r="D7091" i="106" s="1"/>
  <c r="B6721" i="106"/>
  <c r="D6721" i="106" s="1"/>
  <c r="F145" i="34"/>
  <c r="B6170" i="106"/>
  <c r="D6170" i="106" s="1"/>
  <c r="B6635" i="106"/>
  <c r="D6635" i="106" s="1"/>
  <c r="F136" i="34"/>
  <c r="F204" i="5"/>
  <c r="B5677" i="106" s="1"/>
  <c r="D5677" i="106" s="1"/>
  <c r="B5664" i="106"/>
  <c r="D5664" i="106" s="1"/>
  <c r="B5358" i="106"/>
  <c r="D5358" i="106" s="1"/>
  <c r="D12" i="171"/>
  <c r="B97" i="106"/>
  <c r="D97" i="106" s="1"/>
  <c r="B6828" i="106"/>
  <c r="D6828" i="106" s="1"/>
  <c r="B5359" i="106"/>
  <c r="D5359" i="106" s="1"/>
  <c r="B6118" i="106"/>
  <c r="D6118" i="106" s="1"/>
  <c r="B3490" i="106"/>
  <c r="D3490" i="106" s="1"/>
  <c r="B5581" i="106"/>
  <c r="D5581" i="106" s="1"/>
  <c r="F67" i="5"/>
  <c r="B5582" i="106" s="1"/>
  <c r="D5582" i="106" s="1"/>
  <c r="L243" i="29"/>
  <c r="B5883" i="106"/>
  <c r="D5883" i="106" s="1"/>
  <c r="B2812" i="106"/>
  <c r="D2812" i="106" s="1"/>
  <c r="K165" i="29"/>
  <c r="B2818" i="106" s="1"/>
  <c r="D2818" i="106" s="1"/>
  <c r="B4335" i="106"/>
  <c r="D4335" i="106" s="1"/>
  <c r="B5697" i="106"/>
  <c r="D5697" i="106" s="1"/>
  <c r="B1232" i="106"/>
  <c r="D1232" i="106" s="1"/>
  <c r="L238" i="29"/>
  <c r="B5798" i="106"/>
  <c r="D5798" i="106" s="1"/>
  <c r="B5571" i="106"/>
  <c r="D5571" i="106" s="1"/>
  <c r="F23" i="34"/>
  <c r="B6404" i="106"/>
  <c r="D6404" i="106" s="1"/>
  <c r="B6381" i="106"/>
  <c r="D6381" i="106" s="1"/>
  <c r="B6376" i="106"/>
  <c r="D6376" i="106" s="1"/>
  <c r="B6692" i="106"/>
  <c r="D6692" i="106" s="1"/>
  <c r="B6773" i="106"/>
  <c r="D6773" i="106" s="1"/>
  <c r="B6810" i="106"/>
  <c r="D6810" i="106" s="1"/>
  <c r="F155" i="34"/>
  <c r="L310" i="29"/>
  <c r="B5439" i="106"/>
  <c r="D5439" i="106" s="1"/>
  <c r="G18" i="5"/>
  <c r="B5730" i="106" s="1"/>
  <c r="D5730" i="106" s="1"/>
  <c r="B5726" i="106"/>
  <c r="D5726" i="106" s="1"/>
  <c r="B6" i="7"/>
  <c r="B5509" i="106"/>
  <c r="D5509" i="106" s="1"/>
  <c r="E12" i="5"/>
  <c r="B1344" i="106"/>
  <c r="D1344" i="106" s="1"/>
  <c r="B7812" i="106"/>
  <c r="D7812" i="106" s="1"/>
  <c r="B5345" i="106"/>
  <c r="D5345" i="106" s="1"/>
  <c r="B7815" i="106"/>
  <c r="D7815" i="106" s="1"/>
  <c r="B6247" i="106"/>
  <c r="D6247" i="106" s="1"/>
  <c r="E39" i="4"/>
  <c r="B6287" i="106" s="1"/>
  <c r="D6287" i="106" s="1"/>
  <c r="K143" i="29"/>
  <c r="B1284" i="106" s="1"/>
  <c r="D1284" i="106" s="1"/>
  <c r="B1269" i="106"/>
  <c r="D1269" i="106" s="1"/>
  <c r="B1519" i="106"/>
  <c r="D1519" i="106" s="1"/>
  <c r="K301" i="29"/>
  <c r="C303" i="29"/>
  <c r="B4180" i="106"/>
  <c r="D4180" i="106" s="1"/>
  <c r="D277" i="29"/>
  <c r="B1444" i="106" s="1"/>
  <c r="D1444" i="106" s="1"/>
  <c r="G33" i="108"/>
  <c r="K272" i="29"/>
  <c r="B1501" i="106" s="1"/>
  <c r="D1501" i="106" s="1"/>
  <c r="E33" i="108"/>
  <c r="B1437" i="106"/>
  <c r="D1437" i="106" s="1"/>
  <c r="B6643" i="106"/>
  <c r="D6643" i="106" s="1"/>
  <c r="F137" i="34"/>
  <c r="B108" i="106"/>
  <c r="D108" i="106" s="1"/>
  <c r="B5584" i="106"/>
  <c r="D5584" i="106" s="1"/>
  <c r="B7668" i="106"/>
  <c r="D7668" i="106" s="1"/>
  <c r="B6187" i="106"/>
  <c r="D6187" i="106" s="1"/>
  <c r="B1316" i="106"/>
  <c r="D1316" i="106" s="1"/>
  <c r="F115" i="34"/>
  <c r="B7849" i="106" s="1"/>
  <c r="D7849" i="106" s="1"/>
  <c r="B5625" i="106"/>
  <c r="D5625" i="106" s="1"/>
  <c r="B7682" i="106"/>
  <c r="D7682" i="106" s="1"/>
  <c r="B1525" i="106"/>
  <c r="D1525" i="106" s="1"/>
  <c r="D303" i="29"/>
  <c r="B6830" i="106"/>
  <c r="D6830" i="106" s="1"/>
  <c r="B134" i="106"/>
  <c r="D134" i="106" s="1"/>
  <c r="B6085" i="106"/>
  <c r="D6085" i="106" s="1"/>
  <c r="F94" i="34"/>
  <c r="B7764" i="106"/>
  <c r="D7764" i="106" s="1"/>
  <c r="B6331" i="106"/>
  <c r="D6331" i="106" s="1"/>
  <c r="B6366" i="106"/>
  <c r="D6366" i="106" s="1"/>
  <c r="B5617" i="106"/>
  <c r="D5617" i="106" s="1"/>
  <c r="B7728" i="106"/>
  <c r="D7728" i="106" s="1"/>
  <c r="B5876" i="106"/>
  <c r="D5876" i="106" s="1"/>
  <c r="B2996" i="106"/>
  <c r="D2996" i="106" s="1"/>
  <c r="B6358" i="106"/>
  <c r="D6358" i="106" s="1"/>
  <c r="B2760" i="106"/>
  <c r="D2760" i="106" s="1"/>
  <c r="B6082" i="106"/>
  <c r="D6082" i="106" s="1"/>
  <c r="B2980" i="106"/>
  <c r="D2980" i="106" s="1"/>
  <c r="G18" i="4"/>
  <c r="B4176" i="106" s="1"/>
  <c r="D4176" i="106" s="1"/>
  <c r="B4117" i="106"/>
  <c r="D4117" i="106" s="1"/>
  <c r="B6344" i="106"/>
  <c r="D6344" i="106" s="1"/>
  <c r="B1252" i="106"/>
  <c r="D1252" i="106" s="1"/>
  <c r="B7686" i="106"/>
  <c r="D7686" i="106" s="1"/>
  <c r="B6756" i="106"/>
  <c r="D6756" i="106" s="1"/>
  <c r="B6687" i="106"/>
  <c r="D6687" i="106" s="1"/>
  <c r="B7667" i="106"/>
  <c r="D7667" i="106" s="1"/>
  <c r="B2843" i="106"/>
  <c r="D2843" i="106" s="1"/>
  <c r="K290" i="29"/>
  <c r="B2845" i="106" s="1"/>
  <c r="D2845" i="106" s="1"/>
  <c r="H303" i="29"/>
  <c r="B1549" i="106"/>
  <c r="D1549" i="106" s="1"/>
  <c r="B6732" i="106"/>
  <c r="D6732" i="106" s="1"/>
  <c r="B6244" i="106"/>
  <c r="D6244" i="106" s="1"/>
  <c r="E38" i="4"/>
  <c r="B6286" i="106" s="1"/>
  <c r="D6286" i="106" s="1"/>
  <c r="B6408" i="106"/>
  <c r="D6408" i="106" s="1"/>
  <c r="B4192" i="106"/>
  <c r="D4192" i="106" s="1"/>
  <c r="B1546" i="106"/>
  <c r="D1546" i="106" s="1"/>
  <c r="B4948" i="106"/>
  <c r="D4948" i="106" s="1"/>
  <c r="B6826" i="106"/>
  <c r="D6826" i="106" s="1"/>
  <c r="F157" i="34"/>
  <c r="B3234" i="106"/>
  <c r="D3234" i="106" s="1"/>
  <c r="B3000" i="106"/>
  <c r="D3000" i="106" s="1"/>
  <c r="F12" i="5"/>
  <c r="B5557" i="106" s="1"/>
  <c r="D5557" i="106" s="1"/>
  <c r="B5553" i="106"/>
  <c r="D5553" i="106" s="1"/>
  <c r="B7" i="7"/>
  <c r="B7665" i="106"/>
  <c r="D7665" i="106" s="1"/>
  <c r="B6766" i="106"/>
  <c r="D6766" i="106" s="1"/>
  <c r="B6145" i="106"/>
  <c r="D6145" i="106" s="1"/>
  <c r="B5567" i="106"/>
  <c r="D5567" i="106" s="1"/>
  <c r="F19" i="34"/>
  <c r="K163" i="29"/>
  <c r="B1310" i="106"/>
  <c r="D1310" i="106" s="1"/>
  <c r="H168" i="29"/>
  <c r="B7067" i="106"/>
  <c r="D7067" i="106" s="1"/>
  <c r="K205" i="29"/>
  <c r="B7068" i="106" s="1"/>
  <c r="D7068" i="106" s="1"/>
  <c r="B7637" i="106"/>
  <c r="B6254" i="106"/>
  <c r="D6254" i="106" s="1"/>
  <c r="H18" i="4"/>
  <c r="B4134" i="106" s="1"/>
  <c r="D4134" i="106" s="1"/>
  <c r="B4118" i="106"/>
  <c r="D4118" i="106" s="1"/>
  <c r="B6101" i="106"/>
  <c r="D6101" i="106" s="1"/>
  <c r="B1372" i="106"/>
  <c r="D1372" i="106" s="1"/>
  <c r="K200" i="29"/>
  <c r="B1384" i="106" s="1"/>
  <c r="D1384" i="106" s="1"/>
  <c r="B6645" i="106"/>
  <c r="D6645" i="106" s="1"/>
  <c r="B1244" i="106"/>
  <c r="D1244" i="106" s="1"/>
  <c r="B1445" i="106"/>
  <c r="D1445" i="106" s="1"/>
  <c r="K278" i="29"/>
  <c r="B1509" i="106" s="1"/>
  <c r="D1509" i="106" s="1"/>
  <c r="B4920" i="106"/>
  <c r="D4920" i="106" s="1"/>
  <c r="B6670" i="106"/>
  <c r="D6670" i="106" s="1"/>
  <c r="B184" i="106"/>
  <c r="D184" i="106" s="1"/>
  <c r="B4808" i="106"/>
  <c r="D4808" i="106" s="1"/>
  <c r="B4811" i="106"/>
  <c r="D4811" i="106" s="1"/>
  <c r="B6780" i="106"/>
  <c r="D6780" i="106" s="1"/>
  <c r="B6684" i="106"/>
  <c r="D6684" i="106" s="1"/>
  <c r="B7655" i="106"/>
  <c r="D7655" i="106" s="1"/>
  <c r="B7676" i="106"/>
  <c r="D7676" i="106" s="1"/>
  <c r="B5785" i="106"/>
  <c r="D5785" i="106" s="1"/>
  <c r="G188" i="5"/>
  <c r="B6117" i="106"/>
  <c r="D6117" i="106" s="1"/>
  <c r="B5340" i="106"/>
  <c r="D5340" i="106" s="1"/>
  <c r="D67" i="5"/>
  <c r="B5342" i="106" s="1"/>
  <c r="D5342" i="106" s="1"/>
  <c r="B5872" i="106"/>
  <c r="D5872" i="106" s="1"/>
  <c r="B501" i="106"/>
  <c r="D501" i="106" s="1"/>
  <c r="B1413" i="106"/>
  <c r="D1413" i="106" s="1"/>
  <c r="K234" i="29"/>
  <c r="B1477" i="106" s="1"/>
  <c r="D1477" i="106" s="1"/>
  <c r="B7111" i="106"/>
  <c r="D7111" i="106" s="1"/>
  <c r="B6143" i="106"/>
  <c r="D6143" i="106" s="1"/>
  <c r="B4354" i="106"/>
  <c r="D4354" i="106" s="1"/>
  <c r="G209" i="5"/>
  <c r="B4414" i="106" s="1"/>
  <c r="D4414" i="106" s="1"/>
  <c r="B5799" i="106"/>
  <c r="D5799" i="106" s="1"/>
  <c r="B6625" i="106"/>
  <c r="D6625" i="106" s="1"/>
  <c r="B1235" i="106"/>
  <c r="D1235" i="106" s="1"/>
  <c r="E127" i="29"/>
  <c r="B1239" i="106" s="1"/>
  <c r="D1239" i="106" s="1"/>
  <c r="B5604" i="106"/>
  <c r="D5604" i="106" s="1"/>
  <c r="B6325" i="106"/>
  <c r="D6325" i="106" s="1"/>
  <c r="B6375" i="106"/>
  <c r="D6375" i="106" s="1"/>
  <c r="L261" i="29"/>
  <c r="B4201" i="106"/>
  <c r="D4201" i="106" s="1"/>
  <c r="K136" i="29"/>
  <c r="B2988" i="106" s="1"/>
  <c r="D2988" i="106" s="1"/>
  <c r="B6697" i="106"/>
  <c r="D6697" i="106" s="1"/>
  <c r="B6343" i="106"/>
  <c r="D6343" i="106" s="1"/>
  <c r="B6128" i="106"/>
  <c r="D6128" i="106" s="1"/>
  <c r="F34" i="3"/>
  <c r="B169" i="106" s="1"/>
  <c r="D169" i="106" s="1"/>
  <c r="B6790" i="106"/>
  <c r="D6790" i="106" s="1"/>
  <c r="B5362" i="106"/>
  <c r="D5362" i="106" s="1"/>
  <c r="B5585" i="106"/>
  <c r="D5585" i="106" s="1"/>
  <c r="F147" i="34"/>
  <c r="B6738" i="106"/>
  <c r="D6738" i="106" s="1"/>
  <c r="D72" i="36"/>
  <c r="B2758" i="106"/>
  <c r="D2758" i="106" s="1"/>
  <c r="I48" i="4"/>
  <c r="B2106" i="106" s="1"/>
  <c r="D2106" i="106" s="1"/>
  <c r="B432" i="106"/>
  <c r="D432" i="106" s="1"/>
  <c r="B6646" i="106"/>
  <c r="D6646" i="106" s="1"/>
  <c r="B5858" i="106"/>
  <c r="D5858" i="106" s="1"/>
  <c r="K222" i="29"/>
  <c r="B1471" i="106" s="1"/>
  <c r="D1471" i="106" s="1"/>
  <c r="B1407" i="106"/>
  <c r="D1407" i="106" s="1"/>
  <c r="D122" i="5"/>
  <c r="B5367" i="106" s="1"/>
  <c r="D5367" i="106" s="1"/>
  <c r="B5361" i="106"/>
  <c r="D5361" i="106" s="1"/>
  <c r="F122" i="34"/>
  <c r="B7855" i="106" s="1"/>
  <c r="D7855" i="106" s="1"/>
  <c r="B4793" i="106"/>
  <c r="D4793" i="106" s="1"/>
  <c r="B4886" i="106"/>
  <c r="D4886" i="106" s="1"/>
  <c r="B6725" i="106"/>
  <c r="D6725" i="106" s="1"/>
  <c r="B6293" i="106"/>
  <c r="D6293" i="106" s="1"/>
  <c r="B7061" i="106"/>
  <c r="D7061" i="106" s="1"/>
  <c r="B7883" i="106"/>
  <c r="D7883" i="106" s="1"/>
  <c r="B13" i="7"/>
  <c r="D13" i="7" s="1"/>
  <c r="B3726" i="106" s="1"/>
  <c r="D3726" i="106" s="1"/>
  <c r="B5330" i="106"/>
  <c r="D5330" i="106" s="1"/>
  <c r="B4342" i="106"/>
  <c r="D4342" i="106" s="1"/>
  <c r="B7099" i="106"/>
  <c r="D7099" i="106" s="1"/>
  <c r="I303" i="29"/>
  <c r="I312" i="29" s="1"/>
  <c r="B7116" i="106" s="1"/>
  <c r="D7116" i="106" s="1"/>
  <c r="B6183" i="106"/>
  <c r="D6183" i="106" s="1"/>
  <c r="B6782" i="106"/>
  <c r="D6782" i="106" s="1"/>
  <c r="K170" i="29"/>
  <c r="D69" i="36"/>
  <c r="B1315" i="106"/>
  <c r="D1315" i="106" s="1"/>
  <c r="B5347" i="106"/>
  <c r="D5347" i="106" s="1"/>
  <c r="B4076" i="106"/>
  <c r="D4076" i="106" s="1"/>
  <c r="B7653" i="106"/>
  <c r="D7653" i="106" s="1"/>
  <c r="B1341" i="106"/>
  <c r="D1341" i="106" s="1"/>
  <c r="K138" i="29"/>
  <c r="B2094" i="106" s="1"/>
  <c r="D2094" i="106" s="1"/>
  <c r="B2092" i="106"/>
  <c r="D2092" i="106" s="1"/>
  <c r="B6162" i="106"/>
  <c r="D6162" i="106" s="1"/>
  <c r="B4345" i="106"/>
  <c r="D4345" i="106" s="1"/>
  <c r="B1419" i="106"/>
  <c r="D1419" i="106" s="1"/>
  <c r="K241" i="29"/>
  <c r="B1483" i="106" s="1"/>
  <c r="D1483" i="106" s="1"/>
  <c r="F164" i="34"/>
  <c r="B7871" i="106" s="1"/>
  <c r="D7871" i="106" s="1"/>
  <c r="B5498" i="106"/>
  <c r="D5498" i="106" s="1"/>
  <c r="B6086" i="106"/>
  <c r="D6086" i="106" s="1"/>
  <c r="B6654" i="106"/>
  <c r="D6654" i="106" s="1"/>
  <c r="B4381" i="106"/>
  <c r="D4381" i="106" s="1"/>
  <c r="B7085" i="106"/>
  <c r="D7085" i="106" s="1"/>
  <c r="K250" i="29"/>
  <c r="B7086" i="106" s="1"/>
  <c r="D7086" i="106" s="1"/>
  <c r="B1371" i="106"/>
  <c r="D1371" i="106" s="1"/>
  <c r="H204" i="29"/>
  <c r="H208" i="29" s="1"/>
  <c r="B1375" i="106" s="1"/>
  <c r="D1375" i="106" s="1"/>
  <c r="K199" i="29"/>
  <c r="B7684" i="106"/>
  <c r="D7684" i="106" s="1"/>
  <c r="B6360" i="106"/>
  <c r="D6360" i="106" s="1"/>
  <c r="B6138" i="106"/>
  <c r="D6138" i="106" s="1"/>
  <c r="B4878" i="106"/>
  <c r="D4878" i="106" s="1"/>
  <c r="B4794" i="106"/>
  <c r="D4794" i="106" s="1"/>
  <c r="B5590" i="106"/>
  <c r="D5590" i="106" s="1"/>
  <c r="B6333" i="106"/>
  <c r="D6333" i="106" s="1"/>
  <c r="B5566" i="106"/>
  <c r="D5566" i="106" s="1"/>
  <c r="F87" i="34"/>
  <c r="B4814" i="106"/>
  <c r="D4814" i="106" s="1"/>
  <c r="B6749" i="106"/>
  <c r="D6749" i="106" s="1"/>
  <c r="B7022" i="106"/>
  <c r="D7022" i="106" s="1"/>
  <c r="B6624" i="106"/>
  <c r="D6624" i="106" s="1"/>
  <c r="B7030" i="106"/>
  <c r="D7030" i="106" s="1"/>
  <c r="K207" i="29"/>
  <c r="B7070" i="106" s="1"/>
  <c r="D7070" i="106" s="1"/>
  <c r="B7069" i="106"/>
  <c r="D7069" i="106" s="1"/>
  <c r="B6114" i="106"/>
  <c r="D6114" i="106" s="1"/>
  <c r="B7113" i="106"/>
  <c r="D7113" i="106" s="1"/>
  <c r="B6155" i="106"/>
  <c r="D6155" i="106" s="1"/>
  <c r="B1219" i="106"/>
  <c r="D1219" i="106" s="1"/>
  <c r="C127" i="29"/>
  <c r="B1223" i="106" s="1"/>
  <c r="D1223" i="106" s="1"/>
  <c r="K122" i="29"/>
  <c r="B1274" i="106" s="1"/>
  <c r="D1274" i="106" s="1"/>
  <c r="B6615" i="106"/>
  <c r="D6615" i="106" s="1"/>
  <c r="D252" i="5"/>
  <c r="B6834" i="106" s="1"/>
  <c r="D6834" i="106" s="1"/>
  <c r="B1338" i="106"/>
  <c r="D1338" i="106" s="1"/>
  <c r="K183" i="29"/>
  <c r="B1380" i="106" s="1"/>
  <c r="D1380" i="106" s="1"/>
  <c r="F24" i="34"/>
  <c r="B5574" i="106"/>
  <c r="D5574" i="106" s="1"/>
  <c r="B7058" i="106"/>
  <c r="D7058" i="106" s="1"/>
  <c r="J184" i="29"/>
  <c r="B4165" i="106"/>
  <c r="D4165" i="106" s="1"/>
  <c r="K284" i="29"/>
  <c r="B4166" i="106" s="1"/>
  <c r="D4166" i="106" s="1"/>
  <c r="B6102" i="106"/>
  <c r="D6102" i="106" s="1"/>
  <c r="B6677" i="106"/>
  <c r="D6677" i="106" s="1"/>
  <c r="B6713" i="106"/>
  <c r="D6713" i="106" s="1"/>
  <c r="F144" i="34"/>
  <c r="B5695" i="106"/>
  <c r="D5695" i="106" s="1"/>
  <c r="B6746" i="106"/>
  <c r="D6746" i="106" s="1"/>
  <c r="L127" i="29"/>
  <c r="L129" i="29" s="1"/>
  <c r="B3082" i="106"/>
  <c r="D3082" i="106" s="1"/>
  <c r="B4394" i="106"/>
  <c r="D4394" i="106" s="1"/>
  <c r="B7031" i="106"/>
  <c r="D7031" i="106" s="1"/>
  <c r="B6779" i="106"/>
  <c r="D6779" i="106" s="1"/>
  <c r="B6676" i="106"/>
  <c r="D6676" i="106" s="1"/>
  <c r="B6661" i="106"/>
  <c r="D6661" i="106" s="1"/>
  <c r="B4339" i="106"/>
  <c r="D4339" i="106" s="1"/>
  <c r="B5512" i="106"/>
  <c r="D5512" i="106" s="1"/>
  <c r="B1426" i="106"/>
  <c r="D1426" i="106" s="1"/>
  <c r="K260" i="29"/>
  <c r="B1490" i="106" s="1"/>
  <c r="D1490" i="106" s="1"/>
  <c r="B3387" i="106"/>
  <c r="D3387" i="106" s="1"/>
  <c r="D229" i="29"/>
  <c r="B1410" i="106" s="1"/>
  <c r="D1410" i="106" s="1"/>
  <c r="K215" i="29"/>
  <c r="B5609" i="106"/>
  <c r="D5609" i="106" s="1"/>
  <c r="B4356" i="106"/>
  <c r="D4356" i="106" s="1"/>
  <c r="B7652" i="106"/>
  <c r="D7652" i="106" s="1"/>
  <c r="B1262" i="106"/>
  <c r="D1262" i="106" s="1"/>
  <c r="D18" i="4"/>
  <c r="B4132" i="106" s="1"/>
  <c r="D4132" i="106" s="1"/>
  <c r="B4114" i="106"/>
  <c r="D4114" i="106" s="1"/>
  <c r="B1411" i="106"/>
  <c r="D1411" i="106" s="1"/>
  <c r="K232" i="29"/>
  <c r="D238" i="29"/>
  <c r="B7750" i="106"/>
  <c r="D7750" i="106" s="1"/>
  <c r="B5023" i="106"/>
  <c r="D5023" i="106" s="1"/>
  <c r="D76" i="4"/>
  <c r="B3237" i="106" s="1"/>
  <c r="D3237" i="106" s="1"/>
  <c r="B7027" i="106"/>
  <c r="D7027" i="106" s="1"/>
  <c r="B5568" i="106"/>
  <c r="D5568" i="106" s="1"/>
  <c r="F20" i="34"/>
  <c r="B6629" i="106"/>
  <c r="D6629" i="106" s="1"/>
  <c r="B5519" i="106"/>
  <c r="D5519" i="106" s="1"/>
  <c r="E67" i="5"/>
  <c r="B5521" i="106" s="1"/>
  <c r="D5521" i="106" s="1"/>
  <c r="B4916" i="106"/>
  <c r="D4916" i="106" s="1"/>
  <c r="F118" i="34"/>
  <c r="B7852" i="106" s="1"/>
  <c r="D7852" i="106" s="1"/>
  <c r="B5432" i="106"/>
  <c r="D5432" i="106" s="1"/>
  <c r="B7087" i="106"/>
  <c r="D7087" i="106" s="1"/>
  <c r="K251" i="29"/>
  <c r="B7088" i="106" s="1"/>
  <c r="D7088" i="106" s="1"/>
  <c r="K309" i="29"/>
  <c r="B3717" i="106" s="1"/>
  <c r="D3717" i="106" s="1"/>
  <c r="B7112" i="106"/>
  <c r="D7112" i="106" s="1"/>
  <c r="B4115" i="106"/>
  <c r="D4115" i="106" s="1"/>
  <c r="E18" i="4"/>
  <c r="B4175" i="106" s="1"/>
  <c r="D4175" i="106" s="1"/>
  <c r="B5529" i="106"/>
  <c r="D5529" i="106" s="1"/>
  <c r="B1307" i="106"/>
  <c r="D1307" i="106" s="1"/>
  <c r="K171" i="29"/>
  <c r="B1330" i="106" s="1"/>
  <c r="D1330" i="106" s="1"/>
  <c r="E172" i="29"/>
  <c r="F149" i="34"/>
  <c r="B6762" i="106"/>
  <c r="D6762" i="106" s="1"/>
  <c r="B7777" i="106"/>
  <c r="D7777" i="106" s="1"/>
  <c r="H160" i="29"/>
  <c r="B7053" i="106" s="1"/>
  <c r="D7053" i="106" s="1"/>
  <c r="K157" i="29"/>
  <c r="B5525" i="106"/>
  <c r="D5525" i="106" s="1"/>
  <c r="B1537" i="106"/>
  <c r="D1537" i="106" s="1"/>
  <c r="F303" i="29"/>
  <c r="B6636" i="106"/>
  <c r="D6636" i="106" s="1"/>
  <c r="B2998" i="106"/>
  <c r="D2998" i="106" s="1"/>
  <c r="B4077" i="106"/>
  <c r="D4077" i="106" s="1"/>
  <c r="F114" i="5"/>
  <c r="F5" i="4" s="1"/>
  <c r="B3408" i="106" s="1"/>
  <c r="D3408" i="106" s="1"/>
  <c r="B5589" i="106"/>
  <c r="D5589" i="106" s="1"/>
  <c r="B2799" i="106"/>
  <c r="D2799" i="106" s="1"/>
  <c r="B6103" i="106"/>
  <c r="D6103" i="106" s="1"/>
  <c r="F166" i="34"/>
  <c r="B7873" i="106" s="1"/>
  <c r="D7873" i="106" s="1"/>
  <c r="B4190" i="106"/>
  <c r="D4190" i="106" s="1"/>
  <c r="L53" i="29"/>
  <c r="B4409" i="106"/>
  <c r="D4409" i="106" s="1"/>
  <c r="B6639" i="106"/>
  <c r="D6639" i="106" s="1"/>
  <c r="B3257" i="106"/>
  <c r="D3257" i="106" s="1"/>
  <c r="F252" i="5"/>
  <c r="B6836" i="106" s="1"/>
  <c r="D6836" i="106" s="1"/>
  <c r="B6617" i="106"/>
  <c r="D6617" i="106" s="1"/>
  <c r="B4795" i="106"/>
  <c r="D4795" i="106" s="1"/>
  <c r="B6345" i="106"/>
  <c r="D6345" i="106" s="1"/>
  <c r="H175" i="5"/>
  <c r="B4950" i="106" s="1"/>
  <c r="D4950" i="106" s="1"/>
  <c r="B4365" i="106"/>
  <c r="D4365" i="106" s="1"/>
  <c r="B6774" i="106"/>
  <c r="D6774" i="106" s="1"/>
  <c r="D36" i="108"/>
  <c r="F36" i="108"/>
  <c r="K275" i="29"/>
  <c r="B1504" i="106" s="1"/>
  <c r="D1504" i="106" s="1"/>
  <c r="B1440" i="106"/>
  <c r="D1440" i="106" s="1"/>
  <c r="B2797" i="106"/>
  <c r="D2797" i="106" s="1"/>
  <c r="K130" i="29"/>
  <c r="B2807" i="106"/>
  <c r="D2807" i="106" s="1"/>
  <c r="K144" i="29"/>
  <c r="B2810" i="106" s="1"/>
  <c r="D2810" i="106" s="1"/>
  <c r="G252" i="5"/>
  <c r="B6837" i="106" s="1"/>
  <c r="D6837" i="106" s="1"/>
  <c r="B6618" i="106"/>
  <c r="D6618" i="106" s="1"/>
  <c r="B6136" i="106"/>
  <c r="D6136" i="106" s="1"/>
  <c r="D18" i="5"/>
  <c r="B5339" i="106" s="1"/>
  <c r="D5339" i="106" s="1"/>
  <c r="B5335" i="106"/>
  <c r="D5335" i="106" s="1"/>
  <c r="B5708" i="106"/>
  <c r="D5708" i="106" s="1"/>
  <c r="B119" i="106"/>
  <c r="D119" i="106" s="1"/>
  <c r="F130" i="34"/>
  <c r="B7862" i="106" s="1"/>
  <c r="D7862" i="106" s="1"/>
  <c r="B5463" i="106"/>
  <c r="D5463" i="106" s="1"/>
  <c r="B6165" i="106"/>
  <c r="D6165" i="106" s="1"/>
  <c r="H18" i="5"/>
  <c r="B5878" i="106" s="1"/>
  <c r="D5878" i="106" s="1"/>
  <c r="B5874" i="106"/>
  <c r="D5874" i="106" s="1"/>
  <c r="K133" i="29"/>
  <c r="B7774" i="106"/>
  <c r="D7774" i="106" s="1"/>
  <c r="E137" i="29"/>
  <c r="B4079" i="106"/>
  <c r="D4079" i="106" s="1"/>
  <c r="B5395" i="106"/>
  <c r="D5395" i="106" s="1"/>
  <c r="F114" i="34"/>
  <c r="B7848" i="106" s="1"/>
  <c r="D7848" i="106" s="1"/>
  <c r="B5871" i="106"/>
  <c r="D5871" i="106" s="1"/>
  <c r="B9" i="7"/>
  <c r="D9" i="7" s="1"/>
  <c r="B1767" i="106" s="1"/>
  <c r="D1767" i="106" s="1"/>
  <c r="H12" i="5"/>
  <c r="B3085" i="106"/>
  <c r="D3085" i="106" s="1"/>
  <c r="B6146" i="106"/>
  <c r="D6146" i="106" s="1"/>
  <c r="B6083" i="106"/>
  <c r="D6083" i="106" s="1"/>
  <c r="B4353" i="106"/>
  <c r="D4353" i="106" s="1"/>
  <c r="F111" i="34"/>
  <c r="B7846" i="106" s="1"/>
  <c r="D7846" i="106" s="1"/>
  <c r="B5384" i="106"/>
  <c r="D5384" i="106" s="1"/>
  <c r="B6667" i="106"/>
  <c r="D6667" i="106" s="1"/>
  <c r="F140" i="34"/>
  <c r="B2806" i="106"/>
  <c r="D2806" i="106" s="1"/>
  <c r="K125" i="29"/>
  <c r="B3482" i="106"/>
  <c r="D3482" i="106" s="1"/>
  <c r="J129" i="29"/>
  <c r="B7023" i="106"/>
  <c r="D7023" i="106" s="1"/>
  <c r="B1406" i="106"/>
  <c r="D1406" i="106" s="1"/>
  <c r="K221" i="29"/>
  <c r="B5734" i="106"/>
  <c r="D5734" i="106" s="1"/>
  <c r="G108" i="5"/>
  <c r="B5737" i="106" s="1"/>
  <c r="D5737" i="106" s="1"/>
  <c r="B4408" i="106"/>
  <c r="D4408" i="106" s="1"/>
  <c r="B1354" i="106"/>
  <c r="D1354" i="106" s="1"/>
  <c r="B6185" i="106"/>
  <c r="D6185" i="106" s="1"/>
  <c r="K169" i="29"/>
  <c r="B1326" i="106" s="1"/>
  <c r="D1326" i="106" s="1"/>
  <c r="B1312" i="106"/>
  <c r="D1312" i="106" s="1"/>
  <c r="B6186" i="106"/>
  <c r="D6186" i="106" s="1"/>
  <c r="H181" i="5"/>
  <c r="B5908" i="106" s="1"/>
  <c r="D5908" i="106" s="1"/>
  <c r="B5907" i="106"/>
  <c r="D5907" i="106" s="1"/>
  <c r="F26" i="34"/>
  <c r="B5577" i="106"/>
  <c r="D5577" i="106" s="1"/>
  <c r="B5424" i="106"/>
  <c r="D5424" i="106" s="1"/>
  <c r="D181" i="5"/>
  <c r="F124" i="34" s="1"/>
  <c r="B7856" i="106" s="1"/>
  <c r="D7856" i="106" s="1"/>
  <c r="B6786" i="106"/>
  <c r="D6786" i="106" s="1"/>
  <c r="B5375" i="106"/>
  <c r="D5375" i="106" s="1"/>
  <c r="B145" i="106"/>
  <c r="D145" i="106" s="1"/>
  <c r="B6129" i="106"/>
  <c r="D6129" i="106" s="1"/>
  <c r="G34" i="3"/>
  <c r="B188" i="106" s="1"/>
  <c r="D188" i="106" s="1"/>
  <c r="B2763" i="106"/>
  <c r="D2763" i="106" s="1"/>
  <c r="B5520" i="106"/>
  <c r="D5520" i="106" s="1"/>
  <c r="B5817" i="106"/>
  <c r="D5817" i="106" s="1"/>
  <c r="G217" i="5"/>
  <c r="B5829" i="106" s="1"/>
  <c r="D5829" i="106" s="1"/>
  <c r="B1534" i="106"/>
  <c r="D1534" i="106" s="1"/>
  <c r="B5565" i="106"/>
  <c r="D5565" i="106" s="1"/>
  <c r="F86" i="34"/>
  <c r="F165" i="34"/>
  <c r="B7872" i="106" s="1"/>
  <c r="D7872" i="106" s="1"/>
  <c r="B4419" i="106"/>
  <c r="D4419" i="106" s="1"/>
  <c r="B5354" i="106"/>
  <c r="D5354" i="106" s="1"/>
  <c r="B4333" i="106"/>
  <c r="D4333" i="106" s="1"/>
  <c r="B618" i="106"/>
  <c r="D618" i="106" s="1"/>
  <c r="G145" i="5"/>
  <c r="F108" i="34" s="1"/>
  <c r="B7844" i="106" s="1"/>
  <c r="D7844" i="106" s="1"/>
  <c r="B5754" i="106"/>
  <c r="D5754" i="106" s="1"/>
  <c r="B5336" i="106"/>
  <c r="D5336" i="106" s="1"/>
  <c r="B5823" i="106"/>
  <c r="D5823" i="106" s="1"/>
  <c r="D37" i="108"/>
  <c r="B1442" i="106"/>
  <c r="D1442" i="106" s="1"/>
  <c r="K276" i="29"/>
  <c r="B1506" i="106" s="1"/>
  <c r="D1506" i="106" s="1"/>
  <c r="F37" i="108"/>
  <c r="B1229" i="106"/>
  <c r="D1229" i="106" s="1"/>
  <c r="B6714" i="106"/>
  <c r="D6714" i="106" s="1"/>
  <c r="E34" i="3"/>
  <c r="B139" i="106" s="1"/>
  <c r="D139" i="106" s="1"/>
  <c r="B6127" i="106"/>
  <c r="D6127" i="106" s="1"/>
  <c r="B1366" i="106"/>
  <c r="D1366" i="106" s="1"/>
  <c r="B5556" i="106"/>
  <c r="D5556" i="106" s="1"/>
  <c r="B4346" i="106"/>
  <c r="D4346" i="106" s="1"/>
  <c r="B6781" i="106"/>
  <c r="D6781" i="106" s="1"/>
  <c r="K135" i="29"/>
  <c r="B2987" i="106" s="1"/>
  <c r="D2987" i="106" s="1"/>
  <c r="B4200" i="106"/>
  <c r="D4200" i="106" s="1"/>
  <c r="L277" i="29"/>
  <c r="B6803" i="106"/>
  <c r="D6803" i="106" s="1"/>
  <c r="B4796" i="106"/>
  <c r="D4796" i="106" s="1"/>
  <c r="F22" i="34"/>
  <c r="B6313" i="106"/>
  <c r="D6313" i="106" s="1"/>
  <c r="B6363" i="106"/>
  <c r="D6363" i="106" s="1"/>
  <c r="B4417" i="106"/>
  <c r="D4417" i="106" s="1"/>
  <c r="K223" i="29"/>
  <c r="B1472" i="106" s="1"/>
  <c r="D1472" i="106" s="1"/>
  <c r="B1408" i="106"/>
  <c r="D1408" i="106" s="1"/>
  <c r="B6662" i="106"/>
  <c r="D6662" i="106" s="1"/>
  <c r="B5569" i="106"/>
  <c r="D5569" i="106" s="1"/>
  <c r="F21" i="34"/>
  <c r="F88" i="34"/>
  <c r="B6312" i="106"/>
  <c r="D6312" i="106" s="1"/>
  <c r="B4884" i="106"/>
  <c r="D4884" i="106" s="1"/>
  <c r="L137" i="29"/>
  <c r="L139" i="29" s="1"/>
  <c r="B1420" i="106"/>
  <c r="D1420" i="106" s="1"/>
  <c r="K242" i="29"/>
  <c r="B1484" i="106" s="1"/>
  <c r="D1484" i="106" s="1"/>
  <c r="B1311" i="106"/>
  <c r="D1311" i="106" s="1"/>
  <c r="K164" i="29"/>
  <c r="B1325" i="106" s="1"/>
  <c r="D1325" i="106" s="1"/>
  <c r="K189" i="29"/>
  <c r="B3008" i="106" s="1"/>
  <c r="D3008" i="106" s="1"/>
  <c r="B2990" i="106"/>
  <c r="D2990" i="106" s="1"/>
  <c r="B6740" i="106"/>
  <c r="D6740" i="106" s="1"/>
  <c r="B6715" i="106"/>
  <c r="D6715" i="106" s="1"/>
  <c r="B6705" i="106"/>
  <c r="D6705" i="106" s="1"/>
  <c r="B6709" i="106"/>
  <c r="D6709" i="106" s="1"/>
  <c r="F161" i="34"/>
  <c r="B7868" i="106" s="1"/>
  <c r="D7868" i="106" s="1"/>
  <c r="B5705" i="106"/>
  <c r="D5705" i="106" s="1"/>
  <c r="B5757" i="106"/>
  <c r="D5757" i="106" s="1"/>
  <c r="B6147" i="106"/>
  <c r="D6147" i="106" s="1"/>
  <c r="B4421" i="106"/>
  <c r="D4421" i="106" s="1"/>
  <c r="G175" i="5"/>
  <c r="B5780" i="106" s="1"/>
  <c r="D5780" i="106" s="1"/>
  <c r="B5779" i="106"/>
  <c r="D5779" i="106" s="1"/>
  <c r="B4343" i="106"/>
  <c r="D4343" i="106" s="1"/>
  <c r="B6245" i="106"/>
  <c r="D6245" i="106" s="1"/>
  <c r="L229" i="29"/>
  <c r="B5370" i="106"/>
  <c r="D5370" i="106" s="1"/>
  <c r="D141" i="5"/>
  <c r="B7101" i="106"/>
  <c r="D7101" i="106" s="1"/>
  <c r="B7731" i="106"/>
  <c r="D7731" i="106" s="1"/>
  <c r="F135" i="34"/>
  <c r="B6627" i="106"/>
  <c r="D6627" i="106" s="1"/>
  <c r="B6669" i="106"/>
  <c r="D6669" i="106" s="1"/>
  <c r="B104" i="106"/>
  <c r="D104" i="106" s="1"/>
  <c r="B4946" i="106"/>
  <c r="D4946" i="106" s="1"/>
  <c r="B5736" i="106"/>
  <c r="D5736" i="106" s="1"/>
  <c r="B2762" i="106"/>
  <c r="D2762" i="106" s="1"/>
  <c r="B5821" i="106"/>
  <c r="D5821" i="106" s="1"/>
  <c r="B6653" i="106"/>
  <c r="D6653" i="106" s="1"/>
  <c r="B5739" i="106"/>
  <c r="D5739" i="106" s="1"/>
  <c r="L84" i="29"/>
  <c r="L102" i="29" s="1"/>
  <c r="B5627" i="106"/>
  <c r="D5627" i="106" s="1"/>
  <c r="F13" i="3"/>
  <c r="B157" i="106" s="1"/>
  <c r="D157" i="106" s="1"/>
  <c r="D37" i="36"/>
  <c r="B3419" i="106"/>
  <c r="D3419" i="106" s="1"/>
  <c r="B1431" i="106"/>
  <c r="D1431" i="106" s="1"/>
  <c r="K266" i="29"/>
  <c r="B1495" i="106" s="1"/>
  <c r="D1495" i="106" s="1"/>
  <c r="B4864" i="106"/>
  <c r="D4864" i="106" s="1"/>
  <c r="B6758" i="106"/>
  <c r="D6758" i="106" s="1"/>
  <c r="B4806" i="106"/>
  <c r="D4806" i="106" s="1"/>
  <c r="B7024" i="106"/>
  <c r="D7024" i="106" s="1"/>
  <c r="I127" i="29"/>
  <c r="B7033" i="106" s="1"/>
  <c r="D7033" i="106" s="1"/>
  <c r="B15" i="7"/>
  <c r="D15" i="7" s="1"/>
  <c r="B1772" i="106" s="1"/>
  <c r="D1772" i="106" s="1"/>
  <c r="B5332" i="106"/>
  <c r="D5332" i="106" s="1"/>
  <c r="B5791" i="106"/>
  <c r="D5791" i="106" s="1"/>
  <c r="B6812" i="106"/>
  <c r="D6812" i="106" s="1"/>
  <c r="B6814" i="106"/>
  <c r="D6814" i="106" s="1"/>
  <c r="B2981" i="106"/>
  <c r="D2981" i="106" s="1"/>
  <c r="B2840" i="106"/>
  <c r="D2840" i="106" s="1"/>
  <c r="B5696" i="106"/>
  <c r="D5696" i="106" s="1"/>
  <c r="B6644" i="106"/>
  <c r="D6644" i="106" s="1"/>
  <c r="B6161" i="106"/>
  <c r="D6161" i="106" s="1"/>
  <c r="B6104" i="106"/>
  <c r="D6104" i="106" s="1"/>
  <c r="B2800" i="106"/>
  <c r="D2800" i="106" s="1"/>
  <c r="B6678" i="106"/>
  <c r="D6678" i="106" s="1"/>
  <c r="B4078" i="106"/>
  <c r="D4078" i="106" s="1"/>
  <c r="H194" i="29"/>
  <c r="H196" i="29" s="1"/>
  <c r="B2995" i="106"/>
  <c r="D2995" i="106" s="1"/>
  <c r="B7751" i="106"/>
  <c r="D7751" i="106" s="1"/>
  <c r="F44" i="4"/>
  <c r="F31" i="34"/>
  <c r="B7824" i="106" s="1"/>
  <c r="D217" i="5"/>
  <c r="B5470" i="106" s="1"/>
  <c r="D5470" i="106" s="1"/>
  <c r="B5458" i="106"/>
  <c r="D5458" i="106" s="1"/>
  <c r="B1434" i="106"/>
  <c r="D1434" i="106" s="1"/>
  <c r="K269" i="29"/>
  <c r="B1498" i="106" s="1"/>
  <c r="D1498" i="106" s="1"/>
  <c r="F31" i="108"/>
  <c r="D31" i="108"/>
  <c r="B6708" i="106"/>
  <c r="D6708" i="106" s="1"/>
  <c r="G76" i="4"/>
  <c r="B3260" i="106" s="1"/>
  <c r="D3260" i="106" s="1"/>
  <c r="B3259" i="106"/>
  <c r="D3259" i="106" s="1"/>
  <c r="F85" i="34"/>
  <c r="F63" i="5"/>
  <c r="B5579" i="106" s="1"/>
  <c r="D5579" i="106" s="1"/>
  <c r="B5563" i="106"/>
  <c r="D5563" i="106" s="1"/>
  <c r="B7816" i="106"/>
  <c r="D7816" i="106" s="1"/>
  <c r="B4316" i="106"/>
  <c r="D4316" i="106" s="1"/>
  <c r="B6675" i="106"/>
  <c r="D6675" i="106" s="1"/>
  <c r="F141" i="34"/>
  <c r="E184" i="29"/>
  <c r="B1351" i="106" s="1"/>
  <c r="D1351" i="106" s="1"/>
  <c r="B4083" i="106"/>
  <c r="D4083" i="106" s="1"/>
  <c r="K289" i="29"/>
  <c r="B1513" i="106" s="1"/>
  <c r="D1513" i="106" s="1"/>
  <c r="B1450" i="106"/>
  <c r="D1450" i="106" s="1"/>
  <c r="L65" i="29"/>
  <c r="B7662" i="106"/>
  <c r="D7662" i="106" s="1"/>
  <c r="B6369" i="106"/>
  <c r="D6369" i="106" s="1"/>
  <c r="B5654" i="106"/>
  <c r="D5654" i="106" s="1"/>
  <c r="F175" i="5"/>
  <c r="B5655" i="106" s="1"/>
  <c r="D5655" i="106" s="1"/>
  <c r="B6100" i="106"/>
  <c r="D6100" i="106" s="1"/>
  <c r="K236" i="29"/>
  <c r="B1479" i="106" s="1"/>
  <c r="D1479" i="106" s="1"/>
  <c r="B1415" i="106"/>
  <c r="D1415" i="106" s="1"/>
  <c r="F184" i="29"/>
  <c r="B4084" i="106"/>
  <c r="D4084" i="106" s="1"/>
  <c r="B5729" i="106"/>
  <c r="D5729" i="106" s="1"/>
  <c r="B1240" i="106"/>
  <c r="D1240" i="106" s="1"/>
  <c r="B4947" i="106"/>
  <c r="D4947" i="106" s="1"/>
  <c r="B6733" i="106"/>
  <c r="D6733" i="106" s="1"/>
  <c r="B164" i="106"/>
  <c r="D164" i="106" s="1"/>
  <c r="B2802" i="106"/>
  <c r="D2802" i="106" s="1"/>
  <c r="B1268" i="106"/>
  <c r="D1268" i="106" s="1"/>
  <c r="K142" i="29"/>
  <c r="B1283" i="106" s="1"/>
  <c r="D1283" i="106" s="1"/>
  <c r="H147" i="29"/>
  <c r="K53" i="4"/>
  <c r="B3703" i="106" s="1"/>
  <c r="D3703" i="106" s="1"/>
  <c r="B3699" i="106"/>
  <c r="D3699" i="106" s="1"/>
  <c r="B6332" i="106"/>
  <c r="D6332" i="106" s="1"/>
  <c r="H108" i="5"/>
  <c r="B5886" i="106" s="1"/>
  <c r="D5886" i="106" s="1"/>
  <c r="B5882" i="106"/>
  <c r="D5882" i="106" s="1"/>
  <c r="B6647" i="106"/>
  <c r="D6647" i="106" s="1"/>
  <c r="B5058" i="106"/>
  <c r="D5058" i="106" s="1"/>
  <c r="B5586" i="106"/>
  <c r="D5586" i="106" s="1"/>
  <c r="B7674" i="106"/>
  <c r="D7674" i="106" s="1"/>
  <c r="F28" i="34"/>
  <c r="B6315" i="106"/>
  <c r="D6315" i="106" s="1"/>
  <c r="B6292" i="106"/>
  <c r="D6292" i="106" s="1"/>
  <c r="B4337" i="106"/>
  <c r="D4337" i="106" s="1"/>
  <c r="F120" i="34"/>
  <c r="B7854" i="106" s="1"/>
  <c r="D7854" i="106" s="1"/>
  <c r="B4318" i="106"/>
  <c r="D4318" i="106" s="1"/>
  <c r="H137" i="29"/>
  <c r="H139" i="29" s="1"/>
  <c r="B1267" i="106" s="1"/>
  <c r="D1267" i="106" s="1"/>
  <c r="B7775" i="106"/>
  <c r="D7775" i="106" s="1"/>
  <c r="B6393" i="106"/>
  <c r="D6393" i="106" s="1"/>
  <c r="B7661" i="106"/>
  <c r="D7661" i="106" s="1"/>
  <c r="B1409" i="106"/>
  <c r="D1409" i="106" s="1"/>
  <c r="K224" i="29"/>
  <c r="H127" i="29"/>
  <c r="B1264" i="106" s="1"/>
  <c r="D1264" i="106" s="1"/>
  <c r="B1260" i="106"/>
  <c r="D1260" i="106" s="1"/>
  <c r="B7097" i="106"/>
  <c r="D7097" i="106" s="1"/>
  <c r="K256" i="29"/>
  <c r="B7098" i="106" s="1"/>
  <c r="D7098" i="106" s="1"/>
  <c r="F266" i="5"/>
  <c r="B5713" i="106" s="1"/>
  <c r="D5713" i="106" s="1"/>
  <c r="C129" i="29"/>
  <c r="F67" i="34"/>
  <c r="B7074" i="106"/>
  <c r="D7074" i="106" s="1"/>
  <c r="G129" i="29"/>
  <c r="B7778" i="106"/>
  <c r="D7778" i="106" s="1"/>
  <c r="K160" i="29"/>
  <c r="B5614" i="106"/>
  <c r="D5614" i="106" s="1"/>
  <c r="F169" i="5"/>
  <c r="K33" i="29"/>
  <c r="B7763" i="106"/>
  <c r="D7763" i="106" s="1"/>
  <c r="B7064" i="106"/>
  <c r="D7064" i="106" s="1"/>
  <c r="J210" i="29"/>
  <c r="B7072" i="106" s="1"/>
  <c r="D7072" i="106" s="1"/>
  <c r="B1511" i="106"/>
  <c r="D1511" i="106" s="1"/>
  <c r="G14" i="4"/>
  <c r="B2609" i="106" s="1"/>
  <c r="D2609" i="106" s="1"/>
  <c r="F72" i="34"/>
  <c r="B4412" i="106"/>
  <c r="D4412" i="106" s="1"/>
  <c r="F128" i="34"/>
  <c r="B7860" i="106" s="1"/>
  <c r="D7860" i="106" s="1"/>
  <c r="B1314" i="106"/>
  <c r="D1314" i="106" s="1"/>
  <c r="H172" i="29"/>
  <c r="B1747" i="106"/>
  <c r="D1747" i="106" s="1"/>
  <c r="D7" i="7"/>
  <c r="B1763" i="106" s="1"/>
  <c r="D1763" i="106" s="1"/>
  <c r="B1329" i="106"/>
  <c r="D1329" i="106" s="1"/>
  <c r="F61" i="34"/>
  <c r="H295" i="29"/>
  <c r="B1454" i="106" s="1"/>
  <c r="D1454" i="106" s="1"/>
  <c r="B1452" i="106"/>
  <c r="D1452" i="106" s="1"/>
  <c r="G312" i="29"/>
  <c r="B1548" i="106" s="1"/>
  <c r="D1548" i="106" s="1"/>
  <c r="B1547" i="106"/>
  <c r="D1547" i="106" s="1"/>
  <c r="B1417" i="106"/>
  <c r="D1417" i="106" s="1"/>
  <c r="B3390" i="106"/>
  <c r="D3390" i="106" s="1"/>
  <c r="B6838" i="106"/>
  <c r="D6838" i="106" s="1"/>
  <c r="B5394" i="106"/>
  <c r="D5394" i="106" s="1"/>
  <c r="B1535" i="106"/>
  <c r="D1535" i="106" s="1"/>
  <c r="E312" i="29"/>
  <c r="B1536" i="106" s="1"/>
  <c r="D1536" i="106" s="1"/>
  <c r="G5" i="4"/>
  <c r="B3409" i="106" s="1"/>
  <c r="D3409" i="106" s="1"/>
  <c r="B5741" i="106"/>
  <c r="D5741" i="106" s="1"/>
  <c r="D210" i="29"/>
  <c r="B1346" i="106" s="1"/>
  <c r="D1346" i="106" s="1"/>
  <c r="B1345" i="106"/>
  <c r="D1345" i="106" s="1"/>
  <c r="B1324" i="106"/>
  <c r="D1324" i="106" s="1"/>
  <c r="B1529" i="106"/>
  <c r="D1529" i="106" s="1"/>
  <c r="D312" i="29"/>
  <c r="B1530" i="106" s="1"/>
  <c r="D1530" i="106" s="1"/>
  <c r="B5360" i="106"/>
  <c r="D5360" i="106" s="1"/>
  <c r="D5" i="4"/>
  <c r="B3406" i="106" s="1"/>
  <c r="D3406" i="106" s="1"/>
  <c r="D14" i="7"/>
  <c r="B1770" i="106" s="1"/>
  <c r="D1770" i="106" s="1"/>
  <c r="B1754" i="106"/>
  <c r="D1754" i="106" s="1"/>
  <c r="D6" i="7"/>
  <c r="B1762" i="106" s="1"/>
  <c r="D1762" i="106" s="1"/>
  <c r="B1746" i="106"/>
  <c r="D1746" i="106" s="1"/>
  <c r="B5369" i="106"/>
  <c r="D5369" i="106" s="1"/>
  <c r="D169" i="5"/>
  <c r="F106" i="34"/>
  <c r="B7842" i="106" s="1"/>
  <c r="D7842" i="106" s="1"/>
  <c r="B1383" i="106"/>
  <c r="D1383" i="106" s="1"/>
  <c r="F96" i="34"/>
  <c r="B7784" i="106"/>
  <c r="D7784" i="106" s="1"/>
  <c r="B5425" i="106"/>
  <c r="D5425" i="106" s="1"/>
  <c r="J312" i="29"/>
  <c r="B7117" i="106" s="1"/>
  <c r="D7117" i="106" s="1"/>
  <c r="B7104" i="106"/>
  <c r="D7104" i="106" s="1"/>
  <c r="D5" i="7"/>
  <c r="B1745" i="106"/>
  <c r="D1745" i="106" s="1"/>
  <c r="B4156" i="106"/>
  <c r="D4156" i="106" s="1"/>
  <c r="B5725" i="106"/>
  <c r="D5725" i="106" s="1"/>
  <c r="B3702" i="106"/>
  <c r="D3702" i="106" s="1"/>
  <c r="B5534" i="106"/>
  <c r="D5534" i="106" s="1"/>
  <c r="E170" i="5"/>
  <c r="F68" i="34"/>
  <c r="B7076" i="106"/>
  <c r="D7076" i="106" s="1"/>
  <c r="B1489" i="106"/>
  <c r="D1489" i="106" s="1"/>
  <c r="B1470" i="106"/>
  <c r="D1470" i="106" s="1"/>
  <c r="F70" i="34"/>
  <c r="B1473" i="106"/>
  <c r="D1473" i="106" s="1"/>
  <c r="F71" i="34"/>
  <c r="B3007" i="106"/>
  <c r="D3007" i="106" s="1"/>
  <c r="B6835" i="106"/>
  <c r="D6835" i="106" s="1"/>
  <c r="E266" i="5"/>
  <c r="B1308" i="106"/>
  <c r="D1308" i="106" s="1"/>
  <c r="E174" i="29"/>
  <c r="B1309" i="106" s="1"/>
  <c r="D1309" i="106" s="1"/>
  <c r="B1523" i="106"/>
  <c r="D1523" i="106" s="1"/>
  <c r="C312" i="29"/>
  <c r="B1524" i="106" s="1"/>
  <c r="D1524" i="106" s="1"/>
  <c r="B4087" i="106"/>
  <c r="D4087" i="106" s="1"/>
  <c r="B7063" i="106"/>
  <c r="D7063" i="106" s="1"/>
  <c r="B2091" i="106"/>
  <c r="D2091" i="106" s="1"/>
  <c r="B1276" i="106"/>
  <c r="D1276" i="106" s="1"/>
  <c r="F28" i="108"/>
  <c r="E28" i="108"/>
  <c r="B2823" i="106"/>
  <c r="D2823" i="106" s="1"/>
  <c r="E39" i="108"/>
  <c r="G39" i="108"/>
  <c r="F56" i="34"/>
  <c r="B7832" i="106" s="1"/>
  <c r="D7832" i="106" s="1"/>
  <c r="B2805" i="106"/>
  <c r="D2805" i="106" s="1"/>
  <c r="D14" i="4"/>
  <c r="B2570" i="106" s="1"/>
  <c r="D2570" i="106" s="1"/>
  <c r="F312" i="29"/>
  <c r="B1542" i="106" s="1"/>
  <c r="D1542" i="106" s="1"/>
  <c r="B1541" i="106"/>
  <c r="D1541" i="106" s="1"/>
  <c r="B5893" i="106"/>
  <c r="D5893" i="106" s="1"/>
  <c r="B1482" i="106"/>
  <c r="D1482" i="106" s="1"/>
  <c r="K243" i="29"/>
  <c r="B1485" i="106" s="1"/>
  <c r="D1485" i="106" s="1"/>
  <c r="B3446" i="106"/>
  <c r="D3446" i="106" s="1"/>
  <c r="D16" i="7"/>
  <c r="B3447" i="106" s="1"/>
  <c r="D3447" i="106" s="1"/>
  <c r="E26" i="108"/>
  <c r="F15" i="184"/>
  <c r="G26" i="108"/>
  <c r="K293" i="29"/>
  <c r="B1512" i="106"/>
  <c r="D1512" i="106" s="1"/>
  <c r="A7267" i="106"/>
  <c r="D7266" i="106"/>
  <c r="D41" i="108" l="1"/>
  <c r="E43" i="108" s="1"/>
  <c r="F41" i="108"/>
  <c r="G43" i="108" s="1"/>
  <c r="B1751" i="106"/>
  <c r="D1751" i="106" s="1"/>
  <c r="L74" i="29"/>
  <c r="D279" i="29"/>
  <c r="K261" i="29"/>
  <c r="B1491" i="106" s="1"/>
  <c r="D1491" i="106" s="1"/>
  <c r="I129" i="29"/>
  <c r="K194" i="29"/>
  <c r="B2837" i="106" s="1"/>
  <c r="D2837" i="106" s="1"/>
  <c r="K204" i="29"/>
  <c r="K270" i="29"/>
  <c r="B1500" i="106" s="1"/>
  <c r="D1500" i="106" s="1"/>
  <c r="K285" i="29"/>
  <c r="F158" i="34"/>
  <c r="B7866" i="106" s="1"/>
  <c r="D7866" i="106" s="1"/>
  <c r="H170" i="5"/>
  <c r="B5906" i="106" s="1"/>
  <c r="D5906" i="106" s="1"/>
  <c r="B5592" i="106"/>
  <c r="D5592" i="106" s="1"/>
  <c r="B3725" i="106"/>
  <c r="D3725" i="106" s="1"/>
  <c r="B7103" i="106"/>
  <c r="D7103" i="106" s="1"/>
  <c r="K277" i="29"/>
  <c r="B1508" i="106" s="1"/>
  <c r="D1508" i="106" s="1"/>
  <c r="K257" i="29"/>
  <c r="B1488" i="106" s="1"/>
  <c r="D1488" i="106" s="1"/>
  <c r="K229" i="29"/>
  <c r="F69" i="34"/>
  <c r="B2828" i="106"/>
  <c r="D2828" i="106" s="1"/>
  <c r="G38" i="108"/>
  <c r="G29" i="108"/>
  <c r="K184" i="29"/>
  <c r="B1381" i="106" s="1"/>
  <c r="D1381" i="106" s="1"/>
  <c r="E38" i="108"/>
  <c r="B1339" i="106"/>
  <c r="D1339" i="106" s="1"/>
  <c r="B1364" i="106"/>
  <c r="D1364" i="106" s="1"/>
  <c r="K168" i="29"/>
  <c r="L151" i="29"/>
  <c r="K147" i="29"/>
  <c r="B1280" i="106"/>
  <c r="D1280" i="106" s="1"/>
  <c r="F129" i="29"/>
  <c r="B3488" i="106"/>
  <c r="D3488" i="106" s="1"/>
  <c r="E29" i="108"/>
  <c r="K127" i="29"/>
  <c r="B1279" i="106" s="1"/>
  <c r="D1279" i="106" s="1"/>
  <c r="L114" i="29"/>
  <c r="B19" i="7"/>
  <c r="B1759" i="106" s="1"/>
  <c r="D1759" i="106" s="1"/>
  <c r="B1756" i="106"/>
  <c r="D1756" i="106" s="1"/>
  <c r="F127" i="34"/>
  <c r="B7859" i="106" s="1"/>
  <c r="D7859" i="106" s="1"/>
  <c r="D266" i="5"/>
  <c r="B5501" i="106" s="1"/>
  <c r="D5501" i="106" s="1"/>
  <c r="F112" i="34"/>
  <c r="B7847" i="106" s="1"/>
  <c r="D7847" i="106" s="1"/>
  <c r="B5756" i="106"/>
  <c r="D5756" i="106" s="1"/>
  <c r="F109" i="5"/>
  <c r="F4" i="4" s="1"/>
  <c r="B2591" i="106" s="1"/>
  <c r="D2591" i="106" s="1"/>
  <c r="G109" i="5"/>
  <c r="G4" i="4" s="1"/>
  <c r="B2603" i="106" s="1"/>
  <c r="D2603" i="106" s="1"/>
  <c r="E44" i="4"/>
  <c r="B3274" i="106" s="1"/>
  <c r="D3274" i="106" s="1"/>
  <c r="D77" i="4"/>
  <c r="B3238" i="106" s="1"/>
  <c r="D3238" i="106" s="1"/>
  <c r="B3235" i="106"/>
  <c r="D3235" i="106" s="1"/>
  <c r="G77" i="4"/>
  <c r="B3261" i="106" s="1"/>
  <c r="D3261" i="106" s="1"/>
  <c r="K76" i="4"/>
  <c r="K77" i="4" s="1"/>
  <c r="I76" i="4"/>
  <c r="I77" i="4" s="1"/>
  <c r="F267" i="5"/>
  <c r="F7" i="4" s="1"/>
  <c r="H312" i="29"/>
  <c r="B1554" i="106" s="1"/>
  <c r="D1554" i="106" s="1"/>
  <c r="B1553" i="106"/>
  <c r="D1553" i="106" s="1"/>
  <c r="L279" i="29"/>
  <c r="L295" i="29" s="1"/>
  <c r="L312" i="29"/>
  <c r="F126" i="34"/>
  <c r="B7858" i="106" s="1"/>
  <c r="D7858" i="106" s="1"/>
  <c r="B6409" i="106"/>
  <c r="D6409" i="106" s="1"/>
  <c r="J151" i="29"/>
  <c r="B7052" i="106" s="1"/>
  <c r="D7052" i="106" s="1"/>
  <c r="B7038" i="106"/>
  <c r="D7038" i="106" s="1"/>
  <c r="G266" i="5"/>
  <c r="B4398" i="106"/>
  <c r="D4398" i="106" s="1"/>
  <c r="G21" i="108"/>
  <c r="B4080" i="106"/>
  <c r="D4080" i="106" s="1"/>
  <c r="B7107" i="106"/>
  <c r="D7107" i="106" s="1"/>
  <c r="K310" i="29"/>
  <c r="B836" i="106"/>
  <c r="D836" i="106" s="1"/>
  <c r="E114" i="29"/>
  <c r="B873" i="106" s="1"/>
  <c r="D873" i="106" s="1"/>
  <c r="H129" i="29"/>
  <c r="E24" i="108"/>
  <c r="G24" i="108"/>
  <c r="B1427" i="106"/>
  <c r="D1427" i="106" s="1"/>
  <c r="B5334" i="106"/>
  <c r="D5334" i="106" s="1"/>
  <c r="D109" i="5"/>
  <c r="D129" i="29"/>
  <c r="H44" i="4"/>
  <c r="F125" i="34"/>
  <c r="B7857" i="106" s="1"/>
  <c r="D7857" i="106" s="1"/>
  <c r="B4396" i="106"/>
  <c r="D4396" i="106" s="1"/>
  <c r="E139" i="29"/>
  <c r="B4203" i="106" s="1"/>
  <c r="D4203" i="106" s="1"/>
  <c r="B4202" i="106"/>
  <c r="D4202" i="106" s="1"/>
  <c r="G23" i="108"/>
  <c r="E23" i="108"/>
  <c r="B1424" i="106"/>
  <c r="D1424" i="106" s="1"/>
  <c r="F64" i="34"/>
  <c r="B4211" i="106"/>
  <c r="D4211" i="106" s="1"/>
  <c r="G169" i="5"/>
  <c r="B5752" i="106"/>
  <c r="D5752" i="106" s="1"/>
  <c r="C151" i="29"/>
  <c r="B1226" i="106" s="1"/>
  <c r="D1226" i="106" s="1"/>
  <c r="B1225" i="106"/>
  <c r="D1225" i="106" s="1"/>
  <c r="H149" i="29"/>
  <c r="B1272" i="106" s="1"/>
  <c r="D1272" i="106" s="1"/>
  <c r="B7047" i="106"/>
  <c r="D7047" i="106" s="1"/>
  <c r="B3252" i="106"/>
  <c r="D3252" i="106" s="1"/>
  <c r="F77" i="4"/>
  <c r="B3255" i="106" s="1"/>
  <c r="D3255" i="106" s="1"/>
  <c r="H109" i="5"/>
  <c r="B5873" i="106"/>
  <c r="D5873" i="106" s="1"/>
  <c r="E129" i="29"/>
  <c r="K303" i="29"/>
  <c r="B1555" i="106"/>
  <c r="D1555" i="106" s="1"/>
  <c r="H76" i="4"/>
  <c r="B3298" i="106" s="1"/>
  <c r="D3298" i="106" s="1"/>
  <c r="F133" i="34"/>
  <c r="B7865" i="106" s="1"/>
  <c r="D7865" i="106" s="1"/>
  <c r="B5488" i="106"/>
  <c r="D5488" i="106" s="1"/>
  <c r="B7776" i="106"/>
  <c r="D7776" i="106" s="1"/>
  <c r="K137" i="29"/>
  <c r="G22" i="108"/>
  <c r="B1421" i="106"/>
  <c r="D1421" i="106" s="1"/>
  <c r="E22" i="108"/>
  <c r="B1358" i="106"/>
  <c r="D1358" i="106" s="1"/>
  <c r="F210" i="29"/>
  <c r="B1359" i="106" s="1"/>
  <c r="D1359" i="106" s="1"/>
  <c r="F107" i="34"/>
  <c r="B7843" i="106" s="1"/>
  <c r="D7843" i="106" s="1"/>
  <c r="B5383" i="106"/>
  <c r="D5383" i="106" s="1"/>
  <c r="B1475" i="106"/>
  <c r="D1475" i="106" s="1"/>
  <c r="K238" i="29"/>
  <c r="E109" i="5"/>
  <c r="B5513" i="106"/>
  <c r="D5513" i="106" s="1"/>
  <c r="L210" i="29"/>
  <c r="B2830" i="106"/>
  <c r="D2830" i="106" s="1"/>
  <c r="H210" i="29"/>
  <c r="B1376" i="106" s="1"/>
  <c r="D1376" i="106" s="1"/>
  <c r="D170" i="5"/>
  <c r="B5412" i="106"/>
  <c r="D5412" i="106" s="1"/>
  <c r="H174" i="29"/>
  <c r="B1318" i="106" s="1"/>
  <c r="D1318" i="106" s="1"/>
  <c r="B1317" i="106"/>
  <c r="D1317" i="106" s="1"/>
  <c r="F73" i="34"/>
  <c r="B3724" i="106"/>
  <c r="D3724" i="106" s="1"/>
  <c r="G15" i="4"/>
  <c r="B6032" i="106" s="1"/>
  <c r="D6032" i="106" s="1"/>
  <c r="H15" i="184"/>
  <c r="H19" i="184" s="1"/>
  <c r="L20" i="184" s="1"/>
  <c r="F19" i="184"/>
  <c r="E210" i="29"/>
  <c r="B1353" i="106" s="1"/>
  <c r="D1353" i="106" s="1"/>
  <c r="B1352" i="106"/>
  <c r="D1352" i="106" s="1"/>
  <c r="H267" i="5"/>
  <c r="B4441" i="106"/>
  <c r="D4441" i="106" s="1"/>
  <c r="B7071" i="106"/>
  <c r="D7071" i="106" s="1"/>
  <c r="F66" i="34"/>
  <c r="B7838" i="106"/>
  <c r="D7838" i="106" s="1"/>
  <c r="F65" i="34"/>
  <c r="B1365" i="106"/>
  <c r="D1365" i="106" s="1"/>
  <c r="F60" i="34"/>
  <c r="E15" i="4"/>
  <c r="B1323" i="106"/>
  <c r="D1323" i="106" s="1"/>
  <c r="K129" i="29"/>
  <c r="B5644" i="106"/>
  <c r="D5644" i="106" s="1"/>
  <c r="F170" i="5"/>
  <c r="B1474" i="106"/>
  <c r="D1474" i="106" s="1"/>
  <c r="G12" i="4"/>
  <c r="B2607" i="106" s="1"/>
  <c r="D2607" i="106" s="1"/>
  <c r="B7747" i="106"/>
  <c r="D7747" i="106" s="1"/>
  <c r="E267" i="5"/>
  <c r="E6" i="4"/>
  <c r="B2631" i="106" s="1"/>
  <c r="D2631" i="106" s="1"/>
  <c r="B5544" i="106"/>
  <c r="D5544" i="106" s="1"/>
  <c r="K172" i="29"/>
  <c r="B1328" i="106"/>
  <c r="D1328" i="106" s="1"/>
  <c r="D295" i="29"/>
  <c r="B1448" i="106" s="1"/>
  <c r="D1448" i="106" s="1"/>
  <c r="B1446" i="106"/>
  <c r="D1446" i="106" s="1"/>
  <c r="C12" i="4"/>
  <c r="K114" i="29"/>
  <c r="B1108" i="106"/>
  <c r="D1108" i="106" s="1"/>
  <c r="E19" i="108"/>
  <c r="G19" i="108"/>
  <c r="D19" i="7"/>
  <c r="B1775" i="106" s="1"/>
  <c r="D1775" i="106" s="1"/>
  <c r="B1761" i="106"/>
  <c r="D1761" i="106" s="1"/>
  <c r="B4157" i="106"/>
  <c r="D4157" i="106" s="1"/>
  <c r="K208" i="29"/>
  <c r="B1258" i="106"/>
  <c r="D1258" i="106" s="1"/>
  <c r="G151" i="29"/>
  <c r="B1515" i="106"/>
  <c r="D1515" i="106" s="1"/>
  <c r="G16" i="4"/>
  <c r="B2611" i="106" s="1"/>
  <c r="D2611" i="106" s="1"/>
  <c r="B7037" i="106"/>
  <c r="D7037" i="106" s="1"/>
  <c r="I151" i="29"/>
  <c r="A7268" i="106"/>
  <c r="D7267" i="106"/>
  <c r="K196" i="29" l="1"/>
  <c r="F13" i="4"/>
  <c r="B2596" i="106" s="1"/>
  <c r="D2596" i="106" s="1"/>
  <c r="H6" i="4"/>
  <c r="B2656" i="106" s="1"/>
  <c r="D2656" i="106" s="1"/>
  <c r="K149" i="29"/>
  <c r="B7048" i="106"/>
  <c r="D7048" i="106" s="1"/>
  <c r="B1249" i="106"/>
  <c r="D1249" i="106" s="1"/>
  <c r="F151" i="29"/>
  <c r="B1250" i="106" s="1"/>
  <c r="D1250" i="106" s="1"/>
  <c r="B5719" i="106"/>
  <c r="D5719" i="106" s="1"/>
  <c r="D267" i="5"/>
  <c r="D268" i="5" s="1"/>
  <c r="F175" i="34"/>
  <c r="B7877" i="106" s="1"/>
  <c r="D7877" i="106" s="1"/>
  <c r="B6024" i="106"/>
  <c r="D6024" i="106" s="1"/>
  <c r="B5588" i="106"/>
  <c r="D5588" i="106" s="1"/>
  <c r="F268" i="5"/>
  <c r="B5720" i="106" s="1"/>
  <c r="D5720" i="106" s="1"/>
  <c r="B3318" i="106"/>
  <c r="D3318" i="106" s="1"/>
  <c r="E77" i="4"/>
  <c r="B3277" i="106" s="1"/>
  <c r="D3277" i="106" s="1"/>
  <c r="B3586" i="106"/>
  <c r="D3586" i="106" s="1"/>
  <c r="H151" i="29"/>
  <c r="B1273" i="106" s="1"/>
  <c r="D1273" i="106" s="1"/>
  <c r="B1266" i="106"/>
  <c r="D1266" i="106" s="1"/>
  <c r="E41" i="108"/>
  <c r="E44" i="108" s="1"/>
  <c r="E45" i="108" s="1"/>
  <c r="B1233" i="106"/>
  <c r="D1233" i="106" s="1"/>
  <c r="D151" i="29"/>
  <c r="B1234" i="106" s="1"/>
  <c r="D1234" i="106" s="1"/>
  <c r="B2102" i="106"/>
  <c r="D2102" i="106" s="1"/>
  <c r="H15" i="4"/>
  <c r="B2660" i="106" s="1"/>
  <c r="D2660" i="106" s="1"/>
  <c r="K312" i="29"/>
  <c r="B1560" i="106" s="1"/>
  <c r="D1560" i="106" s="1"/>
  <c r="H13" i="4"/>
  <c r="B1559" i="106"/>
  <c r="D1559" i="106" s="1"/>
  <c r="B1481" i="106"/>
  <c r="D1481" i="106" s="1"/>
  <c r="K279" i="29"/>
  <c r="B1241" i="106"/>
  <c r="D1241" i="106" s="1"/>
  <c r="E151" i="29"/>
  <c r="B1242" i="106" s="1"/>
  <c r="D1242" i="106" s="1"/>
  <c r="D4" i="4"/>
  <c r="B2564" i="106" s="1"/>
  <c r="D2564" i="106" s="1"/>
  <c r="B5356" i="106"/>
  <c r="D5356" i="106" s="1"/>
  <c r="E4" i="4"/>
  <c r="B2630" i="106" s="1"/>
  <c r="D2630" i="106" s="1"/>
  <c r="B5527" i="106"/>
  <c r="D5527" i="106" s="1"/>
  <c r="B2093" i="106"/>
  <c r="D2093" i="106" s="1"/>
  <c r="K139" i="29"/>
  <c r="B6025" i="106"/>
  <c r="D6025" i="106" s="1"/>
  <c r="H4" i="4"/>
  <c r="B2655" i="106" s="1"/>
  <c r="D2655" i="106" s="1"/>
  <c r="G170" i="5"/>
  <c r="B5770" i="106"/>
  <c r="D5770" i="106" s="1"/>
  <c r="B5863" i="106"/>
  <c r="D5863" i="106" s="1"/>
  <c r="G267" i="5"/>
  <c r="G41" i="108"/>
  <c r="G44" i="108" s="1"/>
  <c r="G45" i="108" s="1"/>
  <c r="B3296" i="106"/>
  <c r="D3296" i="106" s="1"/>
  <c r="H77" i="4"/>
  <c r="B3299" i="106" s="1"/>
  <c r="D3299" i="106" s="1"/>
  <c r="F58" i="34"/>
  <c r="B1259" i="106"/>
  <c r="D1259" i="106" s="1"/>
  <c r="K78" i="4"/>
  <c r="B3587" i="106"/>
  <c r="D3587" i="106" s="1"/>
  <c r="B7051" i="106"/>
  <c r="D7051" i="106" s="1"/>
  <c r="F59" i="34"/>
  <c r="F17" i="11"/>
  <c r="K210" i="29"/>
  <c r="B1387" i="106"/>
  <c r="D1387" i="106" s="1"/>
  <c r="F16" i="4"/>
  <c r="B2599" i="106" s="1"/>
  <c r="D2599" i="106" s="1"/>
  <c r="C17" i="4"/>
  <c r="B2556" i="106"/>
  <c r="D2556" i="106" s="1"/>
  <c r="B3319" i="106"/>
  <c r="D3319" i="106" s="1"/>
  <c r="I78" i="4"/>
  <c r="F63" i="34"/>
  <c r="F15" i="4"/>
  <c r="B1382" i="106"/>
  <c r="D1382" i="106" s="1"/>
  <c r="B5653" i="106"/>
  <c r="D5653" i="106" s="1"/>
  <c r="F6" i="4"/>
  <c r="B1152" i="106"/>
  <c r="D1152" i="106" s="1"/>
  <c r="F8" i="34"/>
  <c r="B4434" i="106"/>
  <c r="D4434" i="106" s="1"/>
  <c r="E268" i="5"/>
  <c r="E7" i="4"/>
  <c r="B4443" i="106" s="1"/>
  <c r="D4443" i="106" s="1"/>
  <c r="B2633" i="106"/>
  <c r="D2633" i="106" s="1"/>
  <c r="H268" i="5"/>
  <c r="H7" i="4"/>
  <c r="B5914" i="106"/>
  <c r="D5914" i="106" s="1"/>
  <c r="B1281" i="106"/>
  <c r="D1281" i="106" s="1"/>
  <c r="D13" i="4"/>
  <c r="B2569" i="106" s="1"/>
  <c r="D2569" i="106" s="1"/>
  <c r="K151" i="29"/>
  <c r="B1331" i="106"/>
  <c r="D1331" i="106" s="1"/>
  <c r="E16" i="4"/>
  <c r="B2634" i="106" s="1"/>
  <c r="D2634" i="106" s="1"/>
  <c r="K174" i="29"/>
  <c r="D6" i="4"/>
  <c r="B5421" i="106"/>
  <c r="D5421" i="106" s="1"/>
  <c r="B2594" i="106"/>
  <c r="D2594" i="106" s="1"/>
  <c r="A7269" i="106"/>
  <c r="D7268" i="106"/>
  <c r="B1287" i="106" l="1"/>
  <c r="D1287" i="106" s="1"/>
  <c r="D16" i="4"/>
  <c r="B2572" i="106" s="1"/>
  <c r="D2572" i="106" s="1"/>
  <c r="D7" i="4"/>
  <c r="B2567" i="106" s="1"/>
  <c r="D2567" i="106" s="1"/>
  <c r="B5507" i="106"/>
  <c r="D5507" i="106" s="1"/>
  <c r="K211" i="29"/>
  <c r="B1389" i="106" s="1"/>
  <c r="D1389" i="106" s="1"/>
  <c r="G268" i="5"/>
  <c r="G6" i="4"/>
  <c r="B5778" i="106"/>
  <c r="D5778" i="106" s="1"/>
  <c r="B1282" i="106"/>
  <c r="D1282" i="106" s="1"/>
  <c r="F57" i="34"/>
  <c r="F77" i="34" s="1"/>
  <c r="B7834" i="106" s="1"/>
  <c r="D7834" i="106" s="1"/>
  <c r="D15" i="4"/>
  <c r="B2571" i="106" s="1"/>
  <c r="D2571" i="106" s="1"/>
  <c r="K295" i="29"/>
  <c r="B1510" i="106"/>
  <c r="D1510" i="106" s="1"/>
  <c r="G13" i="4"/>
  <c r="B5869" i="106"/>
  <c r="D5869" i="106" s="1"/>
  <c r="G7" i="4"/>
  <c r="B2605" i="106" s="1"/>
  <c r="D2605" i="106" s="1"/>
  <c r="H17" i="4"/>
  <c r="B2659" i="106"/>
  <c r="D2659" i="106" s="1"/>
  <c r="E8" i="4"/>
  <c r="K81" i="4"/>
  <c r="B3588" i="106"/>
  <c r="D3588" i="106" s="1"/>
  <c r="B1332" i="106"/>
  <c r="D1332" i="106" s="1"/>
  <c r="F10" i="34"/>
  <c r="B7624" i="106"/>
  <c r="I17" i="11"/>
  <c r="K313" i="29"/>
  <c r="B1561" i="106" s="1"/>
  <c r="D1561" i="106" s="1"/>
  <c r="B5915" i="106"/>
  <c r="D5915" i="106" s="1"/>
  <c r="E17" i="4"/>
  <c r="F8" i="4"/>
  <c r="B2593" i="106"/>
  <c r="D2593" i="106" s="1"/>
  <c r="H8" i="4"/>
  <c r="B2657" i="106"/>
  <c r="D2657" i="106" s="1"/>
  <c r="B3320" i="106"/>
  <c r="D3320" i="106" s="1"/>
  <c r="I81" i="4"/>
  <c r="C19" i="4"/>
  <c r="B4136" i="106" s="1"/>
  <c r="D4136" i="106" s="1"/>
  <c r="B2561" i="106"/>
  <c r="D2561" i="106" s="1"/>
  <c r="B9" i="146"/>
  <c r="B5508" i="106"/>
  <c r="D5508" i="106" s="1"/>
  <c r="K152" i="29"/>
  <c r="B1289" i="106" s="1"/>
  <c r="D1289" i="106" s="1"/>
  <c r="F9" i="34"/>
  <c r="B1288" i="106"/>
  <c r="D1288" i="106" s="1"/>
  <c r="K175" i="29"/>
  <c r="B1333" i="106" s="1"/>
  <c r="D1333" i="106" s="1"/>
  <c r="B5552" i="106"/>
  <c r="D5552" i="106" s="1"/>
  <c r="D17" i="4"/>
  <c r="D19" i="4" s="1"/>
  <c r="B4137" i="106" s="1"/>
  <c r="D4137" i="106" s="1"/>
  <c r="B2566" i="106"/>
  <c r="D2566" i="106" s="1"/>
  <c r="B2598" i="106"/>
  <c r="D2598" i="106" s="1"/>
  <c r="F17" i="4"/>
  <c r="F11" i="34"/>
  <c r="B1388" i="106"/>
  <c r="D1388" i="106" s="1"/>
  <c r="A7270" i="106"/>
  <c r="D7269" i="106"/>
  <c r="H17" i="118" l="1"/>
  <c r="H25" i="118" s="1"/>
  <c r="K24" i="118" s="1"/>
  <c r="O23" i="118" s="1"/>
  <c r="O25" i="118" s="1"/>
  <c r="F16" i="37"/>
  <c r="C9" i="146"/>
  <c r="D10" i="171"/>
  <c r="D19" i="171" s="1"/>
  <c r="D32" i="171" s="1"/>
  <c r="D49" i="171" s="1"/>
  <c r="D8" i="4"/>
  <c r="B2568" i="106" s="1"/>
  <c r="D2568" i="106" s="1"/>
  <c r="B2608" i="106"/>
  <c r="D2608" i="106" s="1"/>
  <c r="G17" i="4"/>
  <c r="B5870" i="106"/>
  <c r="D5870" i="106" s="1"/>
  <c r="K296" i="29"/>
  <c r="B1518" i="106" s="1"/>
  <c r="D1518" i="106" s="1"/>
  <c r="B2661" i="106"/>
  <c r="D2661" i="106" s="1"/>
  <c r="H19" i="4"/>
  <c r="B4141" i="106" s="1"/>
  <c r="D4141" i="106" s="1"/>
  <c r="F14" i="34"/>
  <c r="B7822" i="106" s="1"/>
  <c r="F12" i="34"/>
  <c r="B1517" i="106"/>
  <c r="D1517" i="106" s="1"/>
  <c r="B2604" i="106"/>
  <c r="D2604" i="106" s="1"/>
  <c r="G8" i="4"/>
  <c r="E19" i="4"/>
  <c r="B4138" i="106" s="1"/>
  <c r="D4138" i="106" s="1"/>
  <c r="B2635" i="106"/>
  <c r="D2635" i="106" s="1"/>
  <c r="I18" i="11"/>
  <c r="B7625" i="106"/>
  <c r="B2658" i="106"/>
  <c r="D2658" i="106" s="1"/>
  <c r="H10" i="4"/>
  <c r="B4127" i="106" s="1"/>
  <c r="D4127" i="106" s="1"/>
  <c r="H20" i="4"/>
  <c r="F20" i="4"/>
  <c r="F10" i="4"/>
  <c r="B4125" i="106" s="1"/>
  <c r="D4125" i="106" s="1"/>
  <c r="D8" i="146"/>
  <c r="B2595" i="106"/>
  <c r="D2595" i="106" s="1"/>
  <c r="B3591" i="106"/>
  <c r="D3591" i="106" s="1"/>
  <c r="D65" i="36"/>
  <c r="K82" i="4"/>
  <c r="B2573" i="106"/>
  <c r="D2573" i="106" s="1"/>
  <c r="D9" i="146"/>
  <c r="F19" i="4"/>
  <c r="B4139" i="106" s="1"/>
  <c r="D4139" i="106" s="1"/>
  <c r="B2600" i="106"/>
  <c r="D2600" i="106" s="1"/>
  <c r="I82" i="4"/>
  <c r="D63" i="36"/>
  <c r="B3323" i="106"/>
  <c r="D3323" i="106" s="1"/>
  <c r="E11" i="146"/>
  <c r="E20" i="4"/>
  <c r="E10" i="4"/>
  <c r="B4124" i="106" s="1"/>
  <c r="D4124" i="106" s="1"/>
  <c r="B2632" i="106"/>
  <c r="D2632" i="106" s="1"/>
  <c r="A7271" i="106"/>
  <c r="D7270" i="106"/>
  <c r="F9" i="146" l="1"/>
  <c r="F78" i="34"/>
  <c r="B7835" i="106" s="1"/>
  <c r="D7835" i="106" s="1"/>
  <c r="D10" i="4"/>
  <c r="B4123" i="106" s="1"/>
  <c r="D4123" i="106" s="1"/>
  <c r="D20" i="4"/>
  <c r="B2574" i="106" s="1"/>
  <c r="D2574" i="106" s="1"/>
  <c r="C8" i="146"/>
  <c r="C10" i="146" s="1"/>
  <c r="G10" i="4"/>
  <c r="B4126" i="106" s="1"/>
  <c r="D4126" i="106" s="1"/>
  <c r="G20" i="4"/>
  <c r="B2606" i="106"/>
  <c r="D2606" i="106" s="1"/>
  <c r="B2612" i="106"/>
  <c r="D2612" i="106" s="1"/>
  <c r="G19" i="4"/>
  <c r="B4140" i="106" s="1"/>
  <c r="D4140" i="106" s="1"/>
  <c r="D10" i="146"/>
  <c r="E78" i="4"/>
  <c r="B2636" i="106"/>
  <c r="D2636" i="106" s="1"/>
  <c r="B6275" i="106"/>
  <c r="D6275" i="106" s="1"/>
  <c r="K83" i="4"/>
  <c r="B6284" i="106" s="1"/>
  <c r="D6284" i="106" s="1"/>
  <c r="B2601" i="106"/>
  <c r="D2601" i="106" s="1"/>
  <c r="F78" i="4"/>
  <c r="H78" i="4"/>
  <c r="B2662" i="106"/>
  <c r="D2662" i="106" s="1"/>
  <c r="B6273" i="106"/>
  <c r="D6273" i="106" s="1"/>
  <c r="I83" i="4"/>
  <c r="B6282" i="106" s="1"/>
  <c r="D6282" i="106" s="1"/>
  <c r="F177" i="34"/>
  <c r="B7631" i="106"/>
  <c r="A7272" i="106"/>
  <c r="D7271" i="106"/>
  <c r="F176" i="34" l="1"/>
  <c r="B7878" i="106" s="1"/>
  <c r="D7878" i="106" s="1"/>
  <c r="D78" i="4"/>
  <c r="B3239" i="106" s="1"/>
  <c r="D3239" i="106" s="1"/>
  <c r="B2613" i="106"/>
  <c r="D2613" i="106" s="1"/>
  <c r="G78" i="4"/>
  <c r="B3278" i="106"/>
  <c r="D3278" i="106" s="1"/>
  <c r="E81" i="4"/>
  <c r="B3300" i="106"/>
  <c r="D3300" i="106" s="1"/>
  <c r="H81" i="4"/>
  <c r="B3256" i="106"/>
  <c r="D3256" i="106" s="1"/>
  <c r="F81" i="4"/>
  <c r="A7273" i="106"/>
  <c r="D7272" i="106"/>
  <c r="F178" i="34" l="1"/>
  <c r="F180" i="34" s="1"/>
  <c r="B7880" i="106" s="1"/>
  <c r="D7880" i="106" s="1"/>
  <c r="D81" i="4"/>
  <c r="C11" i="146" s="1"/>
  <c r="G81" i="4"/>
  <c r="B3262" i="106"/>
  <c r="D3262" i="106" s="1"/>
  <c r="D11" i="146"/>
  <c r="B1672" i="106"/>
  <c r="D1672" i="106" s="1"/>
  <c r="F82" i="4"/>
  <c r="H82" i="4"/>
  <c r="B1700" i="106"/>
  <c r="D1700" i="106" s="1"/>
  <c r="E82" i="4"/>
  <c r="B1658" i="106"/>
  <c r="D1658" i="106" s="1"/>
  <c r="C41" i="3"/>
  <c r="B92" i="106"/>
  <c r="D92" i="106" s="1"/>
  <c r="A7274" i="106"/>
  <c r="D7273" i="106"/>
  <c r="B7879" i="106" l="1"/>
  <c r="D7879" i="106" s="1"/>
  <c r="B1644" i="106"/>
  <c r="D1644" i="106" s="1"/>
  <c r="D82" i="4"/>
  <c r="D83" i="4" s="1"/>
  <c r="B6277" i="106" s="1"/>
  <c r="D6277" i="106" s="1"/>
  <c r="B1686" i="106"/>
  <c r="D1686" i="106" s="1"/>
  <c r="G82" i="4"/>
  <c r="B6269" i="106"/>
  <c r="D6269" i="106" s="1"/>
  <c r="E83" i="4"/>
  <c r="B6278" i="106" s="1"/>
  <c r="D6278" i="106" s="1"/>
  <c r="D59" i="36"/>
  <c r="B140" i="106"/>
  <c r="D140" i="106" s="1"/>
  <c r="E41" i="3"/>
  <c r="H41" i="3"/>
  <c r="B212" i="106"/>
  <c r="D212" i="106" s="1"/>
  <c r="D62" i="36"/>
  <c r="F83" i="4"/>
  <c r="B6279" i="106" s="1"/>
  <c r="D6279" i="106" s="1"/>
  <c r="B6270" i="106"/>
  <c r="D6270" i="106" s="1"/>
  <c r="H83" i="4"/>
  <c r="B6281" i="106" s="1"/>
  <c r="D6281" i="106" s="1"/>
  <c r="B6272" i="106"/>
  <c r="D6272" i="106" s="1"/>
  <c r="D76" i="36"/>
  <c r="D41" i="3"/>
  <c r="B123" i="106"/>
  <c r="D123" i="106" s="1"/>
  <c r="D58" i="36"/>
  <c r="D60" i="36"/>
  <c r="F41" i="3"/>
  <c r="B170" i="106"/>
  <c r="D170" i="106" s="1"/>
  <c r="B93" i="106"/>
  <c r="D93" i="106" s="1"/>
  <c r="D44" i="36"/>
  <c r="A7275" i="106"/>
  <c r="D7274" i="106"/>
  <c r="B6268" i="106" l="1"/>
  <c r="D6268" i="106" s="1"/>
  <c r="D61" i="36"/>
  <c r="B189" i="106"/>
  <c r="D189" i="106" s="1"/>
  <c r="G41" i="3"/>
  <c r="G83" i="4"/>
  <c r="B6280" i="106" s="1"/>
  <c r="D6280" i="106" s="1"/>
  <c r="B6271" i="106"/>
  <c r="D6271" i="106" s="1"/>
  <c r="B213" i="106"/>
  <c r="D213" i="106" s="1"/>
  <c r="D49" i="36"/>
  <c r="B141" i="106"/>
  <c r="D141" i="106" s="1"/>
  <c r="D46" i="36"/>
  <c r="B171" i="106"/>
  <c r="D171" i="106" s="1"/>
  <c r="D47" i="36"/>
  <c r="N23" i="3"/>
  <c r="B282" i="106"/>
  <c r="D282" i="106" s="1"/>
  <c r="D45" i="36"/>
  <c r="B124" i="106"/>
  <c r="D124" i="106" s="1"/>
  <c r="A7276" i="106"/>
  <c r="D7275" i="106"/>
  <c r="D48" i="36" l="1"/>
  <c r="B190" i="106"/>
  <c r="D190" i="106" s="1"/>
  <c r="D55" i="36"/>
  <c r="B284" i="106"/>
  <c r="D284" i="106" s="1"/>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109" i="5"/>
  <c r="C4" i="4" s="1"/>
  <c r="C108" i="5"/>
  <c r="B5120" i="106" s="1"/>
  <c r="D5120" i="106" s="1"/>
  <c r="B6340" i="106"/>
  <c r="D6340" i="106" s="1"/>
  <c r="B2551" i="106" l="1"/>
  <c r="D2551" i="106" s="1"/>
  <c r="C8" i="4"/>
  <c r="C268" i="5"/>
  <c r="B5121" i="106"/>
  <c r="D5121" i="106" s="1"/>
  <c r="B5327" i="106" l="1"/>
  <c r="D5327" i="106" s="1"/>
  <c r="K115" i="29"/>
  <c r="B1153" i="106" s="1"/>
  <c r="D1153" i="106" s="1"/>
  <c r="B8" i="146"/>
  <c r="C10" i="4"/>
  <c r="B4122" i="106" s="1"/>
  <c r="D4122" i="106" s="1"/>
  <c r="H18" i="118"/>
  <c r="K17" i="118" s="1"/>
  <c r="H13" i="118"/>
  <c r="D16" i="37"/>
  <c r="H16" i="37" s="1"/>
  <c r="C20" i="4"/>
  <c r="B2555" i="106"/>
  <c r="D2555" i="106" s="1"/>
  <c r="O16" i="118" l="1"/>
  <c r="B10" i="146"/>
  <c r="F8" i="146"/>
  <c r="F10" i="146" s="1"/>
  <c r="C78" i="4"/>
  <c r="B2562" i="106"/>
  <c r="D2562" i="106" s="1"/>
  <c r="C81" i="4" l="1"/>
  <c r="B3233" i="106"/>
  <c r="D3233" i="106" s="1"/>
  <c r="B11" i="146" l="1"/>
  <c r="F11" i="146" s="1"/>
  <c r="C82" i="4"/>
  <c r="B1630" i="106"/>
  <c r="D1630" i="106" s="1"/>
  <c r="J16" i="37"/>
  <c r="B4269" i="106" s="1"/>
  <c r="D4269" i="106" s="1"/>
  <c r="D57" i="36"/>
  <c r="H12" i="118"/>
  <c r="K12" i="118" s="1"/>
  <c r="O11" i="118" l="1"/>
  <c r="O13" i="118" s="1"/>
  <c r="J20" i="118"/>
  <c r="B6267" i="106"/>
  <c r="D6267" i="106" s="1"/>
  <c r="C83" i="4"/>
  <c r="B6276" i="106" s="1"/>
  <c r="D6276" i="106" s="1"/>
  <c r="D29" i="36"/>
  <c r="C12" i="146"/>
  <c r="O17" i="118" l="1"/>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<sst xmlns="http://schemas.openxmlformats.org/spreadsheetml/2006/main" count="5303" uniqueCount="2146">
  <si>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</si>
  <si>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</si>
  <si>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</si>
  <si>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</si>
  <si>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</si>
  <si>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</si>
  <si>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</si>
  <si>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</si>
  <si>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</si>
  <si>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</si>
  <si>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</si>
  <si>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</si>
  <si>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</si>
  <si>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</si>
  <si>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</si>
  <si>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</si>
  <si>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</si>
  <si>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</si>
  <si>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</si>
  <si>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</si>
  <si>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</si>
  <si>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</si>
  <si>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</si>
  <si>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</si>
  <si>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</si>
  <si>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</si>
  <si>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</si>
  <si>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</si>
  <si>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</si>
  <si>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</si>
  <si>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</si>
  <si>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</si>
  <si>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</si>
  <si>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</si>
  <si>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</si>
  <si>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</si>
  <si>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</si>
  <si>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</si>
  <si>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</si>
  <si>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</si>
  <si>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</si>
  <si>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</si>
  <si>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</si>
  <si>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</si>
  <si>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</si>
  <si>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</si>
  <si>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</si>
  <si>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</si>
  <si>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</si>
  <si>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</si>
  <si>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</si>
  <si>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</si>
  <si>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</si>
  <si>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</si>
  <si>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</si>
  <si>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</si>
  <si>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</si>
  <si>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</si>
  <si>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</si>
  <si>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</si>
  <si>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</si>
  <si>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</si>
  <si>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</si>
  <si>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</si>
  <si>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</si>
  <si>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</si>
  <si>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</si>
  <si>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</si>
  <si>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</si>
  <si>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</si>
  <si>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</si>
  <si>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</si>
  <si>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</si>
  <si>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</si>
  <si>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</si>
  <si>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</si>
  <si>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</si>
  <si>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</si>
  <si>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</si>
  <si>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</si>
  <si>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</si>
  <si>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</si>
  <si>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</si>
  <si>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</si>
  <si>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</si>
  <si>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</si>
  <si>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</si>
  <si>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</si>
  <si>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</si>
  <si>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</si>
  <si>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</si>
  <si>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</si>
  <si>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</si>
  <si>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</si>
  <si>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</si>
  <si>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</si>
  <si>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</si>
  <si>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</si>
  <si>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</si>
  <si>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</si>
  <si>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</si>
  <si>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</si>
  <si>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</si>
  <si>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</si>
  <si>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</si>
  <si>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</si>
  <si>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</si>
  <si>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</si>
  <si>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</si>
  <si>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</si>
  <si>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</si>
  <si>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</si>
  <si>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</si>
  <si>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</si>
  <si>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</si>
  <si>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</si>
  <si>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</si>
  <si>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</si>
  <si>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</si>
  <si>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</si>
  <si>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</si>
  <si>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</si>
  <si>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</si>
  <si>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</si>
  <si>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</si>
  <si>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</si>
  <si>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</si>
  <si>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</si>
  <si>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</si>
  <si>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</si>
  <si>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</si>
  <si>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</si>
  <si>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</si>
  <si>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</si>
  <si>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</si>
  <si>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</si>
  <si>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</si>
  <si>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</si>
  <si>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</si>
  <si>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</si>
  <si>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</si>
  <si>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</si>
  <si>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</si>
  <si>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</si>
  <si>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</si>
  <si>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</si>
  <si>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</si>
  <si>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</si>
  <si>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</si>
  <si>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</si>
  <si>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</si>
  <si>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</si>
  <si>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</si>
  <si>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</si>
  <si>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</si>
  <si>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</si>
  <si>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</si>
  <si>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</si>
  <si>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</si>
  <si>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</si>
  <si>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</si>
  <si>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</si>
  <si>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</si>
  <si>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</si>
  <si>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</si>
  <si>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</si>
  <si>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</si>
  <si>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</si>
  <si>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</si>
  <si>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</si>
  <si>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</si>
  <si>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</si>
  <si>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</si>
  <si>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</si>
  <si>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</si>
  <si>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</si>
  <si>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</si>
  <si>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</si>
  <si>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</si>
  <si>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</si>
  <si>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</si>
  <si>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</si>
  <si>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</si>
  <si>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</si>
  <si>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</si>
  <si>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</si>
  <si>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</si>
  <si>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</si>
  <si>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</si>
  <si>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</si>
  <si>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</si>
  <si>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</si>
  <si>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</si>
  <si>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</si>
  <si>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</si>
  <si>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</si>
  <si>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</si>
  <si>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</si>
  <si>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</si>
  <si>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</si>
  <si>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</si>
  <si>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</si>
  <si>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</si>
  <si>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</si>
  <si>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</si>
  <si>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</si>
  <si>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</si>
  <si>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</si>
  <si>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</si>
  <si>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</si>
  <si>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</si>
  <si>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</si>
  <si>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</si>
  <si>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</si>
  <si>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</si>
  <si>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</si>
  <si>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</si>
  <si>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</si>
  <si>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</si>
  <si>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</si>
  <si>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</si>
  <si>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</si>
  <si>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</si>
  <si>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</si>
  <si>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</si>
  <si>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</si>
  <si>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</si>
  <si>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</si>
  <si>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</si>
  <si>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</si>
  <si>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</si>
  <si>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</si>
  <si>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</si>
  <si>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</si>
  <si>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</si>
  <si>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</si>
  <si>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</si>
  <si>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</si>
  <si>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</si>
  <si>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</si>
  <si>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</si>
  <si>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</si>
  <si>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</si>
  <si>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</si>
  <si>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</si>
  <si>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</si>
  <si>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</si>
  <si>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</si>
  <si>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</si>
  <si>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</si>
  <si>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</si>
  <si>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</si>
  <si>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</si>
  <si>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</si>
  <si>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</si>
  <si>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</si>
  <si>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</si>
  <si>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</si>
  <si>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</si>
  <si>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</si>
  <si>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</si>
  <si>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</si>
  <si>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</si>
  <si>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</si>
  <si>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</si>
  <si>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</si>
  <si>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</si>
  <si>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</si>
  <si>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</si>
  <si>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</si>
  <si>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</si>
  <si>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</si>
  <si>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</si>
  <si>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</si>
  <si>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</si>
  <si>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</si>
  <si>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</si>
  <si>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</si>
  <si>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</si>
  <si>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</si>
  <si>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</si>
  <si>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</si>
  <si>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</si>
  <si>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</si>
  <si>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</si>
  <si>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</si>
  <si>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</si>
  <si>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</si>
  <si>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</si>
  <si>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</si>
  <si>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</si>
  <si>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</si>
  <si>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</si>
  <si>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</si>
  <si>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</si>
  <si>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</si>
  <si>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</si>
  <si>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</si>
  <si>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</si>
  <si>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</si>
  <si>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</si>
  <si>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</si>
  <si>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</si>
  <si>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</si>
  <si>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</si>
  <si>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</si>
  <si>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</si>
  <si>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</si>
  <si>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</si>
  <si>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</si>
  <si>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</si>
  <si>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</si>
  <si>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</si>
  <si>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</si>
  <si>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</si>
  <si>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</si>
  <si>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</si>
  <si>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</si>
  <si>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</si>
  <si>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</si>
  <si>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</si>
  <si>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</si>
  <si>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</si>
  <si>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</si>
  <si>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</si>
  <si>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</si>
  <si>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</si>
  <si>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</si>
  <si>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</si>
  <si>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</si>
  <si>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</si>
  <si>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</si>
  <si>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</si>
  <si>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</si>
  <si>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</si>
  <si>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</si>
  <si>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</si>
  <si>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</si>
  <si>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</si>
  <si>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</si>
  <si>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</si>
  <si>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</si>
  <si>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</si>
  <si>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</si>
  <si>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</si>
  <si>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</si>
  <si>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</si>
  <si>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</si>
  <si>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</si>
  <si>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</si>
  <si>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</si>
  <si>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</si>
  <si>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</si>
  <si>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</si>
  <si>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</si>
  <si>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</si>
  <si>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</si>
  <si>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</si>
  <si>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</si>
  <si>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</si>
  <si>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</si>
  <si>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</si>
  <si>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</si>
  <si>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</si>
  <si>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</si>
  <si>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</si>
  <si>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</si>
  <si>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</si>
  <si>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</si>
  <si>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</si>
  <si>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</si>
  <si>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</si>
  <si>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</si>
  <si>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</si>
  <si>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</si>
  <si>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</si>
  <si>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</si>
  <si>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</si>
  <si>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</si>
  <si>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</si>
  <si>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</si>
  <si>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</si>
  <si>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</si>
  <si>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</si>
  <si>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</si>
  <si>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</si>
  <si>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</si>
  <si>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</si>
  <si>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</si>
  <si>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</si>
  <si>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</si>
  <si>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</si>
  <si>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</si>
  <si>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</si>
  <si>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</si>
  <si>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</si>
  <si>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</si>
  <si>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</si>
  <si>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</si>
  <si>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</si>
  <si>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</si>
  <si>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</si>
  <si>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</si>
  <si>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</si>
  <si>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</si>
  <si>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</si>
  <si>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</si>
  <si>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</si>
  <si>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</si>
  <si>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</si>
  <si>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</si>
  <si>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</si>
  <si>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</si>
  <si>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</si>
  <si>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</si>
  <si>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</si>
  <si>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</si>
  <si>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</si>
  <si>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</si>
  <si>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</si>
  <si>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</si>
  <si>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</si>
  <si>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</si>
  <si>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</si>
  <si>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</si>
  <si>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</si>
  <si>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</si>
  <si>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</si>
  <si>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</si>
  <si>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</si>
  <si>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</si>
  <si>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</si>
  <si>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</si>
  <si>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</si>
  <si>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</si>
  <si>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</si>
  <si>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</si>
  <si>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</si>
  <si>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</si>
  <si>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</si>
  <si>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</si>
  <si>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</si>
  <si>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</si>
  <si>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</si>
  <si>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</si>
  <si>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</si>
  <si>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</si>
  <si>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</si>
  <si>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</si>
  <si>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</si>
  <si>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</si>
  <si>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</si>
  <si>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</si>
  <si>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</si>
  <si>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</si>
  <si>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</si>
  <si>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</si>
  <si>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</si>
  <si>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</si>
  <si>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</si>
  <si>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</si>
  <si>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</si>
  <si>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</si>
  <si>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</si>
  <si>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</si>
  <si>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</si>
  <si>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</si>
  <si>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</si>
  <si>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</si>
  <si>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</si>
  <si>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</si>
  <si>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</si>
  <si>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</si>
  <si>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</si>
  <si>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</si>
  <si>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</si>
  <si>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</si>
  <si>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</si>
  <si>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</si>
  <si>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</si>
  <si>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</si>
  <si>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</si>
  <si>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</si>
  <si>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</si>
  <si>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</si>
  <si>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</si>
  <si>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</si>
  <si>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</si>
  <si>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</si>
  <si>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</si>
  <si>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</si>
  <si>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</si>
  <si>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</si>
  <si>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</si>
  <si>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</si>
  <si>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</si>
  <si>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</si>
  <si>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</si>
  <si>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</si>
  <si>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</si>
  <si>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</si>
  <si>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</si>
  <si>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</si>
  <si>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</si>
  <si>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</si>
  <si>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</si>
  <si>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</si>
  <si>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</si>
  <si>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</si>
  <si>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</si>
  <si>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</si>
  <si>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</si>
  <si>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</si>
  <si>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</si>
  <si>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</si>
  <si>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</si>
  <si>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</si>
  <si>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</si>
  <si>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</si>
  <si>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</si>
  <si>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</si>
  <si>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</si>
  <si>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</si>
  <si>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</si>
  <si>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</si>
  <si>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</si>
  <si>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</si>
  <si>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</si>
  <si>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</si>
  <si>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</si>
  <si>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</si>
  <si>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</si>
  <si>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</si>
  <si>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</si>
  <si>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</si>
  <si>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</si>
  <si>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</si>
  <si>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</si>
  <si>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</si>
  <si>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</si>
  <si>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</si>
  <si>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</si>
  <si>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</si>
  <si>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</si>
  <si>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</si>
  <si>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</si>
  <si>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</si>
  <si>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</si>
  <si>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</si>
  <si>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</si>
  <si>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</si>
  <si>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</si>
  <si>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</si>
  <si>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</si>
  <si>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</si>
  <si>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</si>
  <si>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</si>
  <si>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</si>
  <si>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</si>
  <si>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</si>
  <si>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</si>
  <si>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</si>
  <si>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</si>
  <si>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</si>
  <si>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</si>
  <si>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</si>
  <si>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</si>
  <si>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</si>
  <si>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</si>
  <si>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</si>
  <si>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</si>
  <si>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</si>
  <si>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</si>
  <si>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</si>
  <si>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</si>
  <si>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</si>
  <si>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</si>
  <si>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</si>
  <si>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</si>
  <si>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</si>
  <si>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</si>
  <si>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</si>
  <si>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</si>
  <si>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</si>
  <si>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</si>
  <si>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</si>
  <si>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</si>
  <si>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</si>
  <si>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</si>
  <si>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</si>
  <si>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</si>
  <si>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</si>
  <si>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</si>
  <si>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</si>
  <si>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</si>
  <si>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</si>
  <si>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</si>
  <si>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</si>
  <si>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</si>
  <si>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</si>
  <si>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</si>
  <si>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</si>
  <si>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</si>
  <si>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</si>
  <si>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</si>
  <si>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</si>
  <si>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</si>
  <si>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</si>
  <si>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</si>
  <si>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</si>
  <si>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</si>
  <si>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</si>
  <si>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</si>
  <si>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</si>
  <si>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</si>
  <si>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</si>
  <si>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</si>
  <si>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</si>
  <si>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</si>
  <si>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</si>
  <si>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</si>
  <si>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</si>
  <si>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</si>
  <si>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</si>
  <si>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</si>
  <si>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</si>
  <si>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</si>
  <si>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</si>
  <si>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</si>
  <si>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</si>
  <si>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</si>
  <si>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</si>
  <si>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</si>
  <si>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</si>
  <si>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</si>
  <si>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</si>
  <si>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</si>
  <si>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</si>
  <si>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</si>
  <si>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</si>
  <si>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</si>
  <si>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</si>
  <si>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</si>
  <si>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</si>
  <si>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</si>
  <si>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</si>
  <si>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</si>
  <si>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</si>
  <si>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</si>
  <si>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</si>
  <si>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</si>
  <si>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</si>
  <si>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</si>
  <si>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</si>
  <si>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</si>
  <si>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</si>
  <si>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</si>
  <si>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</si>
  <si>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</si>
  <si>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</si>
  <si>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</si>
  <si>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</si>
  <si>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</si>
  <si>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</si>
  <si>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</si>
  <si>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</si>
  <si>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</si>
  <si>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</si>
  <si>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</si>
  <si>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</si>
  <si>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</si>
  <si>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</si>
  <si>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</si>
  <si>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</si>
  <si>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</si>
  <si>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</si>
  <si>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</si>
  <si>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</si>
  <si>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</si>
  <si>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</si>
  <si>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</si>
  <si>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</si>
  <si>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</si>
  <si>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</si>
  <si>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</si>
  <si>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</si>
  <si>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</si>
  <si>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</si>
  <si>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</si>
  <si>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</si>
  <si>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</si>
  <si>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</si>
  <si>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</si>
  <si>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</si>
  <si>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</si>
  <si>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</si>
  <si>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</si>
  <si>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</si>
  <si>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</si>
  <si>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</si>
  <si>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</si>
  <si>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</si>
  <si>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</si>
  <si>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</si>
  <si>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</si>
  <si>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</si>
  <si>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</si>
  <si>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</si>
  <si>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</si>
  <si>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</si>
  <si>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</si>
  <si>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</si>
  <si>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</si>
  <si>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</si>
  <si>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</si>
  <si>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</si>
  <si>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</si>
  <si>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</si>
  <si>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</si>
  <si>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</si>
  <si>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</si>
  <si>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</si>
  <si>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</si>
  <si>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</si>
  <si>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</si>
  <si>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</si>
  <si>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</si>
  <si>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</si>
  <si>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</si>
  <si>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</si>
  <si>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</si>
  <si>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</si>
  <si>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</si>
  <si>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</si>
  <si>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</si>
  <si>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</si>
  <si>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</si>
  <si>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</si>
  <si>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</si>
  <si>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</si>
  <si>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</si>
  <si>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</si>
  <si>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</si>
  <si>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</si>
  <si>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</si>
  <si>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</si>
  <si>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</si>
  <si>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</si>
  <si>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</si>
  <si>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</si>
  <si>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</si>
  <si>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</si>
  <si>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</si>
  <si>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</si>
  <si>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</si>
  <si>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</si>
  <si>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</si>
  <si>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</si>
  <si>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</si>
  <si>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</si>
  <si>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</si>
  <si>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</si>
  <si>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</si>
  <si>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</si>
  <si>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</si>
  <si>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</si>
  <si>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</si>
  <si>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</si>
  <si>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</si>
  <si>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</si>
  <si>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</si>
  <si>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</si>
  <si>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</si>
  <si>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</si>
  <si>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</si>
  <si>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</si>
  <si>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</si>
  <si>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</si>
  <si>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</si>
  <si>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</si>
  <si>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</si>
  <si>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</si>
  <si>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</si>
  <si>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</si>
  <si>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</si>
  <si>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</si>
  <si>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</si>
  <si>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</si>
  <si>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</si>
  <si>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</si>
  <si>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</si>
  <si>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</si>
  <si>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</si>
  <si>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</si>
  <si>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</si>
  <si>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</si>
  <si>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</si>
  <si>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</si>
  <si>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</si>
  <si>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</si>
  <si>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</si>
  <si>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</si>
  <si>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</si>
  <si>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</si>
  <si>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</si>
  <si>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</si>
  <si>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</si>
  <si>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</si>
  <si>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</si>
  <si>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</si>
  <si>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</si>
  <si>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</si>
  <si>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</si>
  <si>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</si>
  <si>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</si>
  <si>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</si>
  <si>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</si>
  <si>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</si>
  <si>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</si>
  <si>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</si>
  <si>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</si>
  <si>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</si>
  <si>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</si>
  <si>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</si>
  <si>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</si>
  <si>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</si>
  <si>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</si>
  <si>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</si>
  <si>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</si>
  <si>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</si>
  <si>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</si>
  <si>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</si>
  <si>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</si>
  <si>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</si>
  <si>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</si>
  <si>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</si>
  <si>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</si>
  <si>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</si>
  <si>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</si>
  <si>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</si>
  <si>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</si>
  <si>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</si>
  <si>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</si>
  <si>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</si>
  <si>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</si>
  <si>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</si>
  <si>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</si>
  <si>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</si>
  <si>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</si>
  <si>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</si>
  <si>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</si>
  <si>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</si>
  <si>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</si>
  <si>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</si>
  <si>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</si>
  <si>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</si>
  <si>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</si>
  <si>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</si>
  <si>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</si>
  <si>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</si>
  <si>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</si>
  <si>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</si>
  <si>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</si>
  <si>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</si>
  <si>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</si>
  <si>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</si>
  <si>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</si>
  <si>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</si>
  <si>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</si>
  <si>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</si>
  <si>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</si>
  <si>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</si>
  <si>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</si>
  <si>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</si>
  <si>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</si>
  <si>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</si>
  <si>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</si>
  <si>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</si>
  <si>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</si>
  <si>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</si>
  <si>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</si>
  <si>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</si>
  <si>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</si>
  <si>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</si>
  <si>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</si>
  <si>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</si>
  <si>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</si>
  <si>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</si>
  <si>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</si>
  <si>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</si>
  <si>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</si>
  <si>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</si>
  <si>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</si>
  <si>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</si>
  <si>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</si>
  <si>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</si>
  <si>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</si>
  <si>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</si>
  <si>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</si>
  <si>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</si>
  <si>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</si>
  <si>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</si>
  <si>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</si>
  <si>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</si>
  <si>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</si>
  <si>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</si>
  <si>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</si>
  <si>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</si>
  <si>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</si>
  <si>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</si>
  <si>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</si>
  <si>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</si>
  <si>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</si>
  <si>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</si>
  <si>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</si>
  <si>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</si>
  <si>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</si>
  <si>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</si>
  <si>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</si>
  <si>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</si>
  <si>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</si>
  <si>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</si>
  <si>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</si>
  <si>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</si>
  <si>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</si>
  <si>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</si>
  <si>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</si>
  <si>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</si>
  <si>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</si>
  <si>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</si>
  <si>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</si>
  <si>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</si>
  <si>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</si>
  <si>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</si>
  <si>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</si>
  <si>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</si>
  <si>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</si>
  <si>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</si>
  <si>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</si>
  <si>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</si>
  <si>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</si>
  <si>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</si>
  <si>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</si>
  <si>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</si>
  <si>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</si>
  <si>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</si>
  <si>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</si>
  <si>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</si>
  <si>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</si>
  <si>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</si>
  <si>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</si>
  <si>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</si>
  <si>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</si>
  <si>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</si>
  <si>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</si>
  <si>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</si>
  <si>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</si>
  <si>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</si>
  <si>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</si>
  <si>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</si>
  <si>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</si>
  <si>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</si>
  <si>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</si>
  <si>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</si>
  <si>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</si>
  <si>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</si>
  <si>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</si>
  <si>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</si>
  <si>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</si>
  <si>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</si>
  <si>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</si>
  <si>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</si>
  <si>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</si>
  <si>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</si>
  <si>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</si>
  <si>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</si>
  <si>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</si>
  <si>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</si>
  <si>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</si>
  <si>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</si>
  <si>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</si>
  <si>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</si>
  <si>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</si>
  <si>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</si>
  <si>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</si>
  <si>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</si>
  <si>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</si>
  <si>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</si>
  <si>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</si>
  <si>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</si>
  <si>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</si>
  <si>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</si>
  <si>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</si>
  <si>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</si>
  <si>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</si>
  <si>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</si>
  <si>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</si>
  <si>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</si>
  <si>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</si>
  <si>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</si>
  <si>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</si>
  <si>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</si>
  <si>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</si>
  <si>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</si>
  <si>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</si>
  <si>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</si>
  <si>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</si>
  <si>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</si>
  <si>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</si>
  <si>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</si>
  <si>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</si>
  <si>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</si>
  <si>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</si>
  <si>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</si>
  <si>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</si>
  <si>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</si>
  <si>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</si>
  <si>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</si>
  <si>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</si>
  <si>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</si>
  <si>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</si>
  <si>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</si>
  <si>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</si>
  <si>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</si>
  <si>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</si>
  <si>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</si>
  <si>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</si>
  <si>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</si>
  <si>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</si>
  <si>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</si>
  <si>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</si>
  <si>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</si>
  <si>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</si>
  <si>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</si>
  <si>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</si>
  <si>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</si>
  <si>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</si>
  <si>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</si>
  <si>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</si>
  <si>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</si>
  <si>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</si>
  <si>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</si>
  <si>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</si>
  <si>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</si>
  <si>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</si>
  <si>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</si>
  <si>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</si>
  <si>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</si>
  <si>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</si>
  <si>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</si>
  <si>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</si>
  <si>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</si>
  <si>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</si>
  <si>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</si>
  <si>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</si>
  <si>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</si>
  <si>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</si>
  <si>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</si>
  <si>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</si>
  <si>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</si>
  <si>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</si>
  <si>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</si>
  <si>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</si>
  <si>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</si>
  <si>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</si>
  <si>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</si>
  <si>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</si>
  <si>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</si>
  <si>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</si>
  <si>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</si>
  <si>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</si>
  <si>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</si>
  <si>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</si>
  <si>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</si>
  <si>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</si>
  <si>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</si>
  <si>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</si>
  <si>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</si>
  <si>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</si>
  <si>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</si>
  <si>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</si>
  <si>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</si>
  <si>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</si>
  <si>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</si>
  <si>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</si>
  <si>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</si>
  <si>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</si>
  <si>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</si>
  <si>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</si>
  <si>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</si>
  <si>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</si>
  <si>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</si>
  <si>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</si>
  <si>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</si>
  <si>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</si>
  <si>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</si>
  <si>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</si>
  <si>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</si>
  <si>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</si>
  <si>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</si>
  <si>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</si>
  <si>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</si>
  <si>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</si>
  <si>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</si>
  <si>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</si>
  <si>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</si>
  <si>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</si>
  <si>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</si>
  <si>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</si>
  <si>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</si>
  <si>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</si>
  <si>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</si>
  <si>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</si>
  <si>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</si>
  <si>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</si>
  <si>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</si>
  <si>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</si>
  <si>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</si>
  <si>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</si>
  <si>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</si>
  <si>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</si>
  <si>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</si>
  <si>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</si>
  <si>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</si>
  <si>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</si>
  <si>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</si>
  <si>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</si>
  <si>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</si>
  <si>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</si>
  <si>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</si>
  <si>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</si>
  <si>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</si>
  <si>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</si>
  <si>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</si>
  <si>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</si>
  <si>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</si>
  <si>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</si>
  <si>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</si>
  <si>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</si>
  <si>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</si>
  <si>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</si>
  <si>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</si>
  <si>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</si>
  <si>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</si>
  <si>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</si>
  <si>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</si>
  <si>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</si>
  <si>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</si>
  <si>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</si>
  <si>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</si>
  <si>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</si>
  <si>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</si>
  <si>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</si>
  <si>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</si>
  <si>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</si>
  <si>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</si>
  <si>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</si>
  <si>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</si>
  <si>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</si>
  <si>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</si>
  <si>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</si>
  <si>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</si>
  <si>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</si>
  <si>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</si>
  <si>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</si>
  <si>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</si>
  <si>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</si>
  <si>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</si>
  <si>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</si>
  <si>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</si>
  <si>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</si>
  <si>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</si>
  <si>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</si>
  <si>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</si>
  <si>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</si>
  <si>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</si>
  <si>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</si>
  <si>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</si>
  <si>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</si>
  <si>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</si>
  <si>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</si>
  <si>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</si>
  <si>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</si>
  <si>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</si>
  <si>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</si>
  <si>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</si>
  <si>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</si>
  <si>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</si>
  <si>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</si>
  <si>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</si>
  <si>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</si>
  <si>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</si>
  <si>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</si>
  <si>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</si>
  <si>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</si>
  <si>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</si>
  <si>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</si>
  <si>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</si>
  <si>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</si>
  <si>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</si>
  <si>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</si>
  <si>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</si>
  <si>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</si>
  <si>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</si>
  <si>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</si>
  <si>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</si>
  <si>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</si>
  <si>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</si>
  <si>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</si>
  <si>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</si>
  <si>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</si>
  <si>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</si>
  <si>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</si>
  <si>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</si>
  <si>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</si>
  <si>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</si>
  <si>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</si>
  <si>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</si>
  <si>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</si>
  <si>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</si>
  <si>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</si>
  <si>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</si>
  <si>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</si>
  <si>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</si>
  <si>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</si>
  <si>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</si>
  <si>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</si>
  <si>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</si>
  <si>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</si>
  <si>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</si>
  <si>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</si>
  <si>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</si>
  <si>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</si>
  <si>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</si>
  <si>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</si>
  <si>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</si>
  <si>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</si>
  <si>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</si>
  <si>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</si>
  <si>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</si>
  <si>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</si>
  <si>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</si>
  <si>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</si>
  <si>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</si>
  <si>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</si>
  <si>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</si>
  <si>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</si>
  <si>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</si>
  <si>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</si>
  <si>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</si>
  <si>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</si>
  <si>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</si>
  <si>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</si>
  <si>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</si>
  <si>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</si>
  <si>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</si>
  <si>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</si>
  <si>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</si>
  <si>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</si>
  <si>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</si>
  <si>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</si>
  <si>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</si>
  <si>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</si>
  <si>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</si>
  <si>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</si>
  <si>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</si>
  <si>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</si>
  <si>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</si>
  <si>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</si>
  <si>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</si>
  <si>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</si>
  <si>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</si>
  <si>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</si>
  <si>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</si>
  <si>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</si>
  <si>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</si>
  <si>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</si>
  <si>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</si>
  <si>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</si>
  <si>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</si>
  <si>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</si>
  <si>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</si>
  <si>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</si>
  <si>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</si>
  <si>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</si>
  <si>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</si>
  <si>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</si>
  <si>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</si>
  <si>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</si>
  <si>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</si>
  <si>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</si>
  <si>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</si>
  <si>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</si>
  <si>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</si>
  <si>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</si>
  <si>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</si>
  <si>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</si>
  <si>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</si>
  <si>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</si>
  <si>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</si>
  <si>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</si>
  <si>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</si>
  <si>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</si>
  <si>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</si>
  <si>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</si>
  <si>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</si>
  <si>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</si>
  <si>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</si>
  <si>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</si>
  <si>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</si>
  <si>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</si>
  <si>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</si>
  <si>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</si>
  <si>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</si>
  <si>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</si>
  <si>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</si>
  <si>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</si>
  <si>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</si>
  <si>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</si>
  <si>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</si>
  <si>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</si>
  <si>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</si>
  <si>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</si>
  <si>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</si>
  <si>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</si>
  <si>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</si>
  <si>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</si>
  <si>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</si>
  <si>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</si>
  <si>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</si>
  <si>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</si>
  <si>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</si>
  <si>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</si>
  <si>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</si>
  <si>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</si>
  <si>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</si>
  <si>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</si>
  <si>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</si>
  <si>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</si>
  <si>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</si>
  <si>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</si>
  <si>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</si>
  <si>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</si>
  <si>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</si>
  <si>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</si>
  <si>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</si>
  <si>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</si>
  <si>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</si>
  <si>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</si>
  <si>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</si>
  <si>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</si>
  <si>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</si>
  <si>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</si>
  <si>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</si>
  <si>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</si>
  <si>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</si>
  <si>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</si>
  <si>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</si>
  <si>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</si>
  <si>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</si>
  <si>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</si>
  <si>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</si>
  <si>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</si>
  <si>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</si>
  <si>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</si>
  <si>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</si>
  <si>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</si>
  <si>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</si>
  <si>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</si>
  <si>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</si>
  <si>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</si>
  <si>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</si>
  <si>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</si>
  <si>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</si>
  <si>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</si>
  <si>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</si>
  <si>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</si>
  <si>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</si>
  <si>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</si>
  <si>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</si>
  <si>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</si>
  <si>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</si>
  <si>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</si>
  <si>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</si>
  <si>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</si>
  <si>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</si>
  <si>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</si>
  <si>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</si>
  <si>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</si>
  <si>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</si>
  <si>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</si>
  <si>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</si>
  <si>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</si>
  <si>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</si>
  <si>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</si>
  <si>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</si>
  <si>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</si>
  <si>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</si>
  <si>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</si>
  <si>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</si>
  <si>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</si>
  <si>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</si>
  <si>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</si>
  <si>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</si>
  <si>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</si>
  <si>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</si>
  <si>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</si>
  <si>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</si>
  <si>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</si>
  <si>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</si>
  <si>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</si>
  <si>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</si>
  <si>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</si>
  <si>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</si>
  <si>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</si>
  <si>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</si>
  <si>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</si>
  <si>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</si>
  <si>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</si>
  <si>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</si>
  <si>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</si>
  <si>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</si>
  <si>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</si>
  <si>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</si>
  <si>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</si>
  <si>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</si>
  <si>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</si>
  <si>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</si>
  <si>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</si>
  <si>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</si>
  <si>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</si>
  <si>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</si>
  <si>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</si>
  <si>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</si>
  <si>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</si>
  <si>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</si>
  <si>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</si>
  <si>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</si>
  <si>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</si>
  <si>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</si>
  <si>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</si>
  <si>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</si>
  <si>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</si>
  <si>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</si>
  <si>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</si>
  <si>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</si>
  <si>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</si>
  <si>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</si>
  <si>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</si>
  <si>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</si>
  <si>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</si>
  <si>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</si>
  <si>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</si>
  <si>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</si>
  <si>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</si>
  <si>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</si>
  <si>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</si>
  <si>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</si>
  <si>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</si>
  <si>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</si>
  <si>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</si>
  <si>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</si>
  <si>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</si>
  <si>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</si>
  <si>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</si>
  <si>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</si>
  <si>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</si>
  <si>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</si>
  <si>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</si>
  <si>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</si>
  <si>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</si>
  <si>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</si>
  <si>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</si>
  <si>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</si>
  <si>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</si>
  <si>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</si>
  <si>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</si>
  <si>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</si>
  <si>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</si>
  <si>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</si>
  <si>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</si>
  <si>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</si>
  <si>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</si>
  <si>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</si>
  <si>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</si>
  <si>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</si>
  <si>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</si>
  <si>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</si>
  <si>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</si>
  <si>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</si>
  <si>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</si>
  <si>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</si>
  <si>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</si>
  <si>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</si>
  <si>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</si>
  <si>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</si>
  <si>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</si>
  <si>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</si>
  <si>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</si>
  <si>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</si>
  <si>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</si>
  <si>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</si>
  <si>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</si>
  <si>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</si>
  <si>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</si>
  <si>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</si>
  <si>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</si>
  <si>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</si>
  <si>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</si>
  <si>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</si>
  <si>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</si>
  <si>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</si>
  <si>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</si>
  <si>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</si>
  <si>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</si>
  <si>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</si>
  <si>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</si>
  <si>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</si>
  <si>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</si>
  <si>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</si>
  <si>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</si>
  <si>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</si>
  <si>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</si>
  <si>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</si>
  <si>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</si>
  <si>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</si>
  <si>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</si>
  <si>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</si>
  <si>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</si>
  <si>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</si>
  <si>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</si>
  <si>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</si>
  <si>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</si>
  <si>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</si>
  <si>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</si>
  <si>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</si>
  <si>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</si>
  <si>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</si>
  <si>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</si>
  <si>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</si>
  <si>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</si>
  <si>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</si>
  <si>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</si>
  <si>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</si>
  <si>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</si>
  <si>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</si>
  <si>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</si>
  <si>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</si>
  <si>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</si>
  <si>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</si>
  <si>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</si>
  <si>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</si>
  <si>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</si>
  <si>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</si>
  <si>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</si>
  <si>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</si>
  <si>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</si>
  <si>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</si>
  <si>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</si>
  <si>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</si>
  <si>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</si>
  <si>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</si>
  <si>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</si>
  <si>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</si>
  <si>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</si>
  <si>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</si>
  <si>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</si>
  <si>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</si>
  <si>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</si>
  <si>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</si>
  <si>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</si>
  <si>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</si>
  <si>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</si>
  <si>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</si>
  <si>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</si>
  <si>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</si>
  <si>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</si>
  <si>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</si>
  <si>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</si>
  <si>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</si>
  <si>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</si>
  <si>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</si>
  <si>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</si>
  <si>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</si>
  <si>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</si>
  <si>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</si>
  <si>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</si>
  <si>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</si>
  <si>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</si>
  <si>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</si>
  <si>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</si>
  <si>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</si>
  <si>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</si>
  <si>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</si>
  <si>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</si>
  <si>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</si>
  <si>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</si>
  <si>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</si>
  <si>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</si>
  <si>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</si>
  <si>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</si>
  <si>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</si>
  <si>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</si>
  <si>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</si>
  <si>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</si>
  <si>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</si>
  <si>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</si>
  <si>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</si>
  <si>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</si>
  <si>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</si>
  <si>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</si>
  <si>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</si>
  <si>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</si>
  <si>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</si>
  <si>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</si>
  <si>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</si>
  <si>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</si>
  <si>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</si>
  <si>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</si>
  <si>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</si>
  <si>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</si>
  <si>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</si>
  <si>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</si>
  <si>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</si>
  <si>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</si>
  <si>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</si>
  <si>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</si>
  <si>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</si>
  <si>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</si>
  <si>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</si>
  <si>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</si>
  <si>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</si>
  <si>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</si>
  <si>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</si>
  <si>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</si>
  <si>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</si>
  <si>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</si>
  <si>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</si>
  <si>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</si>
  <si>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</si>
  <si>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</si>
  <si>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</si>
  <si>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</si>
  <si>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</si>
  <si>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</si>
  <si>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</si>
  <si>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</si>
  <si>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</si>
  <si>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</si>
  <si>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</si>
  <si>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</si>
  <si>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</si>
  <si>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</si>
  <si>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</si>
  <si>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</si>
  <si>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</si>
  <si>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</si>
  <si>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</si>
  <si>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</si>
  <si>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</si>
  <si>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</si>
  <si>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</si>
  <si>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</si>
  <si>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</si>
  <si>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</si>
  <si>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</si>
  <si>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</si>
  <si>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</si>
  <si>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</si>
  <si>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</si>
  <si>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</si>
  <si>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</si>
  <si>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</si>
  <si>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</si>
  <si>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</si>
  <si>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</si>
  <si>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</si>
  <si>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</si>
  <si>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</si>
  <si>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</si>
  <si>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</si>
  <si>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</si>
  <si>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</si>
  <si>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</si>
  <si>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</si>
  <si>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</si>
  <si>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</si>
  <si>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</si>
  <si>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</si>
  <si>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</si>
  <si>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</si>
  <si>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</si>
  <si>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</si>
  <si>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</si>
  <si>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</si>
  <si>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</si>
  <si>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</si>
  <si>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</si>
  <si>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</si>
  <si>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</si>
  <si>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</si>
  <si>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</si>
  <si>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</si>
  <si>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</si>
  <si>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</si>
  <si>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</si>
  <si>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</si>
  <si>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</si>
  <si>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</si>
  <si>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</si>
  <si>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</si>
  <si>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</si>
  <si>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</si>
  <si>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</si>
  <si>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</si>
  <si>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</si>
  <si>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</si>
  <si>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</si>
  <si>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</si>
  <si>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</si>
  <si>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</si>
  <si>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</si>
  <si>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</si>
  <si>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</si>
  <si>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</si>
  <si>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</si>
  <si>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</si>
  <si>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</si>
  <si>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</si>
  <si>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</si>
  <si>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</si>
  <si>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</si>
  <si>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</si>
  <si>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</si>
  <si>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</si>
  <si>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</si>
  <si>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</si>
  <si>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</si>
  <si>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</si>
  <si>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</si>
  <si>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</si>
  <si>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</si>
  <si>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</si>
  <si>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</si>
  <si>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</si>
  <si>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</si>
  <si>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</si>
  <si>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</si>
  <si>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</si>
  <si>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</si>
  <si>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</si>
  <si>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</si>
  <si>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</si>
  <si>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</si>
  <si>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</si>
  <si>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</si>
  <si>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</si>
  <si>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</si>
  <si>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</si>
  <si>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</si>
  <si>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</si>
  <si>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</si>
  <si>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</si>
  <si>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</si>
  <si>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</si>
  <si>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</si>
  <si>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</si>
  <si>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</si>
  <si>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</si>
  <si>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</si>
  <si>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</si>
  <si>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</si>
  <si>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</si>
  <si>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</si>
  <si>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</si>
  <si>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</si>
  <si>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</si>
  <si>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</si>
  <si>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</si>
  <si>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</si>
  <si>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</si>
  <si>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</si>
  <si>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</si>
  <si>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</si>
  <si>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</si>
  <si>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</si>
  <si>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</si>
  <si>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</si>
  <si>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</si>
  <si>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</si>
  <si>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</si>
  <si>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</si>
  <si>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</si>
  <si>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</si>
  <si>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</si>
  <si>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</si>
  <si>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</si>
  <si>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</si>
  <si>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</si>
  <si>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</si>
  <si>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</si>
  <si>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</si>
  <si>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</si>
  <si>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</si>
  <si>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</si>
  <si>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</si>
  <si>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</si>
  <si>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</si>
  <si>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</si>
  <si>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</si>
  <si>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</si>
  <si>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</si>
  <si>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</si>
  <si>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</si>
  <si>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</si>
  <si>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</si>
  <si>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</si>
  <si>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</si>
  <si>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</si>
  <si>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</si>
  <si>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</si>
  <si>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</si>
  <si>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</si>
  <si>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</si>
  <si>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</si>
  <si>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</si>
  <si>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</si>
  <si>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</si>
  <si>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</si>
  <si>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</si>
  <si>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</si>
  <si>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</si>
  <si>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</si>
  <si>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</si>
  <si>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</si>
  <si>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</si>
  <si>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</si>
  <si>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</si>
  <si>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</si>
  <si>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</si>
  <si>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</si>
  <si>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</si>
  <si>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</si>
  <si>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</si>
  <si>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</si>
  <si>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</si>
  <si>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</si>
  <si>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</si>
  <si>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</si>
  <si>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</si>
  <si>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</si>
  <si>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</si>
  <si>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</si>
  <si>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</si>
  <si>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</si>
  <si>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</si>
  <si>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</si>
  <si>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</si>
  <si>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</si>
  <si>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</si>
  <si>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</si>
  <si>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</si>
  <si>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</si>
  <si>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</si>
  <si>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</si>
  <si>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</si>
  <si>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</si>
  <si>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</si>
  <si>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</si>
  <si>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</si>
  <si>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</si>
  <si>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</si>
  <si>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</si>
  <si>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</si>
  <si>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</si>
  <si>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</si>
  <si>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</si>
  <si>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</si>
  <si>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</si>
  <si>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</si>
  <si>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</si>
  <si>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</si>
  <si>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</si>
  <si>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</si>
  <si>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</si>
  <si>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</si>
  <si>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</si>
  <si>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</si>
  <si>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</si>
  <si>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</si>
  <si>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</si>
  <si>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</si>
  <si>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</si>
  <si>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</si>
  <si>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</si>
  <si>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</si>
  <si>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</si>
  <si>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</si>
  <si>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</si>
  <si>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</si>
  <si>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</si>
  <si>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</si>
  <si>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</si>
  <si>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</si>
  <si>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</si>
  <si>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</si>
  <si>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</si>
  <si>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</si>
  <si>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</si>
  <si>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</si>
  <si>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</si>
  <si>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</si>
  <si>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</si>
  <si>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</si>
  <si>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</si>
  <si>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</si>
  <si>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</si>
  <si>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</si>
  <si>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</si>
  <si>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</si>
  <si>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</si>
  <si>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</si>
  <si>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</si>
  <si>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</si>
  <si>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</si>
  <si>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</si>
  <si>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</si>
  <si>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</si>
  <si>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</si>
  <si>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</si>
  <si>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</si>
  <si>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</si>
  <si>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</si>
  <si>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</si>
  <si>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</si>
  <si>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</si>
  <si>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</si>
  <si>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</si>
  <si>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</si>
  <si>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</si>
  <si>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</si>
  <si>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</si>
  <si>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</si>
  <si>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</si>
  <si>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</si>
  <si>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</si>
  <si>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</si>
  <si>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</si>
  <si>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</si>
  <si>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</si>
  <si>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</si>
  <si>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</si>
  <si>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</si>
  <si>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</si>
  <si>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</si>
  <si>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</si>
  <si>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</si>
  <si>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</si>
  <si>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</si>
  <si>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</si>
  <si>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</si>
  <si>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</si>
  <si>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</si>
  <si>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</si>
  <si>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</si>
  <si>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</si>
  <si>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</si>
  <si>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</si>
  <si>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</si>
  <si>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</si>
  <si>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</si>
  <si>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</si>
  <si>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</si>
  <si>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</si>
  <si>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</si>
  <si>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</si>
  <si>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</si>
  <si>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</si>
  <si>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</si>
  <si>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</si>
  <si>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</si>
  <si>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</si>
  <si>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</si>
  <si>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</si>
  <si>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</si>
  <si>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</si>
  <si>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</si>
  <si>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</si>
  <si>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</si>
  <si>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</si>
  <si>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</si>
  <si>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</si>
  <si>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</si>
  <si>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</si>
  <si>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</si>
  <si>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</si>
  <si>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</si>
  <si>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</si>
  <si>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</si>
  <si>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</si>
  <si>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</si>
  <si>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</si>
  <si>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</si>
  <si>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</si>
  <si>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</si>
  <si>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</si>
  <si>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</si>
  <si>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</si>
  <si>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</si>
  <si>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</si>
  <si>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</si>
  <si>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</si>
  <si>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</si>
  <si>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</si>
  <si>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</si>
  <si>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</si>
  <si>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</si>
  <si>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</si>
  <si>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</si>
  <si>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</si>
  <si>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</si>
  <si>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</si>
  <si>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</si>
  <si>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</si>
  <si>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</si>
  <si>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</si>
  <si>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</si>
  <si>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</si>
  <si>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</si>
  <si>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</si>
  <si>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</si>
  <si>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</si>
  <si>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</si>
  <si>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</si>
  <si>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</si>
  <si>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</si>
  <si>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</si>
  <si>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</si>
  <si>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</si>
  <si>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</si>
  <si>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</si>
  <si>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</si>
  <si>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</si>
  <si>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</si>
  <si>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</si>
  <si>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</si>
  <si>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</si>
  <si>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</si>
  <si>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</si>
  <si>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</si>
  <si>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</si>
  <si>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</si>
  <si>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</si>
  <si>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</si>
  <si>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</si>
  <si>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</si>
  <si>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</si>
  <si>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</si>
  <si>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</si>
  <si>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Ed Fund - Page 10, Line 106 - Other Local Fees</t>
  </si>
  <si>
    <t>Ed Fund - Page 11, Line 107 - Other Local Revenues</t>
  </si>
  <si>
    <t>O&amp;M Fund - Page 11, Line 107 - Other Local Revenues</t>
  </si>
  <si>
    <t>Ed Fund - Page 12, Line 168 - Other Restricted Revenue from State Sources</t>
  </si>
  <si>
    <t>O&amp;M Fund - Page 12, Line 168 - Other Restricted Revenue from State Sources</t>
  </si>
  <si>
    <t>Ed Fund - Page 15, Line 41 - Other Support Services - Pupils</t>
  </si>
  <si>
    <t>Ed Fund - Page 16, Line 56 - Other Support Services - School Admin</t>
  </si>
  <si>
    <t>Debt Service Fund - Page 18, Line 171 - Debt Services - Other</t>
  </si>
  <si>
    <t>IMRF/SS Fund - Page 20, Line 260 - Other Support Services - School Administration</t>
  </si>
  <si>
    <t>X</t>
  </si>
  <si>
    <t>LAKE</t>
  </si>
  <si>
    <t>18160 GAGES LAKE ROAD</t>
  </si>
  <si>
    <t>GAGES LAKE</t>
  </si>
  <si>
    <t>bwatson@sedol.us</t>
  </si>
  <si>
    <t>KEVIN SMITH</t>
  </si>
  <si>
    <t>GRAYSLAKE HIGHSCHOOL DISTRICT 127 &amp; HAWTHORN DISTRICT 73</t>
  </si>
  <si>
    <t>TRS &amp; IMRF RETIREMENT SYSTEMS</t>
  </si>
  <si>
    <t>MEMBER OF IUUPC FOR NATURAL GAS &amp; ELECTRICITY</t>
  </si>
  <si>
    <t>AGREEMENT WITH HAWTHORN DIST 73, D75, AND D6 FOR FOOD SERVICES</t>
  </si>
  <si>
    <t>INTERGOV AGREEMENT WITH DISTRICT 121 FOR ROAD AND PARKING LOT USE</t>
  </si>
  <si>
    <t>MEMBER OF CLIC - GENERAL LIAB, PROPERTY &amp; WORKER COMP</t>
  </si>
  <si>
    <t>CLIENT OF ISDLAF</t>
  </si>
  <si>
    <t>SEDOL IS A SPECIAL EDUCATION COOP W/ 31 MEMBER DISTRICTS</t>
  </si>
  <si>
    <t xml:space="preserve">U.S. Department of Education Passed Through </t>
  </si>
  <si>
    <t>Illinois State Board of Education:</t>
  </si>
  <si>
    <t xml:space="preserve">     IDEA - Flow Through (M)</t>
  </si>
  <si>
    <t>19-4620-00</t>
  </si>
  <si>
    <t xml:space="preserve">     IDEA - Preschool Flow Through (M)</t>
  </si>
  <si>
    <t>19-4600-00</t>
  </si>
  <si>
    <t>Subtotal CFDA "84"</t>
  </si>
  <si>
    <t>U.S. Department of Health and Human Services</t>
  </si>
  <si>
    <t xml:space="preserve">Passed Through State of Illinois Department </t>
  </si>
  <si>
    <t>Of Healthcare and Family Services:</t>
  </si>
  <si>
    <t xml:space="preserve">     Medicaid Administrative Outreach</t>
  </si>
  <si>
    <t>Total Federal Assistance</t>
  </si>
  <si>
    <t>* Project Year End 9/30</t>
  </si>
  <si>
    <t>20-4620-00</t>
  </si>
  <si>
    <t>20-4600-00</t>
  </si>
  <si>
    <t>20-4991-00</t>
  </si>
  <si>
    <t>SPECIAL EDUCATION CLUSTER</t>
  </si>
  <si>
    <t>SUBTOTAL - CFDA "84.027"</t>
  </si>
  <si>
    <t>SUBTOTAL - CFDA "84.173"</t>
  </si>
  <si>
    <t>Total Special Education Cluster (M)</t>
  </si>
  <si>
    <t>MEDICAID CLUSTER</t>
  </si>
  <si>
    <t>Total Medicaid Cluster</t>
  </si>
  <si>
    <t>Subtotal - CFDA "93"</t>
  </si>
  <si>
    <t>CHILD NUTRITION CLUSTER</t>
  </si>
  <si>
    <t>Through Food Services Management Company:</t>
  </si>
  <si>
    <t>Food Donation Program</t>
  </si>
  <si>
    <t>20-4299-00</t>
  </si>
  <si>
    <t>N/A</t>
  </si>
  <si>
    <t>U.S. Department of Agriculture Passed</t>
  </si>
  <si>
    <t>Through Illinois State Board of Education</t>
  </si>
  <si>
    <t>National School Lunch Program*</t>
  </si>
  <si>
    <t>19-4210-00</t>
  </si>
  <si>
    <t>20-4210-00</t>
  </si>
  <si>
    <t>SUBTOTAL - CFDA "10.555"</t>
  </si>
  <si>
    <t>School Breakfast Program *</t>
  </si>
  <si>
    <t>19-4220-00</t>
  </si>
  <si>
    <t>School Breakfast Program*</t>
  </si>
  <si>
    <t>20-4220-00</t>
  </si>
  <si>
    <t>SUBTOTAL - CFDA "10.553"</t>
  </si>
  <si>
    <t>Total Child Nutrition Cluster</t>
  </si>
  <si>
    <t>Subtotal - CFDA - "10"</t>
  </si>
  <si>
    <t>Fee for service amounts paid to district included in Account 2200</t>
  </si>
  <si>
    <t>Medicaid - Admin Outreach - Admin Assessment</t>
  </si>
  <si>
    <t>NONE</t>
  </si>
  <si>
    <t>UNMODIFIED</t>
  </si>
  <si>
    <t>IDEA - FLOW THROUGH</t>
  </si>
  <si>
    <t>IDEA - PRESCHOOL FLOW THROUGH</t>
  </si>
  <si>
    <r>
      <t xml:space="preserve">The accompanying Schedule of Expenditures of Federal Awards includes the federal grant activity of </t>
    </r>
    <r>
      <rPr>
        <b/>
        <sz val="9"/>
        <rFont val="Calibri"/>
        <family val="2"/>
        <scheme val="minor"/>
      </rPr>
      <t>Special Education District of Lake County</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</si>
  <si>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x</t>
  </si>
  <si>
    <r>
      <t xml:space="preserve">Of the federal expenditures presented in the schedule, </t>
    </r>
    <r>
      <rPr>
        <b/>
        <sz val="9"/>
        <rFont val="Calibri"/>
        <family val="2"/>
        <scheme val="minor"/>
      </rPr>
      <t>Special Education District of Lake County</t>
    </r>
    <r>
      <rPr>
        <sz val="9"/>
        <rFont val="Calibri"/>
        <family val="2"/>
        <scheme val="minor"/>
      </rPr>
      <t xml:space="preserve"> provided federal awards to subrecipients as follows:</t>
    </r>
  </si>
  <si>
    <t>IDEA - PRESCHOOL</t>
  </si>
  <si>
    <r>
      <t xml:space="preserve">The following amounts were expended in the form of non-cash assistance by </t>
    </r>
    <r>
      <rPr>
        <b/>
        <sz val="9"/>
        <rFont val="Calibri"/>
        <family val="2"/>
        <scheme val="minor"/>
      </rPr>
      <t>Special Education District of Lake County</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</si>
  <si>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Refunding Bonds 2015B</t>
  </si>
  <si>
    <t>Audit Check - Special Education Coops do not have to complete Indirect Costs</t>
  </si>
  <si>
    <t>Support Services for Admin</t>
  </si>
  <si>
    <t>Program Coordinators</t>
  </si>
  <si>
    <t xml:space="preserve">RSSP &amp; Foundation Reimb for Expense and ALOP Revenue </t>
  </si>
  <si>
    <t>Districts reimb for CDS Diagnostic Program, E-Rate and Other misc reimbursements</t>
  </si>
  <si>
    <t>School Maitenance Grant</t>
  </si>
  <si>
    <t>DHS Funds</t>
  </si>
  <si>
    <t>INTERGOV AGREEMENT WITH DISTRICT 79 FOR TRANSPORTATION/SHUTTLE SERVICE</t>
  </si>
  <si>
    <t>Security personnel</t>
  </si>
  <si>
    <t>PDF in Opinion Page with Signaure</t>
  </si>
  <si>
    <t xml:space="preserve">  Special Ed Dist of Lake Cty (SEDOL)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</si>
</sst>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2"/>
      <name val="Times"/>
      <family val="1"/>
    </font>
    <font>
      <sz val="10"/>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8523">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2"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185" fontId="167" fillId="0" borderId="0" applyFont="0" applyFill="0" applyBorder="0" applyAlignment="0" applyProtection="0"/>
    <xf numFmtId="186" fontId="167" fillId="0" borderId="0" applyFont="0" applyFill="0" applyBorder="0" applyAlignment="0" applyProtection="0"/>
    <xf numFmtId="43" fontId="16" fillId="0" borderId="0" applyAlignment="0"/>
    <xf numFmtId="0" fontId="8" fillId="0" borderId="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187" fontId="167" fillId="0" borderId="0" applyFont="0" applyFill="0" applyBorder="0" applyAlignment="0" applyProtection="0"/>
    <xf numFmtId="188" fontId="167" fillId="0" borderId="0" applyFont="0" applyFill="0" applyBorder="0" applyAlignment="0" applyProtection="0"/>
    <xf numFmtId="43" fontId="16" fillId="0" borderId="0" applyAlignment="0"/>
    <xf numFmtId="189" fontId="167" fillId="0" borderId="0" applyFont="0" applyFill="0" applyBorder="0" applyAlignment="0" applyProtection="0">
      <alignment horizontal="right"/>
    </xf>
    <xf numFmtId="190" fontId="167" fillId="0" borderId="0" applyFont="0" applyFill="0" applyBorder="0" applyAlignment="0" applyProtection="0"/>
    <xf numFmtId="191" fontId="167" fillId="0" borderId="0" applyFont="0" applyFill="0" applyBorder="0" applyAlignment="0" applyProtection="0">
      <alignment horizontal="right"/>
    </xf>
    <xf numFmtId="192" fontId="167" fillId="0" borderId="0" applyFont="0" applyFill="0" applyBorder="0" applyAlignment="0" applyProtection="0">
      <alignment horizontal="right"/>
    </xf>
    <xf numFmtId="193" fontId="167" fillId="0" borderId="0" applyFont="0" applyFill="0" applyBorder="0" applyAlignment="0" applyProtection="0">
      <alignment horizontal="right"/>
    </xf>
    <xf numFmtId="194" fontId="167" fillId="0" borderId="0" applyFont="0" applyFill="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61" fillId="27"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49" fillId="29" borderId="0" applyNumberFormat="0" applyBorder="0" applyAlignment="0" applyProtection="0"/>
    <xf numFmtId="0" fontId="149" fillId="30" borderId="0" applyNumberFormat="0" applyBorder="0" applyAlignment="0" applyProtection="0"/>
    <xf numFmtId="0" fontId="161" fillId="31"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61" fillId="32" borderId="0" applyNumberFormat="0" applyBorder="0" applyAlignment="0" applyProtection="0"/>
    <xf numFmtId="0" fontId="149" fillId="29" borderId="0" applyNumberFormat="0" applyBorder="0" applyAlignment="0" applyProtection="0"/>
    <xf numFmtId="0" fontId="149" fillId="33" borderId="0" applyNumberFormat="0" applyBorder="0" applyAlignment="0" applyProtection="0"/>
    <xf numFmtId="0" fontId="161" fillId="30" borderId="0" applyNumberFormat="0" applyBorder="0" applyAlignment="0" applyProtection="0"/>
    <xf numFmtId="0" fontId="161" fillId="31" borderId="0" applyNumberFormat="0" applyBorder="0" applyAlignment="0" applyProtection="0"/>
    <xf numFmtId="0" fontId="161" fillId="31" borderId="0" applyNumberFormat="0" applyBorder="0" applyAlignment="0" applyProtection="0"/>
    <xf numFmtId="0" fontId="161" fillId="31" borderId="0" applyNumberFormat="0" applyBorder="0" applyAlignment="0" applyProtection="0"/>
    <xf numFmtId="0" fontId="161" fillId="31" borderId="0" applyNumberFormat="0" applyBorder="0" applyAlignment="0" applyProtection="0"/>
    <xf numFmtId="0" fontId="161" fillId="31" borderId="0" applyNumberFormat="0" applyBorder="0" applyAlignment="0" applyProtection="0"/>
    <xf numFmtId="0" fontId="161" fillId="31" borderId="0" applyNumberFormat="0" applyBorder="0" applyAlignment="0" applyProtection="0"/>
    <xf numFmtId="0" fontId="149" fillId="26" borderId="0" applyNumberFormat="0" applyBorder="0" applyAlignment="0" applyProtection="0"/>
    <xf numFmtId="0" fontId="149" fillId="30" borderId="0" applyNumberFormat="0" applyBorder="0" applyAlignment="0" applyProtection="0"/>
    <xf numFmtId="0" fontId="161" fillId="30"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61" fillId="28" borderId="0" applyNumberFormat="0" applyBorder="0" applyAlignment="0" applyProtection="0"/>
    <xf numFmtId="0" fontId="149" fillId="34" borderId="0" applyNumberFormat="0" applyBorder="0" applyAlignment="0" applyProtection="0"/>
    <xf numFmtId="0" fontId="149" fillId="26" borderId="0" applyNumberFormat="0" applyBorder="0" applyAlignment="0" applyProtection="0"/>
    <xf numFmtId="0" fontId="161" fillId="27"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49" fillId="29" borderId="0" applyNumberFormat="0" applyBorder="0" applyAlignment="0" applyProtection="0"/>
    <xf numFmtId="0" fontId="149" fillId="36" borderId="0" applyNumberFormat="0" applyBorder="0" applyAlignment="0" applyProtection="0"/>
    <xf numFmtId="0" fontId="161" fillId="36"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7" fillId="0" borderId="164" applyNumberFormat="0" applyFill="0" applyAlignment="0" applyProtection="0"/>
    <xf numFmtId="195" fontId="168" fillId="0" borderId="164" applyNumberFormat="0" applyFill="0" applyAlignment="0" applyProtection="0">
      <alignment horizontal="center"/>
    </xf>
    <xf numFmtId="195" fontId="168" fillId="0" borderId="78" applyFill="0" applyAlignment="0" applyProtection="0">
      <alignment horizontal="center"/>
    </xf>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58" fillId="31" borderId="165" applyNumberFormat="0" applyAlignment="0" applyProtection="0"/>
    <xf numFmtId="0" fontId="158" fillId="31" borderId="165" applyNumberFormat="0" applyAlignment="0" applyProtection="0"/>
    <xf numFmtId="0" fontId="158" fillId="31" borderId="165" applyNumberFormat="0" applyAlignment="0" applyProtection="0"/>
    <xf numFmtId="0" fontId="158" fillId="31" borderId="165" applyNumberFormat="0" applyAlignment="0" applyProtection="0"/>
    <xf numFmtId="0" fontId="158" fillId="31" borderId="165" applyNumberFormat="0" applyAlignment="0" applyProtection="0"/>
    <xf numFmtId="0" fontId="158" fillId="31" borderId="165" applyNumberFormat="0" applyAlignment="0" applyProtection="0"/>
    <xf numFmtId="0" fontId="169" fillId="0" borderId="0" applyProtection="0"/>
    <xf numFmtId="195" fontId="168" fillId="0" borderId="0" applyFill="0" applyBorder="0" applyProtection="0">
      <alignment horizont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148" fillId="0" borderId="0" applyProtection="0"/>
    <xf numFmtId="196" fontId="167" fillId="0" borderId="0" applyFont="0" applyFill="0" applyBorder="0" applyAlignment="0" applyProtection="0"/>
    <xf numFmtId="195" fontId="168" fillId="0" borderId="166" applyNumberFormat="0" applyFill="0" applyAlignment="0" applyProtection="0"/>
    <xf numFmtId="0" fontId="167" fillId="0" borderId="166" applyNumberFormat="0" applyFill="0" applyAlignment="0" applyProtection="0"/>
    <xf numFmtId="0" fontId="160" fillId="40" borderId="0" applyNumberFormat="0" applyBorder="0" applyAlignment="0" applyProtection="0"/>
    <xf numFmtId="0" fontId="160" fillId="41" borderId="0" applyNumberFormat="0" applyBorder="0" applyAlignment="0" applyProtection="0"/>
    <xf numFmtId="0" fontId="160" fillId="42" borderId="0" applyNumberFormat="0" applyBorder="0" applyAlignment="0" applyProtection="0"/>
    <xf numFmtId="0" fontId="170" fillId="0" borderId="0" applyProtection="0"/>
    <xf numFmtId="0" fontId="17" fillId="0" borderId="0" applyProtection="0"/>
    <xf numFmtId="0" fontId="171" fillId="0" borderId="0" applyProtection="0"/>
    <xf numFmtId="0" fontId="172" fillId="0" borderId="0" applyProtection="0"/>
    <xf numFmtId="0" fontId="173" fillId="0" borderId="0" applyProtection="0"/>
    <xf numFmtId="0" fontId="174" fillId="0" borderId="0" applyProtection="0"/>
    <xf numFmtId="0" fontId="175" fillId="0" borderId="0" applyProtection="0"/>
    <xf numFmtId="2" fontId="148" fillId="0" borderId="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1" fillId="0" borderId="167" applyNumberFormat="0" applyFill="0" applyAlignment="0" applyProtection="0"/>
    <xf numFmtId="0" fontId="151" fillId="0" borderId="167" applyNumberFormat="0" applyFill="0" applyAlignment="0" applyProtection="0"/>
    <xf numFmtId="0" fontId="151" fillId="0" borderId="167" applyNumberFormat="0" applyFill="0" applyAlignment="0" applyProtection="0"/>
    <xf numFmtId="0" fontId="151" fillId="0" borderId="167" applyNumberFormat="0" applyFill="0" applyAlignment="0" applyProtection="0"/>
    <xf numFmtId="0" fontId="151" fillId="0" borderId="167" applyNumberFormat="0" applyFill="0" applyAlignment="0" applyProtection="0"/>
    <xf numFmtId="0" fontId="151" fillId="0" borderId="167"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76" fillId="0" borderId="0" applyProtection="0"/>
    <xf numFmtId="0" fontId="143" fillId="0" borderId="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97" fontId="167" fillId="0" borderId="0" applyFont="0" applyFill="0" applyBorder="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65" fillId="0" borderId="170" applyNumberFormat="0" applyFill="0" applyAlignment="0" applyProtection="0"/>
    <xf numFmtId="0" fontId="165" fillId="0" borderId="170" applyNumberFormat="0" applyFill="0" applyAlignment="0" applyProtection="0"/>
    <xf numFmtId="0" fontId="165" fillId="0" borderId="170" applyNumberFormat="0" applyFill="0" applyAlignment="0" applyProtection="0"/>
    <xf numFmtId="0" fontId="165" fillId="0" borderId="170" applyNumberFormat="0" applyFill="0" applyAlignment="0" applyProtection="0"/>
    <xf numFmtId="0" fontId="165" fillId="0" borderId="170" applyNumberFormat="0" applyFill="0" applyAlignment="0" applyProtection="0"/>
    <xf numFmtId="0" fontId="165" fillId="0" borderId="170" applyNumberFormat="0" applyFill="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68" fillId="0" borderId="0" applyNumberFormat="0" applyFill="0" applyAlignment="0" applyProtection="0"/>
    <xf numFmtId="0" fontId="16" fillId="0" borderId="0"/>
    <xf numFmtId="0" fontId="16" fillId="0" borderId="0"/>
    <xf numFmtId="0" fontId="16" fillId="0" borderId="0"/>
    <xf numFmtId="0" fontId="16" fillId="0" borderId="0"/>
    <xf numFmtId="0" fontId="8" fillId="0" borderId="0"/>
    <xf numFmtId="0" fontId="147" fillId="0" borderId="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198" fontId="168" fillId="0" borderId="0" applyFill="0" applyBorder="0" applyProtection="0">
      <alignment horizontal="right"/>
    </xf>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199" fontId="168" fillId="0" borderId="0" applyProtection="0"/>
    <xf numFmtId="0" fontId="150" fillId="0" borderId="0" applyNumberFormat="0" applyFill="0" applyBorder="0" applyAlignment="0" applyProtection="0"/>
    <xf numFmtId="0" fontId="168" fillId="0" borderId="78" applyNumberFormat="0" applyFill="0" applyAlignment="0" applyProtection="0"/>
    <xf numFmtId="8" fontId="177" fillId="0" borderId="0" applyNumberFormat="0" applyFill="0" applyBorder="0" applyAlignment="0" applyProtection="0"/>
    <xf numFmtId="0" fontId="166" fillId="0" borderId="0" applyNumberFormat="0" applyBorder="0" applyAlignment="0"/>
    <xf numFmtId="0" fontId="178" fillId="0" borderId="0" applyNumberFormat="0" applyBorder="0" applyAlignment="0"/>
    <xf numFmtId="0" fontId="167" fillId="0" borderId="172" applyNumberFormat="0" applyFont="0" applyFill="0" applyAlignment="0" applyProtection="0"/>
    <xf numFmtId="0" fontId="167" fillId="0" borderId="173" applyNumberFormat="0" applyFont="0" applyFill="0" applyAlignment="0" applyProtection="0"/>
    <xf numFmtId="0" fontId="167" fillId="0" borderId="139" applyNumberFormat="0" applyFon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4"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2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2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2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32"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32"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32"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1"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1"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31"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2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2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2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35"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35"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35"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7"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7"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37"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63" fillId="38"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63" fillId="38"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63" fillId="38"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31"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31"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31"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0" fontId="158" fillId="63" borderId="16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33"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33"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33"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51" fillId="0" borderId="167"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51" fillId="0" borderId="167"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51" fillId="0" borderId="167"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2" fillId="0" borderId="175"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52"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52"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52"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3" fillId="0" borderId="168"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53" fillId="0" borderId="169"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53" fillId="0" borderId="169"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53" fillId="0" borderId="169"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176"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6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6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6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85" fillId="0" borderId="170" applyNumberFormat="0" applyFill="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43"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43"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43"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8" fillId="0" borderId="0"/>
    <xf numFmtId="0" fontId="147" fillId="0" borderId="0"/>
    <xf numFmtId="0" fontId="16" fillId="0" borderId="0"/>
    <xf numFmtId="0" fontId="16" fillId="0" borderId="0"/>
    <xf numFmtId="0" fontId="16" fillId="0" borderId="0"/>
    <xf numFmtId="0" fontId="16" fillId="0" borderId="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 fillId="0" borderId="0"/>
    <xf numFmtId="0" fontId="16" fillId="0" borderId="0"/>
    <xf numFmtId="43" fontId="8" fillId="0" borderId="0" applyFont="0" applyFill="0" applyBorder="0" applyAlignment="0" applyProtection="0"/>
    <xf numFmtId="5" fontId="16" fillId="0" borderId="0" applyFont="0" applyFill="0" applyBorder="0" applyAlignment="0" applyProtection="0"/>
    <xf numFmtId="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7" fillId="0" borderId="0"/>
    <xf numFmtId="0" fontId="8" fillId="0" borderId="0"/>
    <xf numFmtId="43" fontId="8" fillId="0" borderId="0" applyFont="0" applyFill="0" applyBorder="0" applyAlignment="0" applyProtection="0"/>
    <xf numFmtId="0" fontId="8" fillId="0" borderId="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7" fillId="0" borderId="139" applyNumberFormat="0" applyFont="0" applyFill="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62" fillId="0" borderId="0" applyNumberFormat="0" applyFill="0" applyBorder="0" applyAlignment="0" applyProtection="0">
      <alignment vertical="top"/>
      <protection locked="0"/>
    </xf>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16" fillId="0" borderId="0"/>
    <xf numFmtId="0" fontId="8" fillId="0" borderId="0"/>
    <xf numFmtId="43" fontId="16" fillId="0" borderId="0" applyAlignment="0"/>
    <xf numFmtId="43" fontId="16" fillId="0" borderId="0" applyAlignment="0"/>
    <xf numFmtId="43" fontId="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8" fillId="0" borderId="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60" fillId="0" borderId="177" applyNumberFormat="0" applyFill="0" applyAlignment="0" applyProtection="0"/>
    <xf numFmtId="0" fontId="157" fillId="62" borderId="171" applyNumberFormat="0" applyAlignment="0" applyProtection="0"/>
    <xf numFmtId="0" fontId="160" fillId="0" borderId="177" applyNumberFormat="0" applyFill="0" applyAlignment="0" applyProtection="0"/>
    <xf numFmtId="43" fontId="8" fillId="0" borderId="0" applyFont="0" applyFill="0" applyBorder="0" applyAlignment="0" applyProtection="0"/>
    <xf numFmtId="0" fontId="8" fillId="0" borderId="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7" fillId="0" borderId="139" applyNumberFormat="0" applyFon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67" fillId="0" borderId="139" applyNumberFormat="0" applyFon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0" fillId="0" borderId="174" applyNumberFormat="0" applyFill="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36"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56" fillId="4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64" fillId="39"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80" fillId="62" borderId="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56" fillId="36"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64" fillId="39" borderId="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4"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39"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0" fontId="157" fillId="62" borderId="171" applyNumberFormat="0" applyAlignment="0" applyProtection="0"/>
    <xf numFmtId="43" fontId="8" fillId="0" borderId="0" applyFont="0" applyFill="0" applyBorder="0" applyAlignment="0" applyProtection="0"/>
    <xf numFmtId="0" fontId="8" fillId="0" borderId="0"/>
    <xf numFmtId="0" fontId="8" fillId="0" borderId="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157" fillId="39" borderId="171"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160" fillId="0" borderId="174"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160" fillId="0" borderId="177"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16" fillId="0" borderId="0"/>
    <xf numFmtId="0" fontId="8" fillId="0" borderId="0"/>
    <xf numFmtId="43" fontId="16" fillId="0" borderId="0" applyAlignment="0"/>
    <xf numFmtId="43" fontId="16" fillId="0" borderId="0" applyAlignment="0"/>
    <xf numFmtId="43" fontId="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0" fontId="7" fillId="0" borderId="0"/>
    <xf numFmtId="0" fontId="6" fillId="0" borderId="0"/>
    <xf numFmtId="0" fontId="16" fillId="0" borderId="0"/>
    <xf numFmtId="43"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191" fillId="0" borderId="0" applyFont="0" applyFill="0" applyBorder="0" applyAlignment="0" applyProtection="0"/>
    <xf numFmtId="186" fontId="191" fillId="0" borderId="0" applyFont="0" applyFill="0" applyBorder="0" applyAlignment="0" applyProtection="0"/>
    <xf numFmtId="0" fontId="5" fillId="0" borderId="0"/>
    <xf numFmtId="187" fontId="191" fillId="0" borderId="0" applyFont="0" applyFill="0" applyBorder="0" applyAlignment="0" applyProtection="0"/>
    <xf numFmtId="188" fontId="191" fillId="0" borderId="0" applyFont="0" applyFill="0" applyBorder="0" applyAlignment="0" applyProtection="0"/>
    <xf numFmtId="189" fontId="191" fillId="0" borderId="0" applyFont="0" applyFill="0" applyBorder="0" applyAlignment="0" applyProtection="0">
      <alignment horizontal="right"/>
    </xf>
    <xf numFmtId="190" fontId="191" fillId="0" borderId="0" applyFont="0" applyFill="0" applyBorder="0" applyAlignment="0" applyProtection="0"/>
    <xf numFmtId="191" fontId="191" fillId="0" borderId="0" applyFont="0" applyFill="0" applyBorder="0" applyAlignment="0" applyProtection="0">
      <alignment horizontal="right"/>
    </xf>
    <xf numFmtId="192" fontId="191" fillId="0" borderId="0" applyFont="0" applyFill="0" applyBorder="0" applyAlignment="0" applyProtection="0">
      <alignment horizontal="right"/>
    </xf>
    <xf numFmtId="193" fontId="191" fillId="0" borderId="0" applyFont="0" applyFill="0" applyBorder="0" applyAlignment="0" applyProtection="0">
      <alignment horizontal="right"/>
    </xf>
    <xf numFmtId="194" fontId="191" fillId="0" borderId="0" applyFont="0" applyFill="0" applyBorder="0" applyAlignment="0" applyProtection="0"/>
    <xf numFmtId="0" fontId="191" fillId="0" borderId="164" applyNumberFormat="0" applyFill="0" applyAlignment="0" applyProtection="0"/>
    <xf numFmtId="43" fontId="5" fillId="0" borderId="0" applyFont="0" applyFill="0" applyBorder="0" applyAlignment="0" applyProtection="0"/>
    <xf numFmtId="196" fontId="191" fillId="0" borderId="0" applyFont="0" applyFill="0" applyBorder="0" applyAlignment="0" applyProtection="0"/>
    <xf numFmtId="0" fontId="191" fillId="0" borderId="166" applyNumberFormat="0" applyFill="0" applyAlignment="0" applyProtection="0"/>
    <xf numFmtId="197" fontId="191" fillId="0" borderId="0" applyFont="0" applyFill="0" applyBorder="0" applyAlignment="0" applyProtection="0"/>
    <xf numFmtId="0" fontId="5" fillId="0" borderId="0"/>
    <xf numFmtId="0" fontId="191" fillId="0" borderId="172" applyNumberFormat="0" applyFont="0" applyFill="0" applyAlignment="0" applyProtection="0"/>
    <xf numFmtId="0" fontId="191" fillId="0" borderId="173" applyNumberFormat="0" applyFont="0" applyFill="0" applyAlignment="0" applyProtection="0"/>
    <xf numFmtId="0" fontId="191" fillId="0" borderId="139" applyNumberFormat="0" applyFont="0" applyFill="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91" fillId="0" borderId="139"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192" fillId="0" borderId="0"/>
    <xf numFmtId="43"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16" fillId="0" borderId="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cellStyleXfs>
  <cellXfs count="2646">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3" xfId="12" applyNumberFormat="1" applyFont="1" applyBorder="1" applyAlignment="1" applyProtection="1">
      <alignment horizontal="right" vertical="center"/>
    </xf>
    <xf numFmtId="0" fontId="20" fillId="0" borderId="126" xfId="12" applyFont="1" applyBorder="1" applyAlignment="1" applyProtection="1">
      <alignment vertical="center"/>
    </xf>
    <xf numFmtId="0" fontId="20" fillId="0" borderId="124" xfId="12" applyFont="1" applyBorder="1" applyAlignment="1" applyProtection="1">
      <alignment vertical="center"/>
    </xf>
    <xf numFmtId="1" fontId="16" fillId="0" borderId="0" xfId="0" applyNumberFormat="1" applyFont="1" applyAlignment="1">
      <alignment horizontal="center" vertical="center"/>
    </xf>
    <xf numFmtId="0" fontId="17" fillId="0" borderId="133"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19" xfId="0" applyFont="1" applyFill="1" applyBorder="1" applyAlignment="1" applyProtection="1">
      <alignment horizontal="left" vertical="center"/>
    </xf>
    <xf numFmtId="164" fontId="60" fillId="17" borderId="119" xfId="0" applyNumberFormat="1" applyFont="1" applyFill="1" applyBorder="1" applyAlignment="1" applyProtection="1">
      <alignment horizontal="center" vertical="center"/>
    </xf>
    <xf numFmtId="164" fontId="70" fillId="17" borderId="119" xfId="0" applyNumberFormat="1" applyFont="1" applyFill="1" applyBorder="1" applyAlignment="1" applyProtection="1">
      <alignment vertical="center"/>
    </xf>
    <xf numFmtId="0" fontId="83" fillId="10" borderId="120"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83" fillId="10" borderId="104" xfId="0" applyFont="1" applyFill="1" applyBorder="1" applyAlignment="1">
      <alignment horizontal="left" vertical="center"/>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3" fontId="68" fillId="0" borderId="0" xfId="0" applyNumberFormat="1" applyFont="1" applyBorder="1" applyProtection="1"/>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1" fontId="68" fillId="0" borderId="0" xfId="0" applyNumberFormat="1" applyFont="1" applyBorder="1" applyProtection="1"/>
    <xf numFmtId="39" fontId="68" fillId="0" borderId="0" xfId="0" applyNumberFormat="1" applyFont="1" applyBorder="1" applyProtection="1"/>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49" fontId="68" fillId="0" borderId="0" xfId="0" applyNumberFormat="1" applyFont="1" applyBorder="1" applyProtection="1"/>
    <xf numFmtId="0" fontId="68" fillId="0" borderId="0" xfId="0" applyFont="1" applyBorder="1" applyAlignment="1" applyProtection="1">
      <alignment horizontal="center"/>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0" fontId="68" fillId="0" borderId="2" xfId="0" applyFont="1" applyBorder="1" applyAlignment="1" applyProtection="1">
      <alignment horizontal="center" vertical="center"/>
    </xf>
    <xf numFmtId="0" fontId="68" fillId="0" borderId="14" xfId="0" applyFont="1" applyBorder="1" applyAlignment="1" applyProtection="1">
      <alignment horizontal="left" vertical="center" indent="1"/>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0" fontId="63" fillId="0" borderId="0" xfId="0" applyFont="1" applyFill="1" applyAlignment="1" applyProtection="1">
      <alignment vertical="center"/>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0" fontId="68" fillId="0" borderId="2" xfId="0" applyFont="1" applyFill="1" applyBorder="1" applyAlignment="1" applyProtection="1">
      <alignment horizontal="left" vertical="center" indent="1"/>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0" fontId="60" fillId="0" borderId="0" xfId="0" applyFont="1" applyAlignment="1" applyProtection="1">
      <alignment vertical="center"/>
    </xf>
    <xf numFmtId="0" fontId="71" fillId="0" borderId="0" xfId="0" applyFont="1" applyAlignment="1" applyProtection="1">
      <alignment vertical="center"/>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0" fontId="68" fillId="0" borderId="2" xfId="0" applyFont="1" applyFill="1" applyBorder="1" applyAlignment="1" applyProtection="1">
      <alignment horizontal="center" vertical="top"/>
    </xf>
    <xf numFmtId="0" fontId="61" fillId="0" borderId="0" xfId="0" applyFont="1" applyFill="1" applyBorder="1" applyAlignment="1" applyProtection="1">
      <alignment vertical="center"/>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1" fontId="68" fillId="0" borderId="4" xfId="0" applyNumberFormat="1" applyFont="1" applyBorder="1" applyAlignment="1" applyProtection="1">
      <alignment horizontal="center" vertical="center"/>
    </xf>
    <xf numFmtId="1" fontId="68" fillId="0" borderId="125" xfId="0" applyNumberFormat="1" applyFont="1" applyBorder="1" applyAlignment="1" applyProtection="1">
      <alignment horizontal="center" vertical="center"/>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0" fontId="68" fillId="0" borderId="2" xfId="0" applyFont="1" applyBorder="1" applyAlignment="1" applyProtection="1">
      <alignment horizontal="center" vertical="top" wrapText="1"/>
    </xf>
    <xf numFmtId="0" fontId="68" fillId="0" borderId="26" xfId="0" applyFont="1" applyBorder="1" applyAlignment="1" applyProtection="1">
      <alignment horizontal="center" vertical="center"/>
    </xf>
    <xf numFmtId="0" fontId="68" fillId="0" borderId="128"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0" fontId="68" fillId="0" borderId="0" xfId="0" applyFont="1" applyBorder="1" applyAlignment="1"/>
    <xf numFmtId="49" fontId="68" fillId="0" borderId="2" xfId="0" applyNumberFormat="1" applyFont="1" applyBorder="1" applyAlignment="1">
      <alignment horizontal="center" vertical="center"/>
    </xf>
    <xf numFmtId="49" fontId="70" fillId="2" borderId="27" xfId="0" applyNumberFormat="1" applyFont="1" applyFill="1" applyBorder="1" applyAlignment="1">
      <alignment horizontal="center" vertical="center"/>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164" fontId="70" fillId="3" borderId="123"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2" xfId="0" applyFont="1" applyFill="1" applyBorder="1" applyAlignment="1">
      <alignment horizontal="center" vertical="center"/>
    </xf>
    <xf numFmtId="0" fontId="68" fillId="0" borderId="125" xfId="0" applyFont="1" applyFill="1" applyBorder="1" applyAlignment="1">
      <alignment horizontal="center" vertical="center"/>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3"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4" xfId="0" applyNumberFormat="1" applyFont="1" applyFill="1" applyBorder="1" applyAlignment="1">
      <alignment horizontal="center" vertical="center"/>
    </xf>
    <xf numFmtId="49" fontId="68" fillId="0" borderId="125"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3"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0" fontId="63" fillId="0" borderId="0" xfId="9" applyFont="1" applyFill="1" applyAlignment="1"/>
    <xf numFmtId="0" fontId="68" fillId="0" borderId="0" xfId="9" applyFont="1" applyFill="1" applyAlignment="1"/>
    <xf numFmtId="0" fontId="87" fillId="0" borderId="0" xfId="9" applyFont="1" applyFill="1" applyAlignment="1">
      <alignment vertical="top"/>
    </xf>
    <xf numFmtId="0" fontId="68" fillId="0" borderId="0" xfId="9" applyFont="1" applyFill="1" applyBorder="1" applyAlignment="1"/>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49" fontId="68" fillId="0" borderId="6" xfId="0" applyNumberFormat="1" applyFont="1" applyBorder="1" applyAlignment="1" applyProtection="1">
      <alignment horizontal="center" vertical="center"/>
    </xf>
    <xf numFmtId="49" fontId="68" fillId="6" borderId="59" xfId="0" applyNumberFormat="1" applyFont="1" applyFill="1" applyBorder="1" applyAlignment="1" applyProtection="1">
      <alignment horizontal="center"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0" fontId="68" fillId="0" borderId="46" xfId="0" applyFont="1" applyBorder="1" applyAlignment="1" applyProtection="1">
      <alignment horizontal="left" vertical="center" wrapText="1" indent="1"/>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3" fillId="0" borderId="0" xfId="3" applyFont="1" applyAlignment="1">
      <alignment horizontal="left" wrapText="1" indent="2"/>
    </xf>
    <xf numFmtId="0" fontId="63" fillId="0" borderId="0" xfId="3" applyFont="1" applyAlignment="1">
      <alignment vertical="top" wrapText="1"/>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50" xfId="0" applyFont="1" applyBorder="1"/>
    <xf numFmtId="0" fontId="61" fillId="0" borderId="13" xfId="0" applyFont="1" applyBorder="1"/>
    <xf numFmtId="0" fontId="61" fillId="0" borderId="123" xfId="0" applyFont="1" applyBorder="1" applyAlignment="1">
      <alignment horizontal="left" vertical="top"/>
    </xf>
    <xf numFmtId="164" fontId="119" fillId="0" borderId="126" xfId="0" applyNumberFormat="1" applyFont="1" applyBorder="1" applyAlignment="1">
      <alignment horizontal="right" vertical="top"/>
    </xf>
    <xf numFmtId="0" fontId="61" fillId="0" borderId="126" xfId="0" applyNumberFormat="1" applyFont="1" applyBorder="1" applyAlignment="1">
      <alignment horizontal="left" vertical="center" wrapText="1" indent="1"/>
    </xf>
    <xf numFmtId="0" fontId="91" fillId="0" borderId="125" xfId="0" applyFont="1" applyBorder="1" applyAlignment="1">
      <alignment horizontal="left" vertical="center" wrapText="1"/>
    </xf>
    <xf numFmtId="0" fontId="61" fillId="0" borderId="126" xfId="0" applyFont="1" applyBorder="1" applyAlignment="1">
      <alignment horizontal="left" vertical="top"/>
    </xf>
    <xf numFmtId="0" fontId="61" fillId="0" borderId="0" xfId="0" applyFont="1" applyBorder="1" applyAlignment="1">
      <alignment vertical="top"/>
    </xf>
    <xf numFmtId="0" fontId="121" fillId="0" borderId="126" xfId="0" applyNumberFormat="1" applyFont="1" applyBorder="1" applyAlignment="1">
      <alignment horizontal="left" vertical="center"/>
    </xf>
    <xf numFmtId="0" fontId="119" fillId="0" borderId="126" xfId="0" applyFont="1" applyBorder="1" applyAlignment="1">
      <alignment vertical="top"/>
    </xf>
    <xf numFmtId="0" fontId="119" fillId="0" borderId="126" xfId="0" applyFont="1" applyBorder="1" applyAlignment="1">
      <alignment horizontal="left" vertical="top"/>
    </xf>
    <xf numFmtId="0" fontId="61" fillId="0" borderId="123" xfId="0" applyFont="1" applyBorder="1" applyAlignment="1"/>
    <xf numFmtId="164" fontId="119" fillId="0" borderId="126" xfId="0" applyNumberFormat="1" applyFont="1" applyBorder="1" applyAlignment="1"/>
    <xf numFmtId="0" fontId="61" fillId="0" borderId="126" xfId="0" applyFont="1" applyBorder="1" applyAlignment="1"/>
    <xf numFmtId="0" fontId="68" fillId="0" borderId="124"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2"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3" xfId="0" applyFont="1" applyFill="1" applyBorder="1" applyAlignment="1"/>
    <xf numFmtId="0" fontId="60" fillId="0" borderId="126" xfId="0" applyFont="1" applyFill="1" applyBorder="1" applyAlignment="1">
      <alignment horizontal="left" vertical="top"/>
    </xf>
    <xf numFmtId="0" fontId="60" fillId="0" borderId="124"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4"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1" xfId="3" quotePrefix="1" applyNumberFormat="1" applyFont="1" applyBorder="1" applyAlignment="1" applyProtection="1">
      <alignment horizontal="left"/>
    </xf>
    <xf numFmtId="0" fontId="68" fillId="0" borderId="142" xfId="3" applyNumberFormat="1" applyFont="1" applyBorder="1" applyAlignment="1" applyProtection="1">
      <alignment horizontal="center"/>
    </xf>
    <xf numFmtId="0" fontId="68" fillId="0" borderId="142" xfId="3" applyNumberFormat="1" applyFont="1" applyBorder="1" applyProtection="1"/>
    <xf numFmtId="0" fontId="61" fillId="0" borderId="141" xfId="3" applyNumberFormat="1" applyFont="1" applyBorder="1" applyAlignment="1" applyProtection="1"/>
    <xf numFmtId="0" fontId="68" fillId="0" borderId="143" xfId="3" applyNumberFormat="1" applyFont="1" applyBorder="1" applyAlignment="1" applyProtection="1">
      <alignment horizontal="centerContinuous"/>
    </xf>
    <xf numFmtId="0" fontId="61" fillId="0" borderId="141" xfId="3" applyNumberFormat="1" applyFont="1" applyBorder="1" applyAlignment="1" applyProtection="1">
      <alignment horizontal="left"/>
    </xf>
    <xf numFmtId="0" fontId="68" fillId="0" borderId="143" xfId="3" applyNumberFormat="1" applyFont="1" applyBorder="1" applyProtection="1"/>
    <xf numFmtId="0" fontId="68" fillId="0" borderId="142"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1"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5"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2"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6"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4" xfId="3" applyFont="1" applyBorder="1" applyProtection="1"/>
    <xf numFmtId="0" fontId="61" fillId="0" borderId="145" xfId="3" applyFont="1" applyBorder="1" applyProtection="1">
      <protection locked="0"/>
    </xf>
    <xf numFmtId="0" fontId="61" fillId="0" borderId="144"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3" xfId="3" applyNumberFormat="1" applyFont="1" applyBorder="1" applyAlignment="1" applyProtection="1">
      <alignment horizontal="center"/>
    </xf>
    <xf numFmtId="0" fontId="70" fillId="0" borderId="142" xfId="3" applyFont="1" applyBorder="1" applyAlignment="1" applyProtection="1">
      <alignment horizontal="centerContinuous"/>
    </xf>
    <xf numFmtId="0" fontId="70" fillId="0" borderId="143"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3"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20" borderId="72" xfId="3" applyFont="1" applyFill="1" applyBorder="1" applyAlignment="1" applyProtection="1">
      <alignment horizontal="center"/>
    </xf>
    <xf numFmtId="0" fontId="70" fillId="21" borderId="72" xfId="3" applyFont="1" applyFill="1" applyBorder="1" applyAlignment="1" applyProtection="1">
      <alignment horizontal="center"/>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20" borderId="70" xfId="3" applyFont="1" applyFill="1" applyBorder="1" applyAlignment="1" applyProtection="1">
      <alignment horizontal="center"/>
    </xf>
    <xf numFmtId="0" fontId="70" fillId="5" borderId="70" xfId="3" applyFont="1" applyFill="1" applyBorder="1" applyAlignment="1" applyProtection="1">
      <alignment horizontal="center"/>
    </xf>
    <xf numFmtId="0" fontId="70" fillId="21"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0" fontId="63" fillId="0" borderId="0" xfId="3" applyFont="1" applyAlignment="1" applyProtection="1">
      <alignment textRotation="180" wrapText="1"/>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 fontId="63" fillId="20" borderId="0" xfId="3" applyNumberFormat="1" applyFont="1" applyFill="1" applyProtection="1"/>
    <xf numFmtId="0" fontId="63" fillId="20" borderId="0" xfId="3"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2" xfId="3" applyFont="1" applyBorder="1" applyProtection="1"/>
    <xf numFmtId="0" fontId="63" fillId="0" borderId="142" xfId="3" applyFont="1" applyBorder="1" applyProtection="1"/>
    <xf numFmtId="0" fontId="63" fillId="0" borderId="142"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2" xfId="3" quotePrefix="1" applyFont="1" applyBorder="1" applyAlignment="1" applyProtection="1">
      <alignment horizontal="left"/>
    </xf>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2" xfId="3" applyFont="1" applyBorder="1" applyProtection="1"/>
    <xf numFmtId="0" fontId="63" fillId="0" borderId="0" xfId="3" applyFont="1" applyBorder="1" applyAlignment="1" applyProtection="1">
      <alignment horizontal="left"/>
    </xf>
    <xf numFmtId="0" fontId="70" fillId="0" borderId="142"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2"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7"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49" xfId="3" applyFont="1" applyBorder="1" applyAlignment="1" applyProtection="1">
      <alignment horizontal="left"/>
    </xf>
    <xf numFmtId="0" fontId="63" fillId="0" borderId="149" xfId="3" applyFont="1" applyBorder="1" applyProtection="1"/>
    <xf numFmtId="0" fontId="63" fillId="0" borderId="149"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6"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7"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5" xfId="0" applyNumberFormat="1" applyFont="1" applyBorder="1" applyAlignment="1">
      <alignment horizontal="left" vertical="center" wrapText="1" indent="1"/>
    </xf>
    <xf numFmtId="3" fontId="68" fillId="0" borderId="123"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5"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0" fillId="6" borderId="153" xfId="0" applyNumberFormat="1" applyFont="1" applyFill="1" applyBorder="1" applyAlignment="1">
      <alignment horizontal="center" vertical="center" wrapText="1"/>
    </xf>
    <xf numFmtId="38" fontId="60" fillId="6" borderId="153" xfId="0" applyNumberFormat="1" applyFont="1" applyFill="1" applyBorder="1" applyAlignment="1">
      <alignment horizontal="center" vertical="top" wrapText="1"/>
    </xf>
    <xf numFmtId="38" fontId="70" fillId="6" borderId="153"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3" fontId="61" fillId="22" borderId="129" xfId="0" applyNumberFormat="1" applyFont="1" applyFill="1" applyBorder="1" applyAlignment="1">
      <alignment horizontal="center"/>
    </xf>
    <xf numFmtId="3" fontId="61" fillId="22" borderId="129" xfId="0" applyNumberFormat="1" applyFont="1" applyFill="1" applyBorder="1" applyAlignment="1">
      <alignment horizontal="right"/>
    </xf>
    <xf numFmtId="3" fontId="61" fillId="22" borderId="130" xfId="0" applyNumberFormat="1" applyFont="1" applyFill="1" applyBorder="1" applyAlignment="1">
      <alignment horizontal="center"/>
    </xf>
    <xf numFmtId="3" fontId="71" fillId="22" borderId="123" xfId="0" applyNumberFormat="1" applyFont="1" applyFill="1" applyBorder="1" applyAlignment="1">
      <alignment horizontal="center" vertical="center" wrapText="1"/>
    </xf>
    <xf numFmtId="49" fontId="68" fillId="22" borderId="11" xfId="0" applyNumberFormat="1" applyFont="1" applyFill="1" applyBorder="1" applyAlignment="1">
      <alignment horizontal="center" vertical="center"/>
    </xf>
    <xf numFmtId="38" fontId="60" fillId="22" borderId="13" xfId="0" applyNumberFormat="1" applyFont="1" applyFill="1" applyBorder="1" applyAlignment="1" applyProtection="1">
      <alignment horizontal="right"/>
    </xf>
    <xf numFmtId="38" fontId="60" fillId="22" borderId="21" xfId="0" applyNumberFormat="1" applyFont="1" applyFill="1" applyBorder="1" applyAlignment="1" applyProtection="1">
      <alignment horizontal="right"/>
    </xf>
    <xf numFmtId="38" fontId="60" fillId="22" borderId="21" xfId="1" applyNumberFormat="1" applyFont="1" applyFill="1" applyBorder="1" applyAlignment="1" applyProtection="1">
      <alignment horizontal="right"/>
    </xf>
    <xf numFmtId="38" fontId="60" fillId="22" borderId="14" xfId="0" applyNumberFormat="1" applyFont="1" applyFill="1" applyBorder="1" applyAlignment="1" applyProtection="1">
      <alignment horizontal="right"/>
    </xf>
    <xf numFmtId="0" fontId="63" fillId="22" borderId="31" xfId="0" applyFont="1" applyFill="1" applyBorder="1" applyAlignment="1">
      <alignment horizontal="center" vertical="center"/>
    </xf>
    <xf numFmtId="3" fontId="60" fillId="22" borderId="13" xfId="0" applyNumberFormat="1" applyFont="1" applyFill="1" applyBorder="1" applyAlignment="1" applyProtection="1">
      <alignment horizontal="right" vertical="center"/>
    </xf>
    <xf numFmtId="3" fontId="60" fillId="22" borderId="21" xfId="0" applyNumberFormat="1" applyFont="1" applyFill="1" applyBorder="1" applyAlignment="1" applyProtection="1">
      <alignment horizontal="right" vertical="center"/>
    </xf>
    <xf numFmtId="3" fontId="60" fillId="22"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2" borderId="13" xfId="0" applyNumberFormat="1" applyFont="1" applyFill="1" applyBorder="1" applyAlignment="1" applyProtection="1">
      <alignment horizontal="center" vertical="center"/>
    </xf>
    <xf numFmtId="49" fontId="70" fillId="22" borderId="21" xfId="0" applyNumberFormat="1" applyFont="1" applyFill="1" applyBorder="1" applyAlignment="1" applyProtection="1">
      <alignment horizontal="center" vertical="center"/>
    </xf>
    <xf numFmtId="3" fontId="61" fillId="22" borderId="21" xfId="0" applyNumberFormat="1" applyFont="1" applyFill="1" applyBorder="1" applyAlignment="1" applyProtection="1">
      <alignment horizontal="center"/>
    </xf>
    <xf numFmtId="3" fontId="63" fillId="22" borderId="21" xfId="0" applyNumberFormat="1" applyFont="1" applyFill="1" applyBorder="1" applyAlignment="1" applyProtection="1">
      <alignment horizontal="center"/>
    </xf>
    <xf numFmtId="38" fontId="63" fillId="22" borderId="21" xfId="0" applyNumberFormat="1" applyFont="1" applyFill="1" applyBorder="1" applyAlignment="1" applyProtection="1">
      <alignment horizontal="center"/>
    </xf>
    <xf numFmtId="3" fontId="63" fillId="22" borderId="14" xfId="0" applyNumberFormat="1" applyFont="1" applyFill="1" applyBorder="1" applyAlignment="1" applyProtection="1">
      <alignment horizontal="center"/>
    </xf>
    <xf numFmtId="0" fontId="60" fillId="22" borderId="49" xfId="0" applyFont="1" applyFill="1" applyBorder="1" applyAlignment="1" applyProtection="1">
      <alignment horizontal="center" vertical="center" wrapText="1"/>
    </xf>
    <xf numFmtId="0" fontId="61" fillId="22" borderId="34" xfId="0" applyFont="1" applyFill="1" applyBorder="1" applyAlignment="1">
      <alignment horizontal="center" vertical="center" wrapText="1"/>
    </xf>
    <xf numFmtId="164" fontId="60" fillId="22" borderId="49" xfId="0" applyNumberFormat="1" applyFont="1" applyFill="1" applyBorder="1" applyAlignment="1" applyProtection="1">
      <alignment horizontal="center" vertical="center" wrapText="1"/>
    </xf>
    <xf numFmtId="0" fontId="63" fillId="22" borderId="31" xfId="0" applyFont="1" applyFill="1" applyBorder="1" applyAlignment="1">
      <alignment horizontal="center" vertical="center" wrapText="1"/>
    </xf>
    <xf numFmtId="164" fontId="60" fillId="22"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5"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3" xfId="0" applyNumberFormat="1" applyFont="1" applyFill="1" applyBorder="1" applyAlignment="1">
      <alignment horizontal="left" vertical="center" wrapText="1"/>
    </xf>
    <xf numFmtId="49" fontId="70" fillId="17" borderId="125"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3"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5" xfId="0" applyFont="1" applyFill="1" applyBorder="1" applyAlignment="1">
      <alignment horizontal="left" vertical="center" wrapText="1"/>
    </xf>
    <xf numFmtId="3" fontId="70" fillId="17" borderId="125" xfId="0" applyNumberFormat="1" applyFont="1" applyFill="1" applyBorder="1" applyAlignment="1">
      <alignment horizontal="left" vertical="center" wrapText="1"/>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2" borderId="13" xfId="0" applyFont="1" applyFill="1" applyBorder="1" applyAlignment="1">
      <alignment horizontal="left" vertical="center"/>
    </xf>
    <xf numFmtId="0" fontId="71" fillId="22" borderId="21" xfId="0" applyFont="1" applyFill="1" applyBorder="1" applyAlignment="1">
      <alignment horizontal="left" vertical="center"/>
    </xf>
    <xf numFmtId="0" fontId="71" fillId="22"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7" xfId="0" applyFont="1" applyBorder="1" applyAlignment="1">
      <alignment horizontal="centerContinuous" vertical="center"/>
    </xf>
    <xf numFmtId="0" fontId="61" fillId="0" borderId="158" xfId="0" applyFont="1" applyBorder="1" applyAlignment="1">
      <alignment horizontal="centerContinuous" vertical="center"/>
    </xf>
    <xf numFmtId="0" fontId="63" fillId="0" borderId="158" xfId="0" applyFont="1" applyBorder="1" applyAlignment="1">
      <alignment horizontal="centerContinuous" vertical="center"/>
    </xf>
    <xf numFmtId="0" fontId="70" fillId="0" borderId="105" xfId="0" applyFont="1" applyBorder="1" applyAlignment="1">
      <alignment horizontal="center"/>
    </xf>
    <xf numFmtId="0" fontId="63" fillId="22" borderId="16" xfId="3" applyFont="1" applyFill="1" applyBorder="1" applyAlignment="1">
      <alignment horizontal="left" vertical="center"/>
    </xf>
    <xf numFmtId="0" fontId="63" fillId="22" borderId="10" xfId="3" applyFont="1" applyFill="1" applyBorder="1" applyAlignment="1">
      <alignment horizontal="left" vertical="center"/>
    </xf>
    <xf numFmtId="0" fontId="70" fillId="0" borderId="5" xfId="3" applyFont="1" applyFill="1" applyBorder="1" applyAlignment="1" applyProtection="1"/>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49" fontId="70" fillId="16" borderId="36" xfId="0" applyNumberFormat="1" applyFont="1" applyFill="1" applyBorder="1" applyAlignment="1">
      <alignment horizontal="center" vertical="center"/>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0" fontId="70" fillId="16" borderId="27" xfId="0" applyFont="1" applyFill="1" applyBorder="1" applyAlignment="1">
      <alignment horizontal="center" vertical="center"/>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0" fontId="70" fillId="16" borderId="30" xfId="0" applyFont="1" applyFill="1" applyBorder="1" applyAlignment="1" applyProtection="1">
      <alignment horizontal="center" vertical="center"/>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0" fontId="70" fillId="16" borderId="27" xfId="0" applyFont="1" applyFill="1" applyBorder="1" applyAlignment="1">
      <alignment horizontal="left" vertical="center" wrapText="1" indent="1"/>
    </xf>
    <xf numFmtId="49" fontId="68" fillId="16" borderId="41" xfId="0" applyNumberFormat="1" applyFont="1" applyFill="1" applyBorder="1" applyAlignment="1" applyProtection="1">
      <alignment horizontal="center"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0" fontId="68" fillId="16" borderId="0" xfId="10" quotePrefix="1" applyFont="1" applyFill="1" applyAlignment="1">
      <alignment horizontal="left" vertical="center"/>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0" fontId="68" fillId="16" borderId="0" xfId="11" applyFont="1" applyFill="1" applyAlignment="1">
      <alignment vertical="center"/>
    </xf>
    <xf numFmtId="0" fontId="68" fillId="16" borderId="0" xfId="0" applyFont="1" applyFill="1" applyBorder="1" applyAlignment="1">
      <alignment horizontal="right"/>
    </xf>
    <xf numFmtId="0" fontId="61" fillId="16" borderId="13" xfId="0" applyFont="1" applyFill="1" applyBorder="1" applyAlignment="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 fontId="68" fillId="0" borderId="12" xfId="0" applyNumberFormat="1" applyFont="1" applyBorder="1" applyAlignment="1">
      <alignment horizontal="left" vertical="top" wrapText="1" indent="1"/>
    </xf>
    <xf numFmtId="49" fontId="39" fillId="0" borderId="0" xfId="2" applyNumberFormat="1" applyBorder="1" applyAlignment="1" applyProtection="1">
      <alignment horizontal="center"/>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9" xfId="3" applyFont="1" applyBorder="1" applyProtection="1"/>
    <xf numFmtId="49" fontId="68" fillId="0" borderId="14" xfId="0" applyNumberFormat="1" applyFont="1" applyFill="1" applyBorder="1" applyAlignment="1" applyProtection="1">
      <alignment horizontal="center" vertical="center"/>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2" borderId="0" xfId="18" applyFont="1" applyFill="1" applyAlignment="1">
      <alignment horizontal="centerContinuous" vertical="center"/>
    </xf>
    <xf numFmtId="0" fontId="106" fillId="22" borderId="0" xfId="18" applyFont="1" applyFill="1" applyAlignment="1">
      <alignment horizontal="centerContinuous"/>
    </xf>
    <xf numFmtId="0" fontId="94" fillId="0" borderId="135"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2" fillId="0" borderId="0" xfId="18" applyFont="1" applyAlignment="1">
      <alignment wrapText="1"/>
    </xf>
    <xf numFmtId="0" fontId="136" fillId="0" borderId="160"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2"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7" xfId="18" applyFont="1" applyBorder="1" applyAlignment="1">
      <alignment horizontal="left" vertical="center" wrapText="1"/>
    </xf>
    <xf numFmtId="0" fontId="110" fillId="0" borderId="158"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30"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0" fontId="12" fillId="0" borderId="0" xfId="18" applyFont="1"/>
    <xf numFmtId="0" fontId="54" fillId="0" borderId="138" xfId="18" applyFont="1" applyBorder="1" applyAlignment="1">
      <alignment vertical="top"/>
    </xf>
    <xf numFmtId="0" fontId="54" fillId="0" borderId="139" xfId="18" applyFont="1" applyBorder="1" applyAlignment="1">
      <alignment vertical="top"/>
    </xf>
    <xf numFmtId="0" fontId="55" fillId="15" borderId="76" xfId="18" applyFont="1" applyFill="1" applyBorder="1" applyAlignment="1">
      <alignment vertical="top"/>
    </xf>
    <xf numFmtId="0" fontId="54" fillId="0" borderId="138" xfId="18" applyFont="1" applyBorder="1" applyAlignment="1">
      <alignment vertical="top" wrapText="1"/>
    </xf>
    <xf numFmtId="0" fontId="54" fillId="0" borderId="139"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38"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0" fontId="106" fillId="22" borderId="0" xfId="18" applyFont="1" applyFill="1" applyAlignment="1">
      <alignment horizontal="centerContinuous" vertical="center"/>
    </xf>
    <xf numFmtId="0" fontId="110" fillId="22" borderId="136" xfId="18" applyFont="1" applyFill="1" applyBorder="1" applyAlignment="1">
      <alignment horizontal="center" vertical="center" wrapText="1"/>
    </xf>
    <xf numFmtId="0" fontId="110" fillId="22" borderId="161" xfId="18" applyFont="1" applyFill="1" applyBorder="1" applyAlignment="1">
      <alignment horizontal="center" vertical="center" wrapText="1"/>
    </xf>
    <xf numFmtId="0" fontId="110" fillId="17" borderId="137"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7" xfId="18" applyFont="1" applyFill="1" applyBorder="1" applyAlignment="1" applyProtection="1">
      <alignment horizontal="right"/>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0" fontId="63" fillId="0" borderId="77" xfId="3" applyNumberFormat="1" applyFont="1" applyBorder="1" applyAlignment="1" applyProtection="1">
      <alignment horizontal="center"/>
      <protection locked="0"/>
    </xf>
    <xf numFmtId="0" fontId="143" fillId="20" borderId="0" xfId="0" applyFont="1" applyFill="1" applyAlignment="1">
      <alignment horizontal="center"/>
    </xf>
    <xf numFmtId="0" fontId="144" fillId="0" borderId="0" xfId="0" applyFont="1" applyAlignment="1">
      <alignment horizontal="center"/>
    </xf>
    <xf numFmtId="41" fontId="55" fillId="11" borderId="103" xfId="0" applyNumberFormat="1" applyFont="1" applyFill="1" applyBorder="1" applyAlignment="1" applyProtection="1">
      <alignment horizontal="right" shrinkToFit="1"/>
      <protection locked="0"/>
    </xf>
    <xf numFmtId="41" fontId="55" fillId="10" borderId="104" xfId="0" applyNumberFormat="1" applyFont="1" applyFill="1" applyBorder="1" applyAlignment="1">
      <alignment horizontal="right" shrinkToFit="1"/>
    </xf>
    <xf numFmtId="38" fontId="63" fillId="16" borderId="2" xfId="0" applyNumberFormat="1" applyFont="1" applyFill="1" applyBorder="1" applyAlignment="1" applyProtection="1">
      <alignment horizontal="right" vertical="center" shrinkToFit="1"/>
    </xf>
    <xf numFmtId="0" fontId="61" fillId="0" borderId="0" xfId="0" applyFont="1" applyBorder="1" applyAlignment="1" applyProtection="1">
      <alignment horizontal="center" vertical="center" shrinkToFit="1"/>
    </xf>
    <xf numFmtId="0" fontId="61" fillId="0" borderId="0" xfId="0" applyFont="1" applyBorder="1" applyAlignment="1" applyProtection="1">
      <alignment vertical="center" shrinkToFit="1"/>
    </xf>
    <xf numFmtId="38" fontId="63" fillId="16" borderId="2" xfId="0" applyNumberFormat="1" applyFont="1" applyFill="1" applyBorder="1" applyAlignment="1" applyProtection="1">
      <alignment vertical="center" shrinkToFit="1"/>
    </xf>
    <xf numFmtId="41" fontId="63" fillId="0" borderId="2" xfId="0" applyNumberFormat="1" applyFont="1" applyBorder="1" applyAlignment="1" applyProtection="1">
      <alignment vertical="center" shrinkToFit="1"/>
      <protection locked="0"/>
    </xf>
    <xf numFmtId="40" fontId="68" fillId="0" borderId="0" xfId="0" applyNumberFormat="1" applyFont="1" applyBorder="1" applyAlignment="1" applyProtection="1">
      <alignment horizontal="right" shrinkToFit="1"/>
    </xf>
    <xf numFmtId="0" fontId="61" fillId="0" borderId="0" xfId="0" applyFont="1" applyBorder="1" applyAlignment="1" applyProtection="1">
      <alignment horizontal="right" shrinkToFit="1"/>
    </xf>
    <xf numFmtId="0" fontId="60" fillId="0" borderId="0" xfId="0" applyFont="1" applyBorder="1" applyAlignment="1" applyProtection="1">
      <alignment horizontal="center" shrinkToFit="1"/>
    </xf>
    <xf numFmtId="37" fontId="68" fillId="0" borderId="0" xfId="0" applyNumberFormat="1" applyFont="1" applyBorder="1" applyAlignment="1" applyProtection="1">
      <alignment horizontal="right" shrinkToFit="1"/>
    </xf>
    <xf numFmtId="40" fontId="68" fillId="0" borderId="0" xfId="0" applyNumberFormat="1" applyFont="1" applyFill="1" applyBorder="1" applyAlignment="1" applyProtection="1">
      <alignment horizontal="right" shrinkToFit="1"/>
    </xf>
    <xf numFmtId="40" fontId="68" fillId="0" borderId="0" xfId="0" applyNumberFormat="1" applyFont="1" applyBorder="1" applyAlignment="1" applyProtection="1">
      <alignment horizontal="right" vertical="center" shrinkToFit="1"/>
    </xf>
    <xf numFmtId="40" fontId="68" fillId="0" borderId="0" xfId="0" applyNumberFormat="1" applyFont="1" applyFill="1" applyBorder="1" applyAlignment="1" applyProtection="1">
      <alignment horizontal="right" vertical="center" shrinkToFit="1"/>
    </xf>
    <xf numFmtId="0" fontId="68" fillId="0" borderId="0" xfId="0" applyFont="1" applyBorder="1" applyAlignment="1" applyProtection="1">
      <alignment horizontal="right" shrinkToFit="1"/>
    </xf>
    <xf numFmtId="175" fontId="68" fillId="0" borderId="0" xfId="0" applyNumberFormat="1" applyFont="1" applyFill="1" applyBorder="1" applyAlignment="1" applyProtection="1">
      <alignment horizontal="right" shrinkToFit="1"/>
    </xf>
    <xf numFmtId="0" fontId="60" fillId="0" borderId="0" xfId="0" applyFont="1" applyBorder="1" applyAlignment="1" applyProtection="1">
      <alignment horizontal="right" shrinkToFit="1"/>
    </xf>
    <xf numFmtId="0" fontId="63" fillId="0" borderId="0" xfId="5" applyNumberFormat="1" applyFont="1" applyBorder="1" applyAlignment="1" applyProtection="1">
      <alignment horizontal="right" shrinkToFit="1"/>
    </xf>
    <xf numFmtId="0" fontId="68"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shrinkToFit="1"/>
    </xf>
    <xf numFmtId="0" fontId="61" fillId="0" borderId="0" xfId="0" applyFont="1" applyBorder="1" applyAlignment="1" applyProtection="1">
      <alignment shrinkToFit="1"/>
    </xf>
    <xf numFmtId="0" fontId="68" fillId="0" borderId="0" xfId="5" quotePrefix="1" applyNumberFormat="1" applyFont="1" applyBorder="1" applyAlignment="1" applyProtection="1">
      <alignment horizontal="right" shrinkToFit="1"/>
    </xf>
    <xf numFmtId="1" fontId="63"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vertical="center" shrinkToFit="1"/>
    </xf>
    <xf numFmtId="172" fontId="68" fillId="0" borderId="0" xfId="0" applyNumberFormat="1" applyFont="1" applyBorder="1" applyAlignment="1" applyProtection="1">
      <alignment horizontal="right" shrinkToFit="1"/>
    </xf>
    <xf numFmtId="2" fontId="71" fillId="0" borderId="0" xfId="0" applyNumberFormat="1" applyFont="1" applyFill="1" applyBorder="1" applyAlignment="1" applyProtection="1">
      <alignment horizontal="right" shrinkToFit="1"/>
    </xf>
    <xf numFmtId="0" fontId="61" fillId="0" borderId="0" xfId="0" applyFont="1" applyFill="1" applyBorder="1" applyAlignment="1" applyProtection="1">
      <alignment shrinkToFit="1"/>
    </xf>
    <xf numFmtId="0" fontId="72" fillId="0" borderId="0" xfId="5" applyNumberFormat="1" applyFont="1" applyFill="1" applyBorder="1" applyAlignment="1" applyProtection="1">
      <alignment horizontal="right" shrinkToFit="1"/>
    </xf>
    <xf numFmtId="38" fontId="61" fillId="0" borderId="2" xfId="0" applyNumberFormat="1" applyFont="1" applyBorder="1" applyAlignment="1" applyProtection="1">
      <alignment horizontal="right" shrinkToFit="1"/>
      <protection locked="0"/>
    </xf>
    <xf numFmtId="38" fontId="61" fillId="0" borderId="2" xfId="0" applyNumberFormat="1" applyFont="1" applyFill="1" applyBorder="1" applyAlignment="1" applyProtection="1">
      <alignment horizontal="right" shrinkToFit="1"/>
      <protection locked="0"/>
    </xf>
    <xf numFmtId="38" fontId="61" fillId="3" borderId="26" xfId="0" applyNumberFormat="1" applyFont="1" applyFill="1" applyBorder="1" applyAlignment="1" applyProtection="1">
      <alignment horizontal="right" shrinkToFit="1"/>
    </xf>
    <xf numFmtId="38" fontId="61" fillId="3" borderId="18" xfId="0" applyNumberFormat="1" applyFont="1" applyFill="1" applyBorder="1" applyAlignment="1" applyProtection="1">
      <alignment horizontal="right" shrinkToFit="1"/>
    </xf>
    <xf numFmtId="38" fontId="61" fillId="0" borderId="3" xfId="0" applyNumberFormat="1" applyFont="1" applyBorder="1" applyAlignment="1" applyProtection="1">
      <alignment horizontal="right" shrinkToFit="1"/>
      <protection locked="0"/>
    </xf>
    <xf numFmtId="38" fontId="61" fillId="0" borderId="0" xfId="0" applyNumberFormat="1" applyFont="1" applyBorder="1" applyAlignment="1" applyProtection="1">
      <alignment horizontal="right" shrinkToFit="1"/>
      <protection locked="0"/>
    </xf>
    <xf numFmtId="38" fontId="61" fillId="0" borderId="3" xfId="0" applyNumberFormat="1" applyFont="1" applyFill="1" applyBorder="1" applyAlignment="1" applyProtection="1">
      <alignment horizontal="right" shrinkToFit="1"/>
      <protection locked="0"/>
    </xf>
    <xf numFmtId="38" fontId="61" fillId="6" borderId="3" xfId="0" applyNumberFormat="1" applyFont="1" applyFill="1" applyBorder="1" applyAlignment="1" applyProtection="1">
      <alignment horizontal="right" shrinkToFit="1"/>
    </xf>
    <xf numFmtId="38" fontId="61" fillId="6" borderId="26" xfId="0" applyNumberFormat="1" applyFont="1" applyFill="1" applyBorder="1" applyAlignment="1" applyProtection="1">
      <alignment horizontal="right" shrinkToFit="1"/>
    </xf>
    <xf numFmtId="38" fontId="61" fillId="0" borderId="4" xfId="0" applyNumberFormat="1" applyFont="1" applyFill="1" applyBorder="1" applyAlignment="1" applyProtection="1">
      <alignment horizontal="right" shrinkToFit="1"/>
      <protection locked="0"/>
    </xf>
    <xf numFmtId="38" fontId="61" fillId="0" borderId="26" xfId="0" applyNumberFormat="1" applyFont="1" applyFill="1" applyBorder="1" applyAlignment="1" applyProtection="1">
      <alignment horizontal="right" shrinkToFit="1"/>
      <protection locked="0"/>
    </xf>
    <xf numFmtId="38" fontId="61" fillId="6" borderId="4" xfId="0" applyNumberFormat="1" applyFont="1" applyFill="1" applyBorder="1" applyAlignment="1" applyProtection="1">
      <alignment horizontal="right" shrinkToFit="1"/>
    </xf>
    <xf numFmtId="38" fontId="61" fillId="0" borderId="4" xfId="0" applyNumberFormat="1" applyFont="1" applyBorder="1" applyAlignment="1" applyProtection="1">
      <alignment horizontal="right" shrinkToFit="1"/>
      <protection locked="0"/>
    </xf>
    <xf numFmtId="38" fontId="61" fillId="16" borderId="30" xfId="0" applyNumberFormat="1" applyFont="1" applyFill="1" applyBorder="1" applyAlignment="1" applyProtection="1">
      <alignment horizontal="right" shrinkToFit="1"/>
    </xf>
    <xf numFmtId="38" fontId="61" fillId="22" borderId="19" xfId="0" applyNumberFormat="1" applyFont="1" applyFill="1" applyBorder="1" applyAlignment="1" applyProtection="1">
      <alignment horizontal="right" shrinkToFit="1"/>
    </xf>
    <xf numFmtId="38" fontId="61" fillId="22" borderId="20" xfId="0" applyNumberFormat="1" applyFont="1" applyFill="1" applyBorder="1" applyAlignment="1" applyProtection="1">
      <alignment horizontal="right" shrinkToFit="1"/>
    </xf>
    <xf numFmtId="38" fontId="61" fillId="22" borderId="21" xfId="0" applyNumberFormat="1" applyFont="1" applyFill="1" applyBorder="1" applyAlignment="1" applyProtection="1">
      <alignment horizontal="right" shrinkToFit="1"/>
    </xf>
    <xf numFmtId="38" fontId="61" fillId="22" borderId="14" xfId="0" applyNumberFormat="1" applyFont="1" applyFill="1" applyBorder="1" applyAlignment="1" applyProtection="1">
      <alignment horizontal="right" shrinkToFit="1"/>
    </xf>
    <xf numFmtId="38" fontId="61" fillId="6" borderId="18" xfId="0" applyNumberFormat="1" applyFont="1" applyFill="1" applyBorder="1" applyAlignment="1" applyProtection="1">
      <alignment horizontal="right" shrinkToFit="1"/>
    </xf>
    <xf numFmtId="38" fontId="61" fillId="6" borderId="0" xfId="0" applyNumberFormat="1" applyFont="1" applyFill="1" applyBorder="1" applyAlignment="1" applyProtection="1">
      <alignment horizontal="right" shrinkToFit="1"/>
    </xf>
    <xf numFmtId="38" fontId="61" fillId="16" borderId="27" xfId="0" applyNumberFormat="1" applyFont="1" applyFill="1" applyBorder="1" applyAlignment="1" applyProtection="1">
      <alignment horizontal="right" shrinkToFit="1"/>
    </xf>
    <xf numFmtId="38" fontId="61" fillId="22" borderId="13" xfId="0" applyNumberFormat="1" applyFont="1" applyFill="1" applyBorder="1" applyAlignment="1" applyProtection="1">
      <alignment horizontal="right" shrinkToFit="1"/>
    </xf>
    <xf numFmtId="38" fontId="61" fillId="22" borderId="11" xfId="0" applyNumberFormat="1" applyFont="1" applyFill="1" applyBorder="1" applyAlignment="1" applyProtection="1">
      <alignment horizontal="right" shrinkToFit="1"/>
    </xf>
    <xf numFmtId="38" fontId="61" fillId="0" borderId="13" xfId="0" applyNumberFormat="1" applyFont="1" applyFill="1" applyBorder="1" applyAlignment="1" applyProtection="1">
      <alignment horizontal="right" shrinkToFit="1"/>
      <protection locked="0"/>
    </xf>
    <xf numFmtId="38" fontId="61" fillId="0" borderId="26" xfId="0" applyNumberFormat="1" applyFont="1" applyBorder="1" applyAlignment="1" applyProtection="1">
      <alignment horizontal="right" shrinkToFit="1"/>
      <protection locked="0"/>
    </xf>
    <xf numFmtId="38" fontId="61" fillId="16" borderId="26" xfId="0" applyNumberFormat="1" applyFont="1" applyFill="1" applyBorder="1" applyAlignment="1" applyProtection="1">
      <alignment horizontal="right" shrinkToFit="1"/>
    </xf>
    <xf numFmtId="38" fontId="61" fillId="16" borderId="3" xfId="0" applyNumberFormat="1" applyFont="1" applyFill="1" applyBorder="1" applyAlignment="1" applyProtection="1">
      <alignment horizontal="right" shrinkToFit="1"/>
    </xf>
    <xf numFmtId="38" fontId="61" fillId="22" borderId="49" xfId="0" applyNumberFormat="1" applyFont="1" applyFill="1" applyBorder="1" applyAlignment="1" applyProtection="1">
      <alignment horizontal="right" shrinkToFit="1"/>
    </xf>
    <xf numFmtId="38" fontId="61" fillId="22" borderId="34" xfId="0" applyNumberFormat="1" applyFont="1" applyFill="1" applyBorder="1" applyAlignment="1" applyProtection="1">
      <alignment horizontal="right" shrinkToFit="1"/>
    </xf>
    <xf numFmtId="38" fontId="63" fillId="6" borderId="26" xfId="0" applyNumberFormat="1" applyFont="1" applyFill="1" applyBorder="1" applyAlignment="1">
      <alignment horizontal="right" shrinkToFit="1"/>
    </xf>
    <xf numFmtId="38" fontId="61" fillId="6" borderId="3" xfId="0" applyNumberFormat="1" applyFont="1" applyFill="1" applyBorder="1" applyAlignment="1">
      <alignment horizontal="right" shrinkToFit="1"/>
    </xf>
    <xf numFmtId="38" fontId="61" fillId="16" borderId="4" xfId="0" applyNumberFormat="1" applyFont="1" applyFill="1" applyBorder="1" applyAlignment="1" applyProtection="1">
      <alignment horizontal="right" shrinkToFit="1"/>
    </xf>
    <xf numFmtId="38" fontId="61" fillId="16" borderId="2" xfId="0" applyNumberFormat="1" applyFont="1" applyFill="1" applyBorder="1" applyAlignment="1" applyProtection="1">
      <alignment horizontal="right" shrinkToFit="1"/>
    </xf>
    <xf numFmtId="38" fontId="61" fillId="3" borderId="21" xfId="0" applyNumberFormat="1" applyFont="1" applyFill="1" applyBorder="1" applyAlignment="1" applyProtection="1">
      <alignment horizontal="right" shrinkToFit="1"/>
    </xf>
    <xf numFmtId="38" fontId="61" fillId="3" borderId="0" xfId="0" applyNumberFormat="1" applyFont="1" applyFill="1" applyBorder="1" applyAlignment="1" applyProtection="1">
      <alignment horizontal="right" shrinkToFit="1"/>
    </xf>
    <xf numFmtId="38" fontId="61" fillId="3" borderId="3" xfId="0" applyNumberFormat="1" applyFont="1" applyFill="1" applyBorder="1" applyAlignment="1" applyProtection="1">
      <alignment horizontal="right" shrinkToFit="1"/>
    </xf>
    <xf numFmtId="38" fontId="61" fillId="3" borderId="13" xfId="0" applyNumberFormat="1" applyFont="1" applyFill="1" applyBorder="1" applyAlignment="1" applyProtection="1">
      <alignment horizontal="right" shrinkToFit="1"/>
    </xf>
    <xf numFmtId="38" fontId="61" fillId="3" borderId="2" xfId="0" applyNumberFormat="1" applyFont="1" applyFill="1" applyBorder="1" applyAlignment="1" applyProtection="1">
      <alignment horizontal="right" shrinkToFit="1"/>
    </xf>
    <xf numFmtId="38" fontId="61" fillId="0" borderId="19" xfId="0" applyNumberFormat="1" applyFont="1" applyBorder="1" applyAlignment="1" applyProtection="1">
      <alignment horizontal="right" shrinkToFit="1"/>
      <protection locked="0"/>
    </xf>
    <xf numFmtId="38" fontId="61" fillId="0" borderId="11" xfId="0" applyNumberFormat="1" applyFont="1" applyBorder="1" applyAlignment="1" applyProtection="1">
      <alignment horizontal="right" shrinkToFit="1"/>
      <protection locked="0"/>
    </xf>
    <xf numFmtId="38" fontId="61" fillId="22" borderId="31" xfId="0" applyNumberFormat="1" applyFont="1" applyFill="1" applyBorder="1" applyAlignment="1" applyProtection="1">
      <alignment horizontal="right" shrinkToFit="1"/>
    </xf>
    <xf numFmtId="38" fontId="61" fillId="3" borderId="11" xfId="0" applyNumberFormat="1" applyFont="1" applyFill="1" applyBorder="1" applyAlignment="1" applyProtection="1">
      <alignment horizontal="right" shrinkToFit="1"/>
    </xf>
    <xf numFmtId="38" fontId="61" fillId="3" borderId="4" xfId="0" applyNumberFormat="1" applyFont="1" applyFill="1" applyBorder="1" applyAlignment="1" applyProtection="1">
      <alignment horizontal="right" shrinkToFit="1"/>
    </xf>
    <xf numFmtId="38" fontId="61" fillId="16" borderId="18" xfId="0" applyNumberFormat="1" applyFont="1" applyFill="1" applyBorder="1" applyAlignment="1" applyProtection="1">
      <alignment horizontal="right" shrinkToFit="1"/>
    </xf>
    <xf numFmtId="38" fontId="61" fillId="16" borderId="19" xfId="0" applyNumberFormat="1" applyFont="1" applyFill="1" applyBorder="1" applyAlignment="1" applyProtection="1">
      <alignment horizontal="right" shrinkToFit="1"/>
    </xf>
    <xf numFmtId="38" fontId="61" fillId="3" borderId="14" xfId="0" applyNumberFormat="1" applyFont="1" applyFill="1" applyBorder="1" applyAlignment="1" applyProtection="1">
      <alignment horizontal="right" shrinkToFit="1"/>
    </xf>
    <xf numFmtId="38" fontId="61" fillId="16" borderId="0" xfId="0" applyNumberFormat="1" applyFont="1" applyFill="1" applyAlignment="1" applyProtection="1">
      <alignment horizontal="right" shrinkToFit="1"/>
    </xf>
    <xf numFmtId="38" fontId="61" fillId="16" borderId="28" xfId="0" applyNumberFormat="1" applyFont="1" applyFill="1" applyBorder="1" applyAlignment="1" applyProtection="1">
      <alignment horizontal="right" shrinkToFit="1"/>
    </xf>
    <xf numFmtId="38" fontId="61" fillId="6" borderId="2" xfId="0" applyNumberFormat="1" applyFont="1" applyFill="1" applyBorder="1" applyAlignment="1" applyProtection="1">
      <alignment horizontal="right" shrinkToFit="1"/>
    </xf>
    <xf numFmtId="38" fontId="61" fillId="16" borderId="32" xfId="0" applyNumberFormat="1" applyFont="1" applyFill="1" applyBorder="1" applyAlignment="1" applyProtection="1">
      <alignment horizontal="right" shrinkToFit="1"/>
    </xf>
    <xf numFmtId="38" fontId="61" fillId="6" borderId="28" xfId="0" applyNumberFormat="1" applyFont="1" applyFill="1" applyBorder="1" applyAlignment="1" applyProtection="1">
      <alignment horizontal="right" shrinkToFit="1"/>
    </xf>
    <xf numFmtId="38" fontId="61" fillId="0" borderId="27" xfId="0" applyNumberFormat="1" applyFont="1" applyFill="1" applyBorder="1" applyAlignment="1" applyProtection="1">
      <alignment horizontal="right" shrinkToFit="1"/>
      <protection locked="0"/>
    </xf>
    <xf numFmtId="38" fontId="61" fillId="0" borderId="33" xfId="0" applyNumberFormat="1" applyFont="1" applyFill="1" applyBorder="1" applyAlignment="1" applyProtection="1">
      <alignment horizontal="right" shrinkToFit="1"/>
      <protection locked="0"/>
    </xf>
    <xf numFmtId="38" fontId="61" fillId="0" borderId="32" xfId="0" applyNumberFormat="1" applyFont="1" applyFill="1" applyBorder="1" applyAlignment="1" applyProtection="1">
      <alignment horizontal="right" shrinkToFit="1"/>
      <protection locked="0"/>
    </xf>
    <xf numFmtId="38" fontId="61" fillId="16" borderId="33" xfId="0" applyNumberFormat="1" applyFont="1" applyFill="1" applyBorder="1" applyAlignment="1" applyProtection="1">
      <alignment horizontal="right" shrinkToFit="1"/>
    </xf>
    <xf numFmtId="38" fontId="61" fillId="0" borderId="29" xfId="0" applyNumberFormat="1" applyFont="1" applyFill="1" applyBorder="1" applyAlignment="1" applyProtection="1">
      <alignment horizontal="right" shrinkToFit="1"/>
      <protection locked="0"/>
    </xf>
    <xf numFmtId="38" fontId="61" fillId="0" borderId="0" xfId="0" applyNumberFormat="1" applyFont="1" applyAlignment="1" applyProtection="1">
      <alignment horizontal="right" shrinkToFit="1"/>
      <protection locked="0"/>
    </xf>
    <xf numFmtId="38" fontId="61" fillId="0" borderId="13" xfId="0" applyNumberFormat="1" applyFont="1" applyBorder="1" applyAlignment="1" applyProtection="1">
      <alignment horizontal="right" shrinkToFit="1"/>
      <protection locked="0"/>
    </xf>
    <xf numFmtId="38" fontId="61" fillId="16" borderId="36" xfId="0" applyNumberFormat="1" applyFont="1" applyFill="1" applyBorder="1" applyAlignment="1" applyProtection="1">
      <alignment horizontal="right" shrinkToFit="1"/>
    </xf>
    <xf numFmtId="38" fontId="61" fillId="3" borderId="17" xfId="0" applyNumberFormat="1" applyFont="1" applyFill="1" applyBorder="1" applyAlignment="1" applyProtection="1">
      <alignment horizontal="right" shrinkToFit="1"/>
    </xf>
    <xf numFmtId="37" fontId="61" fillId="16" borderId="36" xfId="0" applyNumberFormat="1" applyFont="1" applyFill="1" applyBorder="1" applyAlignment="1" applyProtection="1">
      <alignment horizontal="right" shrinkToFit="1"/>
    </xf>
    <xf numFmtId="37" fontId="61" fillId="16" borderId="27" xfId="0" applyNumberFormat="1" applyFont="1" applyFill="1" applyBorder="1" applyAlignment="1" applyProtection="1">
      <alignment horizontal="right" shrinkToFit="1"/>
    </xf>
    <xf numFmtId="37" fontId="61" fillId="3" borderId="17" xfId="0" applyNumberFormat="1" applyFont="1" applyFill="1" applyBorder="1" applyAlignment="1" applyProtection="1">
      <alignment horizontal="right" shrinkToFit="1"/>
    </xf>
    <xf numFmtId="37" fontId="61" fillId="3" borderId="26" xfId="0" applyNumberFormat="1" applyFont="1" applyFill="1" applyBorder="1" applyAlignment="1" applyProtection="1">
      <alignment horizontal="right" shrinkToFit="1"/>
    </xf>
    <xf numFmtId="38" fontId="61" fillId="0" borderId="19" xfId="0" applyNumberFormat="1" applyFont="1" applyFill="1" applyBorder="1" applyAlignment="1" applyProtection="1">
      <alignment horizontal="right" shrinkToFit="1"/>
      <protection locked="0"/>
    </xf>
    <xf numFmtId="38" fontId="61" fillId="3" borderId="0" xfId="0" applyNumberFormat="1" applyFont="1" applyFill="1" applyAlignment="1" applyProtection="1">
      <alignment horizontal="right" shrinkToFit="1"/>
    </xf>
    <xf numFmtId="38" fontId="61" fillId="16" borderId="37" xfId="0" applyNumberFormat="1" applyFont="1" applyFill="1" applyBorder="1" applyAlignment="1" applyProtection="1">
      <alignment horizontal="right" shrinkToFit="1"/>
    </xf>
    <xf numFmtId="38" fontId="61" fillId="16" borderId="12" xfId="0" applyNumberFormat="1" applyFont="1" applyFill="1" applyBorder="1" applyAlignment="1" applyProtection="1">
      <alignment horizontal="right" shrinkToFit="1"/>
    </xf>
    <xf numFmtId="38" fontId="61" fillId="3" borderId="19" xfId="0" applyNumberFormat="1" applyFont="1" applyFill="1" applyBorder="1" applyAlignment="1" applyProtection="1">
      <alignment horizontal="right" shrinkToFit="1"/>
    </xf>
    <xf numFmtId="38" fontId="61" fillId="3" borderId="38" xfId="0" applyNumberFormat="1" applyFont="1" applyFill="1" applyBorder="1" applyAlignment="1" applyProtection="1">
      <alignment horizontal="right" shrinkToFit="1"/>
    </xf>
    <xf numFmtId="38" fontId="61" fillId="3" borderId="28" xfId="0" applyNumberFormat="1" applyFont="1" applyFill="1" applyBorder="1" applyAlignment="1" applyProtection="1">
      <alignment horizontal="right" shrinkToFit="1"/>
    </xf>
    <xf numFmtId="38" fontId="61" fillId="0" borderId="125" xfId="0" applyNumberFormat="1" applyFont="1" applyBorder="1" applyAlignment="1" applyProtection="1">
      <alignment horizontal="right" shrinkToFit="1"/>
      <protection locked="0"/>
    </xf>
    <xf numFmtId="38" fontId="61" fillId="3" borderId="125" xfId="0" applyNumberFormat="1" applyFont="1" applyFill="1" applyBorder="1" applyAlignment="1" applyProtection="1">
      <alignment horizontal="right" shrinkToFit="1"/>
    </xf>
    <xf numFmtId="38" fontId="61" fillId="3" borderId="29" xfId="0" applyNumberFormat="1" applyFont="1" applyFill="1" applyBorder="1" applyAlignment="1" applyProtection="1">
      <alignment horizontal="right" shrinkToFit="1"/>
    </xf>
    <xf numFmtId="38" fontId="61" fillId="0" borderId="32" xfId="0" applyNumberFormat="1" applyFont="1" applyBorder="1" applyAlignment="1" applyProtection="1">
      <alignment horizontal="right" shrinkToFit="1"/>
      <protection locked="0"/>
    </xf>
    <xf numFmtId="38" fontId="61" fillId="0" borderId="37" xfId="0" applyNumberFormat="1" applyFont="1" applyBorder="1" applyAlignment="1" applyProtection="1">
      <alignment horizontal="right" shrinkToFit="1"/>
      <protection locked="0"/>
    </xf>
    <xf numFmtId="38" fontId="61" fillId="0" borderId="33" xfId="0" applyNumberFormat="1" applyFont="1" applyBorder="1" applyAlignment="1" applyProtection="1">
      <alignment horizontal="right" shrinkToFit="1"/>
      <protection locked="0"/>
    </xf>
    <xf numFmtId="38" fontId="61" fillId="0" borderId="36" xfId="0" applyNumberFormat="1" applyFont="1" applyFill="1" applyBorder="1" applyAlignment="1" applyProtection="1">
      <alignment horizontal="right" shrinkToFit="1"/>
      <protection locked="0"/>
    </xf>
    <xf numFmtId="38" fontId="61" fillId="0" borderId="27" xfId="0" applyNumberFormat="1" applyFont="1" applyBorder="1" applyAlignment="1" applyProtection="1">
      <alignment horizontal="right" shrinkToFit="1"/>
      <protection locked="0"/>
    </xf>
    <xf numFmtId="38" fontId="61" fillId="0" borderId="55" xfId="0" applyNumberFormat="1" applyFont="1" applyBorder="1" applyAlignment="1" applyProtection="1">
      <alignment horizontal="right" vertical="center" shrinkToFit="1"/>
      <protection locked="0"/>
    </xf>
    <xf numFmtId="38" fontId="61" fillId="0" borderId="32" xfId="0" applyNumberFormat="1" applyFont="1" applyBorder="1" applyAlignment="1" applyProtection="1">
      <alignment horizontal="right" vertical="center" shrinkToFit="1"/>
      <protection locked="0"/>
    </xf>
    <xf numFmtId="38" fontId="61" fillId="0" borderId="27" xfId="0" applyNumberFormat="1" applyFont="1" applyFill="1" applyBorder="1" applyAlignment="1" applyProtection="1">
      <alignment horizontal="right" vertical="center" shrinkToFit="1"/>
      <protection locked="0"/>
    </xf>
    <xf numFmtId="38" fontId="61" fillId="0" borderId="32" xfId="0" applyNumberFormat="1" applyFont="1" applyFill="1" applyBorder="1" applyAlignment="1" applyProtection="1">
      <alignment horizontal="right" vertical="center" shrinkToFit="1"/>
      <protection locked="0"/>
    </xf>
    <xf numFmtId="38" fontId="61" fillId="16" borderId="55" xfId="0" applyNumberFormat="1" applyFont="1" applyFill="1" applyBorder="1" applyAlignment="1" applyProtection="1">
      <alignment horizontal="right" shrinkToFit="1"/>
    </xf>
    <xf numFmtId="38" fontId="61" fillId="3" borderId="31" xfId="0" applyNumberFormat="1" applyFont="1" applyFill="1" applyBorder="1" applyAlignment="1" applyProtection="1">
      <alignment horizontal="right" vertical="center" shrinkToFit="1"/>
    </xf>
    <xf numFmtId="38" fontId="61" fillId="3" borderId="28" xfId="0" applyNumberFormat="1" applyFont="1" applyFill="1" applyBorder="1" applyAlignment="1" applyProtection="1">
      <alignment horizontal="right" vertical="center" shrinkToFit="1"/>
    </xf>
    <xf numFmtId="38" fontId="61" fillId="3" borderId="0" xfId="0" applyNumberFormat="1" applyFont="1" applyFill="1" applyAlignment="1" applyProtection="1">
      <alignment horizontal="right" vertical="center" shrinkToFit="1"/>
    </xf>
    <xf numFmtId="38" fontId="61" fillId="3" borderId="26" xfId="0" applyNumberFormat="1" applyFont="1" applyFill="1" applyBorder="1" applyAlignment="1" applyProtection="1">
      <alignment horizontal="right" vertical="center" shrinkToFit="1"/>
    </xf>
    <xf numFmtId="38" fontId="61" fillId="3" borderId="39" xfId="0" applyNumberFormat="1" applyFont="1" applyFill="1" applyBorder="1" applyAlignment="1" applyProtection="1">
      <alignment horizontal="right" shrinkToFit="1"/>
    </xf>
    <xf numFmtId="38" fontId="61" fillId="0" borderId="2" xfId="0" applyNumberFormat="1" applyFont="1" applyFill="1" applyBorder="1" applyAlignment="1" applyProtection="1">
      <alignment horizontal="right" vertical="center" shrinkToFit="1"/>
      <protection locked="0"/>
    </xf>
    <xf numFmtId="38" fontId="61" fillId="6" borderId="2" xfId="0" applyNumberFormat="1" applyFont="1" applyFill="1" applyBorder="1" applyAlignment="1" applyProtection="1">
      <alignment horizontal="right" vertical="center" shrinkToFit="1"/>
    </xf>
    <xf numFmtId="38" fontId="61" fillId="0" borderId="122" xfId="0" applyNumberFormat="1" applyFont="1" applyFill="1" applyBorder="1" applyAlignment="1" applyProtection="1">
      <alignment horizontal="right" shrinkToFit="1"/>
      <protection locked="0"/>
    </xf>
    <xf numFmtId="38" fontId="61" fillId="0" borderId="121" xfId="0" applyNumberFormat="1" applyFont="1" applyFill="1" applyBorder="1" applyAlignment="1" applyProtection="1">
      <alignment horizontal="right" shrinkToFit="1"/>
      <protection locked="0"/>
    </xf>
    <xf numFmtId="38" fontId="61" fillId="0" borderId="111" xfId="0" applyNumberFormat="1" applyFont="1" applyFill="1" applyBorder="1" applyAlignment="1" applyProtection="1">
      <alignment horizontal="right" shrinkToFit="1"/>
      <protection locked="0"/>
    </xf>
    <xf numFmtId="3" fontId="61" fillId="3" borderId="125" xfId="0" applyNumberFormat="1" applyFont="1" applyFill="1" applyBorder="1" applyAlignment="1">
      <alignment horizontal="center" shrinkToFit="1"/>
    </xf>
    <xf numFmtId="3" fontId="61" fillId="3" borderId="26" xfId="0" applyNumberFormat="1" applyFont="1" applyFill="1" applyBorder="1" applyAlignment="1">
      <alignment horizontal="center" shrinkToFit="1"/>
    </xf>
    <xf numFmtId="3" fontId="61" fillId="3" borderId="125" xfId="0" applyNumberFormat="1" applyFont="1" applyFill="1" applyBorder="1" applyAlignment="1">
      <alignment horizontal="right" shrinkToFit="1"/>
    </xf>
    <xf numFmtId="38" fontId="61" fillId="16" borderId="2" xfId="0" applyNumberFormat="1" applyFont="1" applyFill="1" applyBorder="1" applyAlignment="1">
      <alignment horizontal="right" shrinkToFit="1"/>
    </xf>
    <xf numFmtId="38" fontId="61" fillId="3" borderId="26" xfId="0" applyNumberFormat="1" applyFont="1" applyFill="1" applyBorder="1" applyAlignment="1">
      <alignment horizontal="right" shrinkToFit="1"/>
    </xf>
    <xf numFmtId="38" fontId="61" fillId="16" borderId="27" xfId="0" applyNumberFormat="1" applyFont="1" applyFill="1" applyBorder="1" applyAlignment="1">
      <alignment horizontal="right" shrinkToFit="1"/>
    </xf>
    <xf numFmtId="38" fontId="61" fillId="3" borderId="28" xfId="0" applyNumberFormat="1" applyFont="1" applyFill="1" applyBorder="1" applyAlignment="1">
      <alignment horizontal="right" shrinkToFit="1"/>
    </xf>
    <xf numFmtId="38" fontId="61" fillId="3" borderId="4" xfId="0" applyNumberFormat="1" applyFont="1" applyFill="1" applyBorder="1" applyAlignment="1">
      <alignment horizontal="right" shrinkToFit="1"/>
    </xf>
    <xf numFmtId="38" fontId="61" fillId="3" borderId="29" xfId="0" applyNumberFormat="1" applyFont="1" applyFill="1" applyBorder="1" applyAlignment="1">
      <alignment horizontal="right" shrinkToFit="1"/>
    </xf>
    <xf numFmtId="38" fontId="61" fillId="16" borderId="4" xfId="0" applyNumberFormat="1" applyFont="1" applyFill="1" applyBorder="1" applyAlignment="1">
      <alignment horizontal="right" shrinkToFit="1"/>
    </xf>
    <xf numFmtId="38" fontId="61" fillId="16" borderId="30" xfId="0" applyNumberFormat="1" applyFont="1" applyFill="1" applyBorder="1" applyAlignment="1">
      <alignment horizontal="right" shrinkToFit="1"/>
    </xf>
    <xf numFmtId="38" fontId="61" fillId="3" borderId="31" xfId="0" applyNumberFormat="1" applyFont="1" applyFill="1" applyBorder="1" applyAlignment="1">
      <alignment horizontal="right" shrinkToFit="1"/>
    </xf>
    <xf numFmtId="38" fontId="61" fillId="16" borderId="32" xfId="0" applyNumberFormat="1" applyFont="1" applyFill="1" applyBorder="1" applyAlignment="1">
      <alignment horizontal="right" shrinkToFit="1"/>
    </xf>
    <xf numFmtId="38" fontId="61" fillId="5" borderId="4" xfId="0" applyNumberFormat="1" applyFont="1" applyFill="1" applyBorder="1" applyAlignment="1" applyProtection="1">
      <alignment horizontal="right" shrinkToFit="1"/>
      <protection locked="0"/>
    </xf>
    <xf numFmtId="38" fontId="61" fillId="6" borderId="28" xfId="0" applyNumberFormat="1" applyFont="1" applyFill="1" applyBorder="1" applyAlignment="1">
      <alignment horizontal="right" shrinkToFit="1"/>
    </xf>
    <xf numFmtId="38" fontId="61" fillId="6" borderId="26" xfId="0" applyNumberFormat="1" applyFont="1" applyFill="1" applyBorder="1" applyAlignment="1">
      <alignment horizontal="right" shrinkToFit="1"/>
    </xf>
    <xf numFmtId="38" fontId="61" fillId="0" borderId="125" xfId="0" applyNumberFormat="1" applyFont="1" applyFill="1" applyBorder="1" applyAlignment="1" applyProtection="1">
      <alignment horizontal="right" shrinkToFit="1"/>
      <protection locked="0"/>
    </xf>
    <xf numFmtId="38" fontId="61" fillId="6" borderId="4" xfId="0" applyNumberFormat="1" applyFont="1" applyFill="1" applyBorder="1" applyAlignment="1">
      <alignment horizontal="right" shrinkToFit="1"/>
    </xf>
    <xf numFmtId="38" fontId="61" fillId="16" borderId="33" xfId="0" applyNumberFormat="1" applyFont="1" applyFill="1" applyBorder="1" applyAlignment="1">
      <alignment horizontal="right" shrinkToFit="1"/>
    </xf>
    <xf numFmtId="38" fontId="61" fillId="16" borderId="26" xfId="0" applyNumberFormat="1" applyFont="1" applyFill="1" applyBorder="1" applyAlignment="1">
      <alignment horizontal="right" shrinkToFit="1"/>
    </xf>
    <xf numFmtId="38" fontId="61" fillId="16" borderId="28" xfId="0" applyNumberFormat="1" applyFont="1" applyFill="1" applyBorder="1" applyAlignment="1">
      <alignment horizontal="right" shrinkToFit="1"/>
    </xf>
    <xf numFmtId="38" fontId="61" fillId="0" borderId="21" xfId="0" applyNumberFormat="1" applyFont="1" applyFill="1" applyBorder="1" applyAlignment="1">
      <alignment horizontal="right" shrinkToFit="1"/>
    </xf>
    <xf numFmtId="38" fontId="61" fillId="23" borderId="19" xfId="0" applyNumberFormat="1" applyFont="1" applyFill="1" applyBorder="1" applyAlignment="1">
      <alignment horizontal="right" shrinkToFit="1"/>
    </xf>
    <xf numFmtId="38" fontId="61" fillId="23" borderId="20" xfId="0" applyNumberFormat="1" applyFont="1" applyFill="1" applyBorder="1" applyAlignment="1">
      <alignment horizontal="right" shrinkToFit="1"/>
    </xf>
    <xf numFmtId="38" fontId="61" fillId="23" borderId="11" xfId="0" applyNumberFormat="1" applyFont="1" applyFill="1" applyBorder="1" applyAlignment="1">
      <alignment horizontal="right" shrinkToFit="1"/>
    </xf>
    <xf numFmtId="38" fontId="61" fillId="3" borderId="2" xfId="0" applyNumberFormat="1" applyFont="1" applyFill="1" applyBorder="1" applyAlignment="1">
      <alignment horizontal="right" shrinkToFit="1"/>
    </xf>
    <xf numFmtId="38" fontId="61" fillId="0" borderId="29" xfId="0" applyNumberFormat="1" applyFont="1" applyBorder="1" applyAlignment="1" applyProtection="1">
      <alignment horizontal="right" shrinkToFit="1"/>
      <protection locked="0"/>
    </xf>
    <xf numFmtId="38" fontId="61" fillId="16" borderId="29" xfId="0" applyNumberFormat="1" applyFont="1" applyFill="1" applyBorder="1" applyAlignment="1">
      <alignment horizontal="right" shrinkToFit="1"/>
    </xf>
    <xf numFmtId="38" fontId="61" fillId="16" borderId="125" xfId="0" applyNumberFormat="1" applyFont="1" applyFill="1" applyBorder="1" applyAlignment="1" applyProtection="1">
      <alignment horizontal="right" shrinkToFit="1"/>
    </xf>
    <xf numFmtId="38" fontId="61" fillId="6" borderId="29" xfId="0" applyNumberFormat="1" applyFont="1" applyFill="1" applyBorder="1" applyAlignment="1">
      <alignment horizontal="right" shrinkToFit="1"/>
    </xf>
    <xf numFmtId="38" fontId="61" fillId="15" borderId="3" xfId="0" applyNumberFormat="1" applyFont="1" applyFill="1" applyBorder="1" applyAlignment="1" applyProtection="1">
      <alignment horizontal="right" shrinkToFit="1"/>
    </xf>
    <xf numFmtId="38" fontId="61" fillId="15" borderId="3" xfId="0" applyNumberFormat="1" applyFont="1" applyFill="1" applyBorder="1" applyAlignment="1">
      <alignment horizontal="right" shrinkToFit="1"/>
    </xf>
    <xf numFmtId="38" fontId="61" fillId="15" borderId="26" xfId="0" applyNumberFormat="1" applyFont="1" applyFill="1" applyBorder="1" applyAlignment="1" applyProtection="1">
      <alignment horizontal="right" shrinkToFit="1"/>
    </xf>
    <xf numFmtId="38" fontId="61" fillId="15" borderId="26" xfId="0" applyNumberFormat="1" applyFont="1" applyFill="1" applyBorder="1" applyAlignment="1">
      <alignment horizontal="right" shrinkToFit="1"/>
    </xf>
    <xf numFmtId="38" fontId="61" fillId="22" borderId="19" xfId="0" applyNumberFormat="1" applyFont="1" applyFill="1" applyBorder="1" applyAlignment="1">
      <alignment horizontal="right" shrinkToFit="1"/>
    </xf>
    <xf numFmtId="38" fontId="61" fillId="22" borderId="20" xfId="0" applyNumberFormat="1" applyFont="1" applyFill="1" applyBorder="1" applyAlignment="1">
      <alignment horizontal="right" shrinkToFit="1"/>
    </xf>
    <xf numFmtId="38" fontId="61" fillId="22" borderId="11" xfId="0" applyNumberFormat="1" applyFont="1" applyFill="1" applyBorder="1" applyAlignment="1">
      <alignment horizontal="right" shrinkToFit="1"/>
    </xf>
    <xf numFmtId="38" fontId="61" fillId="3" borderId="125" xfId="0" applyNumberFormat="1" applyFont="1" applyFill="1" applyBorder="1" applyAlignment="1">
      <alignment horizontal="right" shrinkToFit="1"/>
    </xf>
    <xf numFmtId="38" fontId="61" fillId="3" borderId="3" xfId="0" applyNumberFormat="1" applyFont="1" applyFill="1" applyBorder="1" applyAlignment="1">
      <alignment horizontal="right" shrinkToFit="1"/>
    </xf>
    <xf numFmtId="38" fontId="61" fillId="0" borderId="20" xfId="0" applyNumberFormat="1" applyFont="1" applyFill="1" applyBorder="1" applyAlignment="1">
      <alignment horizontal="right" shrinkToFit="1"/>
    </xf>
    <xf numFmtId="38" fontId="61" fillId="22" borderId="13" xfId="0" applyNumberFormat="1" applyFont="1" applyFill="1" applyBorder="1" applyAlignment="1">
      <alignment horizontal="right" shrinkToFit="1"/>
    </xf>
    <xf numFmtId="38" fontId="61" fillId="22" borderId="21" xfId="0" applyNumberFormat="1" applyFont="1" applyFill="1" applyBorder="1" applyAlignment="1">
      <alignment horizontal="right" shrinkToFit="1"/>
    </xf>
    <xf numFmtId="38" fontId="61" fillId="22" borderId="14" xfId="0" applyNumberFormat="1" applyFont="1" applyFill="1" applyBorder="1" applyAlignment="1">
      <alignment horizontal="right" shrinkToFit="1"/>
    </xf>
    <xf numFmtId="38" fontId="61" fillId="0" borderId="0" xfId="0" applyNumberFormat="1" applyFont="1" applyFill="1" applyBorder="1" applyAlignment="1">
      <alignment horizontal="right" shrinkToFit="1"/>
    </xf>
    <xf numFmtId="38" fontId="61" fillId="16" borderId="3" xfId="0" applyNumberFormat="1" applyFont="1" applyFill="1" applyBorder="1" applyAlignment="1">
      <alignment horizontal="right" shrinkToFit="1"/>
    </xf>
    <xf numFmtId="38" fontId="61" fillId="25" borderId="26" xfId="0" applyNumberFormat="1" applyFont="1" applyFill="1" applyBorder="1" applyAlignment="1">
      <alignment horizontal="right" shrinkToFit="1"/>
    </xf>
    <xf numFmtId="38" fontId="61" fillId="2" borderId="2" xfId="0" applyNumberFormat="1" applyFont="1" applyFill="1" applyBorder="1" applyAlignment="1">
      <alignment horizontal="right" shrinkToFit="1"/>
    </xf>
    <xf numFmtId="0" fontId="63" fillId="6" borderId="0" xfId="0" applyFont="1" applyFill="1" applyAlignment="1">
      <alignment vertical="center" shrinkToFit="1"/>
    </xf>
    <xf numFmtId="38" fontId="61" fillId="6" borderId="0" xfId="8" applyNumberFormat="1" applyFont="1" applyFill="1" applyBorder="1" applyAlignment="1" applyProtection="1">
      <alignment horizontal="right" shrinkToFit="1"/>
    </xf>
    <xf numFmtId="38" fontId="61" fillId="6" borderId="26" xfId="8" applyNumberFormat="1" applyFont="1" applyFill="1" applyBorder="1" applyAlignment="1" applyProtection="1">
      <alignment horizontal="right" shrinkToFit="1"/>
    </xf>
    <xf numFmtId="38" fontId="61" fillId="0" borderId="2" xfId="8" applyNumberFormat="1" applyFont="1" applyFill="1" applyBorder="1" applyAlignment="1" applyProtection="1">
      <alignment horizontal="right" shrinkToFit="1"/>
      <protection locked="0"/>
    </xf>
    <xf numFmtId="38" fontId="61" fillId="16" borderId="125" xfId="0" applyNumberFormat="1" applyFont="1" applyFill="1" applyBorder="1" applyAlignment="1" applyProtection="1">
      <alignment horizontal="right" vertical="center" shrinkToFit="1"/>
      <protection locked="0"/>
    </xf>
    <xf numFmtId="38" fontId="61" fillId="0" borderId="125" xfId="0" applyNumberFormat="1" applyFont="1" applyFill="1" applyBorder="1" applyAlignment="1" applyProtection="1">
      <alignment horizontal="right" vertical="center" shrinkToFit="1"/>
      <protection locked="0"/>
    </xf>
    <xf numFmtId="38" fontId="61" fillId="16" borderId="125" xfId="0" applyNumberFormat="1" applyFont="1" applyFill="1" applyBorder="1" applyAlignment="1" applyProtection="1">
      <alignment horizontal="right" vertical="center" shrinkToFit="1"/>
    </xf>
    <xf numFmtId="38" fontId="61" fillId="16" borderId="2" xfId="0" applyNumberFormat="1" applyFont="1" applyFill="1" applyBorder="1" applyAlignment="1" applyProtection="1">
      <alignment horizontal="right" vertical="center" shrinkToFit="1"/>
      <protection locked="0"/>
    </xf>
    <xf numFmtId="38" fontId="61" fillId="16" borderId="2" xfId="0" applyNumberFormat="1" applyFont="1" applyFill="1" applyBorder="1" applyAlignment="1" applyProtection="1">
      <alignment horizontal="right" vertical="center" shrinkToFit="1"/>
    </xf>
    <xf numFmtId="38" fontId="61" fillId="16" borderId="27" xfId="0" applyNumberFormat="1" applyFont="1" applyFill="1" applyBorder="1" applyAlignment="1" applyProtection="1">
      <alignment horizontal="right" vertical="center" shrinkToFit="1"/>
      <protection locked="0"/>
    </xf>
    <xf numFmtId="42" fontId="55" fillId="11" borderId="110" xfId="0" applyNumberFormat="1" applyFont="1" applyFill="1" applyBorder="1" applyAlignment="1" applyProtection="1">
      <alignment horizontal="right" shrinkToFit="1"/>
      <protection locked="0"/>
    </xf>
    <xf numFmtId="42" fontId="55" fillId="10" borderId="110" xfId="0" applyNumberFormat="1" applyFont="1" applyFill="1" applyBorder="1" applyAlignment="1">
      <alignment horizontal="right"/>
    </xf>
    <xf numFmtId="42" fontId="55" fillId="10" borderId="0" xfId="0" applyNumberFormat="1" applyFont="1" applyFill="1" applyBorder="1" applyAlignment="1" applyProtection="1">
      <alignment horizontal="right" shrinkToFit="1"/>
      <protection locked="0"/>
    </xf>
    <xf numFmtId="38" fontId="70" fillId="6" borderId="10" xfId="0" applyNumberFormat="1" applyFont="1" applyFill="1" applyBorder="1" applyAlignment="1" applyProtection="1">
      <alignment horizontal="center" vertical="center" wrapText="1"/>
      <protection hidden="1"/>
    </xf>
    <xf numFmtId="38" fontId="70" fillId="6" borderId="3" xfId="0" applyNumberFormat="1" applyFont="1" applyFill="1" applyBorder="1" applyAlignment="1" applyProtection="1">
      <alignment horizontal="center" vertical="center" wrapText="1"/>
      <protection hidden="1"/>
    </xf>
    <xf numFmtId="38" fontId="61" fillId="16" borderId="27" xfId="0" applyNumberFormat="1" applyFont="1" applyFill="1" applyBorder="1" applyAlignment="1" applyProtection="1">
      <alignment horizontal="right" vertical="center" shrinkToFit="1"/>
    </xf>
    <xf numFmtId="38" fontId="61" fillId="0" borderId="2" xfId="0" applyNumberFormat="1" applyFont="1" applyBorder="1" applyAlignment="1" applyProtection="1">
      <alignment horizontal="right" vertical="center" shrinkToFit="1"/>
      <protection locked="0"/>
    </xf>
    <xf numFmtId="38" fontId="61" fillId="0" borderId="2" xfId="9" applyNumberFormat="1" applyFont="1" applyFill="1" applyBorder="1" applyAlignment="1" applyProtection="1">
      <alignment horizontal="right" shrinkToFit="1"/>
      <protection locked="0"/>
    </xf>
    <xf numFmtId="3" fontId="61" fillId="0" borderId="2" xfId="9" applyNumberFormat="1" applyFont="1" applyFill="1" applyBorder="1" applyAlignment="1" applyProtection="1">
      <alignment horizontal="right" vertical="center" shrinkToFit="1"/>
      <protection locked="0"/>
    </xf>
    <xf numFmtId="38" fontId="61" fillId="16" borderId="2" xfId="9" applyNumberFormat="1" applyFont="1" applyFill="1" applyBorder="1" applyAlignment="1" applyProtection="1">
      <alignment horizontal="right" shrinkToFit="1"/>
    </xf>
    <xf numFmtId="38" fontId="61" fillId="0" borderId="2" xfId="9" applyNumberFormat="1" applyFont="1" applyFill="1" applyBorder="1" applyAlignment="1" applyProtection="1">
      <alignment horizontal="right" vertical="center" shrinkToFit="1"/>
      <protection locked="0"/>
    </xf>
    <xf numFmtId="0" fontId="61" fillId="0" borderId="2" xfId="0" applyFont="1" applyFill="1" applyBorder="1" applyAlignment="1" applyProtection="1">
      <alignment horizontal="right" shrinkToFit="1"/>
      <protection locked="0"/>
    </xf>
    <xf numFmtId="0" fontId="61" fillId="0" borderId="2" xfId="9" applyFont="1" applyFill="1" applyBorder="1" applyAlignment="1" applyProtection="1">
      <alignment horizontal="right" vertical="top" shrinkToFit="1"/>
      <protection locked="0"/>
    </xf>
    <xf numFmtId="38" fontId="61" fillId="0" borderId="2" xfId="9" applyNumberFormat="1" applyFont="1" applyFill="1" applyBorder="1" applyAlignment="1" applyProtection="1">
      <alignment horizontal="right" vertical="top" shrinkToFit="1"/>
      <protection locked="0"/>
    </xf>
    <xf numFmtId="38" fontId="61" fillId="0" borderId="2" xfId="9" quotePrefix="1" applyNumberFormat="1" applyFont="1" applyFill="1" applyBorder="1" applyAlignment="1" applyProtection="1">
      <alignment horizontal="right" shrinkToFit="1"/>
      <protection locked="0"/>
    </xf>
    <xf numFmtId="38" fontId="61" fillId="6" borderId="2" xfId="9" applyNumberFormat="1" applyFont="1" applyFill="1" applyBorder="1" applyAlignment="1" applyProtection="1">
      <alignment horizontal="right" shrinkToFit="1"/>
    </xf>
    <xf numFmtId="49" fontId="70" fillId="5" borderId="2" xfId="9" applyNumberFormat="1" applyFont="1" applyFill="1" applyBorder="1" applyAlignment="1" applyProtection="1">
      <alignment horizontal="center" vertical="center" wrapText="1"/>
    </xf>
    <xf numFmtId="38" fontId="61" fillId="0" borderId="22" xfId="0" applyNumberFormat="1" applyFont="1" applyBorder="1" applyAlignment="1" applyProtection="1">
      <alignment vertical="center" shrinkToFit="1"/>
      <protection locked="0"/>
    </xf>
    <xf numFmtId="38" fontId="61" fillId="0" borderId="22" xfId="0" applyNumberFormat="1" applyFont="1" applyFill="1" applyBorder="1" applyAlignment="1" applyProtection="1">
      <alignment horizontal="right" vertical="center" shrinkToFit="1"/>
      <protection locked="0"/>
    </xf>
    <xf numFmtId="38" fontId="61" fillId="6" borderId="45" xfId="0" applyNumberFormat="1" applyFont="1" applyFill="1" applyBorder="1" applyAlignment="1" applyProtection="1">
      <alignment vertical="center" shrinkToFit="1"/>
    </xf>
    <xf numFmtId="38" fontId="61" fillId="6" borderId="22" xfId="0" applyNumberFormat="1" applyFont="1" applyFill="1" applyBorder="1" applyAlignment="1" applyProtection="1">
      <alignment vertical="center" shrinkToFit="1"/>
    </xf>
    <xf numFmtId="38" fontId="61" fillId="6" borderId="45" xfId="0" applyNumberFormat="1" applyFont="1" applyFill="1" applyBorder="1" applyAlignment="1" applyProtection="1">
      <alignment horizontal="right" vertical="center" shrinkToFit="1"/>
    </xf>
    <xf numFmtId="38" fontId="61" fillId="6" borderId="8" xfId="0" applyNumberFormat="1" applyFont="1" applyFill="1" applyBorder="1" applyAlignment="1" applyProtection="1">
      <alignment vertical="center" shrinkToFit="1"/>
    </xf>
    <xf numFmtId="38" fontId="61" fillId="0" borderId="22" xfId="0" applyNumberFormat="1" applyFont="1" applyFill="1" applyBorder="1" applyAlignment="1" applyProtection="1">
      <alignment vertical="center" shrinkToFit="1"/>
      <protection locked="0"/>
    </xf>
    <xf numFmtId="38" fontId="61" fillId="6" borderId="8" xfId="0" applyNumberFormat="1" applyFont="1" applyFill="1" applyBorder="1" applyAlignment="1" applyProtection="1">
      <alignment horizontal="right" vertical="center" shrinkToFit="1"/>
    </xf>
    <xf numFmtId="38" fontId="61" fillId="6" borderId="22"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vertical="center" shrinkToFit="1"/>
    </xf>
    <xf numFmtId="38" fontId="61" fillId="0" borderId="7" xfId="0" applyNumberFormat="1" applyFont="1" applyBorder="1" applyAlignment="1" applyProtection="1">
      <alignment vertical="center" shrinkToFit="1"/>
      <protection locked="0"/>
    </xf>
    <xf numFmtId="38" fontId="61" fillId="16" borderId="41" xfId="0" applyNumberFormat="1" applyFont="1" applyFill="1" applyBorder="1" applyAlignment="1" applyProtection="1">
      <alignment vertical="center" shrinkToFit="1"/>
    </xf>
    <xf numFmtId="0" fontId="61" fillId="6" borderId="42" xfId="0" applyFont="1" applyFill="1" applyBorder="1" applyAlignment="1" applyProtection="1">
      <alignment horizontal="right" vertical="center" shrinkToFit="1"/>
    </xf>
    <xf numFmtId="0" fontId="61" fillId="6" borderId="43" xfId="0" applyFont="1" applyFill="1" applyBorder="1" applyAlignment="1" applyProtection="1">
      <alignment horizontal="right" vertical="center" shrinkToFit="1"/>
    </xf>
    <xf numFmtId="0" fontId="61" fillId="6" borderId="40" xfId="0" applyFont="1" applyFill="1" applyBorder="1" applyAlignment="1" applyProtection="1">
      <alignment horizontal="right" vertical="center" shrinkToFit="1"/>
    </xf>
    <xf numFmtId="38" fontId="61" fillId="3" borderId="45" xfId="0" applyNumberFormat="1" applyFont="1" applyFill="1" applyBorder="1" applyAlignment="1" applyProtection="1">
      <alignment vertical="center" shrinkToFit="1"/>
    </xf>
    <xf numFmtId="38" fontId="61" fillId="3" borderId="44" xfId="0" applyNumberFormat="1" applyFont="1" applyFill="1" applyBorder="1" applyAlignment="1" applyProtection="1">
      <alignment vertical="center" shrinkToFit="1"/>
    </xf>
    <xf numFmtId="38" fontId="61" fillId="3" borderId="8" xfId="0" applyNumberFormat="1" applyFont="1" applyFill="1" applyBorder="1" applyAlignment="1" applyProtection="1">
      <alignment horizontal="right" vertical="center" shrinkToFit="1"/>
    </xf>
    <xf numFmtId="38" fontId="61" fillId="3" borderId="44"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horizontal="right" vertical="center" shrinkToFit="1"/>
    </xf>
    <xf numFmtId="38" fontId="61" fillId="3" borderId="8" xfId="0" applyNumberFormat="1" applyFont="1" applyFill="1" applyBorder="1" applyAlignment="1" applyProtection="1">
      <alignment vertical="center" shrinkToFit="1"/>
    </xf>
    <xf numFmtId="38" fontId="61" fillId="16" borderId="41" xfId="0" applyNumberFormat="1" applyFont="1" applyFill="1" applyBorder="1" applyAlignment="1" applyProtection="1">
      <alignment horizontal="right" vertical="center" shrinkToFit="1"/>
    </xf>
    <xf numFmtId="38" fontId="61" fillId="0" borderId="8" xfId="0" applyNumberFormat="1" applyFont="1" applyFill="1" applyBorder="1" applyAlignment="1" applyProtection="1">
      <alignment horizontal="right" vertical="center" shrinkToFit="1"/>
      <protection locked="0"/>
    </xf>
    <xf numFmtId="38" fontId="61" fillId="16" borderId="60" xfId="0" applyNumberFormat="1" applyFont="1" applyFill="1" applyBorder="1" applyAlignment="1" applyProtection="1">
      <alignment shrinkToFit="1"/>
    </xf>
    <xf numFmtId="38" fontId="61" fillId="0" borderId="8" xfId="0" applyNumberFormat="1" applyFont="1" applyFill="1" applyBorder="1" applyAlignment="1" applyProtection="1">
      <alignment vertical="center" shrinkToFit="1"/>
      <protection locked="0"/>
    </xf>
    <xf numFmtId="38" fontId="61" fillId="0" borderId="44" xfId="0" applyNumberFormat="1" applyFont="1" applyFill="1" applyBorder="1" applyAlignment="1" applyProtection="1">
      <alignment horizontal="right" vertical="center" shrinkToFit="1"/>
      <protection locked="0"/>
    </xf>
    <xf numFmtId="38" fontId="61" fillId="0" borderId="8"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shrinkToFit="1"/>
      <protection locked="0"/>
    </xf>
    <xf numFmtId="38" fontId="61" fillId="16" borderId="41" xfId="0" applyNumberFormat="1" applyFont="1" applyFill="1" applyBorder="1" applyAlignment="1" applyProtection="1">
      <alignment horizontal="right" shrinkToFit="1"/>
    </xf>
    <xf numFmtId="3" fontId="68" fillId="16" borderId="9" xfId="10" applyNumberFormat="1" applyFont="1" applyFill="1" applyBorder="1" applyAlignment="1" applyProtection="1">
      <alignment vertical="center" shrinkToFit="1"/>
    </xf>
    <xf numFmtId="3" fontId="68" fillId="16" borderId="6" xfId="10" applyNumberFormat="1" applyFont="1" applyFill="1" applyBorder="1" applyAlignment="1" applyProtection="1">
      <alignment vertical="center" shrinkToFit="1"/>
    </xf>
    <xf numFmtId="3" fontId="70" fillId="16" borderId="57" xfId="10" applyNumberFormat="1" applyFont="1" applyFill="1" applyBorder="1" applyAlignment="1" applyProtection="1">
      <alignment vertical="center" shrinkToFit="1"/>
    </xf>
    <xf numFmtId="0" fontId="68" fillId="0" borderId="0" xfId="10" applyFont="1" applyFill="1" applyAlignment="1">
      <alignment vertical="center" shrinkToFit="1"/>
    </xf>
    <xf numFmtId="0" fontId="68" fillId="0" borderId="0" xfId="10" applyFont="1" applyFill="1" applyBorder="1" applyAlignment="1">
      <alignment vertical="center" shrinkToFit="1"/>
    </xf>
    <xf numFmtId="38" fontId="68" fillId="16" borderId="9" xfId="10" applyNumberFormat="1" applyFont="1" applyFill="1" applyBorder="1" applyAlignment="1" applyProtection="1">
      <alignment horizontal="right" vertical="center" shrinkToFit="1"/>
    </xf>
    <xf numFmtId="38" fontId="68" fillId="16" borderId="0" xfId="10" applyNumberFormat="1" applyFont="1" applyFill="1" applyAlignment="1">
      <alignment vertical="top" shrinkToFit="1"/>
    </xf>
    <xf numFmtId="38" fontId="68" fillId="16" borderId="6" xfId="10" applyNumberFormat="1" applyFont="1" applyFill="1" applyBorder="1" applyAlignment="1" applyProtection="1">
      <alignment horizontal="right" vertical="center" shrinkToFit="1"/>
    </xf>
    <xf numFmtId="38" fontId="68" fillId="16" borderId="6" xfId="10" applyNumberFormat="1" applyFont="1" applyFill="1" applyBorder="1" applyAlignment="1" applyProtection="1">
      <alignment horizontal="right" shrinkToFit="1"/>
    </xf>
    <xf numFmtId="38" fontId="68" fillId="16" borderId="0" xfId="10" applyNumberFormat="1" applyFont="1" applyFill="1" applyAlignment="1">
      <alignment horizontal="right" shrinkToFit="1"/>
    </xf>
    <xf numFmtId="38" fontId="68" fillId="16" borderId="9" xfId="10" applyNumberFormat="1" applyFont="1" applyFill="1" applyBorder="1" applyAlignment="1" applyProtection="1">
      <alignment horizontal="right" shrinkToFit="1"/>
    </xf>
    <xf numFmtId="38" fontId="68" fillId="16" borderId="6" xfId="10" applyNumberFormat="1" applyFont="1" applyFill="1" applyBorder="1" applyAlignment="1">
      <alignment horizontal="right" shrinkToFit="1"/>
    </xf>
    <xf numFmtId="38" fontId="68" fillId="16" borderId="145" xfId="10" applyNumberFormat="1" applyFont="1" applyFill="1" applyBorder="1" applyAlignment="1" applyProtection="1">
      <alignment horizontal="right" shrinkToFit="1"/>
    </xf>
    <xf numFmtId="38" fontId="70" fillId="16" borderId="47" xfId="10" applyNumberFormat="1" applyFont="1" applyFill="1" applyBorder="1" applyAlignment="1">
      <alignment horizontal="right" shrinkToFit="1"/>
    </xf>
    <xf numFmtId="38" fontId="68" fillId="16" borderId="58" xfId="10" applyNumberFormat="1" applyFont="1" applyFill="1" applyBorder="1" applyAlignment="1" applyProtection="1">
      <alignment horizontal="right" shrinkToFit="1"/>
    </xf>
    <xf numFmtId="40" fontId="68" fillId="0" borderId="9" xfId="10" applyNumberFormat="1" applyFont="1" applyFill="1" applyBorder="1" applyAlignment="1" applyProtection="1">
      <alignment horizontal="right" shrinkToFit="1"/>
      <protection locked="0"/>
    </xf>
    <xf numFmtId="40" fontId="70" fillId="16" borderId="47" xfId="10" applyNumberFormat="1" applyFont="1" applyFill="1" applyBorder="1" applyAlignment="1" applyProtection="1">
      <alignment horizontal="right" shrinkToFit="1"/>
    </xf>
    <xf numFmtId="4" fontId="70" fillId="0" borderId="0" xfId="10" applyNumberFormat="1" applyFont="1" applyFill="1" applyBorder="1" applyAlignment="1" applyProtection="1">
      <alignment vertical="center" shrinkToFit="1"/>
    </xf>
    <xf numFmtId="38" fontId="68" fillId="16" borderId="9" xfId="11" applyNumberFormat="1" applyFont="1" applyFill="1" applyBorder="1" applyAlignment="1" applyProtection="1">
      <alignment horizontal="right" shrinkToFit="1"/>
    </xf>
    <xf numFmtId="38" fontId="68" fillId="16" borderId="6" xfId="11" applyNumberFormat="1" applyFont="1" applyFill="1" applyBorder="1" applyAlignment="1" applyProtection="1">
      <alignment horizontal="right" shrinkToFit="1"/>
    </xf>
    <xf numFmtId="38" fontId="68" fillId="0" borderId="145" xfId="11" applyNumberFormat="1" applyFont="1" applyFill="1" applyBorder="1" applyAlignment="1" applyProtection="1">
      <alignment horizontal="right" shrinkToFit="1"/>
      <protection locked="0"/>
    </xf>
    <xf numFmtId="38" fontId="68" fillId="0" borderId="0" xfId="11" applyNumberFormat="1" applyFont="1" applyFill="1" applyAlignment="1">
      <alignment horizontal="right" shrinkToFit="1"/>
    </xf>
    <xf numFmtId="38" fontId="70" fillId="16" borderId="9" xfId="11" applyNumberFormat="1" applyFont="1" applyFill="1" applyBorder="1" applyAlignment="1" applyProtection="1">
      <alignment horizontal="right" shrinkToFit="1"/>
    </xf>
    <xf numFmtId="40" fontId="68" fillId="16" borderId="9" xfId="11" applyNumberFormat="1" applyFont="1" applyFill="1" applyBorder="1" applyAlignment="1" applyProtection="1">
      <alignment horizontal="right" shrinkToFit="1"/>
    </xf>
    <xf numFmtId="40" fontId="70" fillId="16" borderId="57" xfId="11" applyNumberFormat="1" applyFont="1" applyFill="1" applyBorder="1" applyAlignment="1" applyProtection="1">
      <alignment horizontal="right" shrinkToFit="1"/>
    </xf>
    <xf numFmtId="0" fontId="70" fillId="16" borderId="0" xfId="10" applyFont="1" applyFill="1" applyAlignment="1" applyProtection="1">
      <alignment horizontal="right" vertical="center"/>
      <protection hidden="1"/>
    </xf>
    <xf numFmtId="38" fontId="61" fillId="0" borderId="13" xfId="0" applyNumberFormat="1" applyFont="1" applyBorder="1" applyAlignment="1" applyProtection="1">
      <alignment vertical="center" shrinkToFit="1"/>
      <protection locked="0"/>
    </xf>
    <xf numFmtId="38" fontId="61" fillId="19" borderId="13" xfId="0" applyNumberFormat="1" applyFont="1" applyFill="1" applyBorder="1" applyAlignment="1" applyProtection="1">
      <alignment shrinkToFit="1"/>
      <protection locked="0"/>
    </xf>
    <xf numFmtId="0" fontId="61" fillId="16" borderId="124" xfId="0" applyFont="1" applyFill="1" applyBorder="1" applyAlignment="1">
      <alignment shrinkToFit="1"/>
    </xf>
    <xf numFmtId="37" fontId="61" fillId="16" borderId="124" xfId="0" applyNumberFormat="1" applyFont="1" applyFill="1" applyBorder="1" applyAlignment="1">
      <alignment shrinkToFit="1"/>
    </xf>
    <xf numFmtId="37" fontId="61" fillId="16" borderId="126" xfId="0" applyNumberFormat="1" applyFont="1" applyFill="1" applyBorder="1" applyAlignment="1">
      <alignment shrinkToFit="1"/>
    </xf>
    <xf numFmtId="0" fontId="61" fillId="16" borderId="14" xfId="0" applyFont="1" applyFill="1" applyBorder="1" applyAlignment="1">
      <alignment shrinkToFit="1"/>
    </xf>
    <xf numFmtId="0" fontId="61" fillId="16" borderId="21" xfId="0" applyFont="1" applyFill="1" applyBorder="1" applyAlignment="1">
      <alignment shrinkToFit="1"/>
    </xf>
    <xf numFmtId="37" fontId="61" fillId="16" borderId="14" xfId="0" applyNumberFormat="1" applyFont="1" applyFill="1" applyBorder="1" applyAlignment="1">
      <alignment shrinkToFit="1"/>
    </xf>
    <xf numFmtId="37" fontId="61" fillId="16" borderId="21" xfId="0" applyNumberFormat="1" applyFont="1" applyFill="1" applyBorder="1" applyAlignment="1">
      <alignment shrinkToFit="1"/>
    </xf>
    <xf numFmtId="38" fontId="61" fillId="16" borderId="14" xfId="0" applyNumberFormat="1" applyFont="1" applyFill="1" applyBorder="1" applyAlignment="1">
      <alignment shrinkToFit="1"/>
    </xf>
    <xf numFmtId="38" fontId="61" fillId="16" borderId="18" xfId="0" applyNumberFormat="1" applyFont="1" applyFill="1" applyBorder="1" applyAlignment="1">
      <alignment shrinkToFit="1"/>
    </xf>
    <xf numFmtId="10" fontId="60" fillId="16" borderId="14" xfId="0" applyNumberFormat="1" applyFont="1" applyFill="1" applyBorder="1" applyAlignment="1">
      <alignment horizontal="left" shrinkToFit="1"/>
    </xf>
    <xf numFmtId="0" fontId="106" fillId="22" borderId="0" xfId="18" applyFont="1" applyFill="1" applyAlignment="1" applyProtection="1">
      <alignment horizontal="centerContinuous" vertical="center"/>
      <protection hidden="1"/>
    </xf>
    <xf numFmtId="38" fontId="61" fillId="16" borderId="22" xfId="3" applyNumberFormat="1" applyFont="1" applyFill="1" applyBorder="1" applyAlignment="1">
      <alignment horizontal="right" vertical="center" shrinkToFit="1"/>
    </xf>
    <xf numFmtId="38" fontId="61" fillId="16" borderId="41" xfId="3" applyNumberFormat="1" applyFont="1" applyFill="1" applyBorder="1" applyAlignment="1">
      <alignment horizontal="right" vertical="center" shrinkToFit="1"/>
    </xf>
    <xf numFmtId="38" fontId="61" fillId="16" borderId="75"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0" fontId="70" fillId="20" borderId="44" xfId="3" applyFont="1" applyFill="1" applyBorder="1" applyAlignment="1" applyProtection="1">
      <alignment horizontal="center"/>
      <protection hidden="1"/>
    </xf>
    <xf numFmtId="0" fontId="70" fillId="21" borderId="44" xfId="3" applyFont="1" applyFill="1" applyBorder="1" applyAlignment="1" applyProtection="1">
      <alignment horizontal="center"/>
      <protection hidden="1"/>
    </xf>
    <xf numFmtId="181" fontId="20" fillId="0" borderId="0" xfId="12" applyNumberFormat="1" applyFont="1" applyBorder="1" applyAlignment="1" applyProtection="1">
      <alignment vertical="center"/>
    </xf>
    <xf numFmtId="181" fontId="21" fillId="20" borderId="0" xfId="0" applyNumberFormat="1" applyFont="1" applyFill="1" applyAlignment="1">
      <alignment shrinkToFit="1"/>
    </xf>
    <xf numFmtId="181" fontId="0" fillId="20" borderId="0" xfId="0" applyNumberFormat="1" applyFill="1" applyAlignment="1">
      <alignment shrinkToFit="1"/>
    </xf>
    <xf numFmtId="0" fontId="40" fillId="0" borderId="0" xfId="0" applyFont="1" applyFill="1"/>
    <xf numFmtId="0" fontId="17" fillId="0" borderId="17"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23"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8" fillId="0" borderId="0" xfId="0" applyFont="1" applyFill="1" applyAlignment="1" applyProtection="1">
      <alignment horizontal="left" vertical="center"/>
      <protection hidden="1"/>
    </xf>
    <xf numFmtId="0" fontId="63" fillId="0" borderId="0" xfId="0" applyFont="1" applyFill="1" applyBorder="1" applyAlignment="1" applyProtection="1">
      <alignment vertical="center"/>
    </xf>
    <xf numFmtId="0" fontId="61" fillId="0" borderId="0" xfId="0" applyFont="1" applyFill="1" applyBorder="1" applyAlignment="1" applyProtection="1">
      <alignment horizontal="left" vertical="top"/>
    </xf>
    <xf numFmtId="0" fontId="63" fillId="0" borderId="0" xfId="0" applyFont="1" applyFill="1" applyBorder="1" applyAlignment="1">
      <alignment horizontal="left" vertical="top"/>
    </xf>
    <xf numFmtId="0" fontId="66" fillId="0" borderId="0" xfId="0" applyFont="1" applyFill="1" applyBorder="1" applyAlignment="1" applyProtection="1">
      <alignment vertical="center"/>
    </xf>
    <xf numFmtId="0" fontId="71" fillId="0" borderId="0" xfId="0" applyFont="1" applyFill="1" applyBorder="1" applyAlignment="1" applyProtection="1">
      <alignment horizontal="right"/>
      <protection hidden="1"/>
    </xf>
    <xf numFmtId="0" fontId="68" fillId="0" borderId="0" xfId="0" applyFont="1" applyFill="1" applyAlignment="1" applyProtection="1">
      <alignment vertical="center"/>
    </xf>
    <xf numFmtId="0" fontId="70" fillId="0" borderId="20" xfId="0" applyFont="1" applyFill="1" applyBorder="1" applyAlignment="1" applyProtection="1">
      <alignment horizontal="left" vertical="center" indent="2"/>
    </xf>
    <xf numFmtId="0" fontId="70" fillId="0" borderId="2" xfId="0" applyNumberFormat="1" applyFont="1" applyFill="1" applyBorder="1" applyAlignment="1" applyProtection="1">
      <alignment horizontal="center" vertical="center" wrapText="1"/>
      <protection hidden="1"/>
    </xf>
    <xf numFmtId="0" fontId="63" fillId="0" borderId="0" xfId="0" applyFont="1" applyFill="1" applyProtection="1"/>
    <xf numFmtId="0" fontId="60" fillId="0" borderId="8" xfId="0" applyFont="1" applyFill="1" applyBorder="1" applyAlignment="1" applyProtection="1">
      <alignment horizontal="center" vertical="center" wrapText="1"/>
      <protection hidden="1"/>
    </xf>
    <xf numFmtId="0" fontId="70" fillId="0" borderId="0" xfId="10" applyFont="1" applyFill="1" applyAlignment="1" applyProtection="1">
      <alignment vertical="center"/>
      <protection hidden="1"/>
    </xf>
    <xf numFmtId="0" fontId="70" fillId="0" borderId="0" xfId="11" applyFont="1" applyFill="1" applyAlignment="1">
      <alignment vertical="center"/>
    </xf>
    <xf numFmtId="0" fontId="70" fillId="0" borderId="0" xfId="11" applyFont="1" applyFill="1" applyAlignment="1">
      <alignment horizontal="right" vertical="center"/>
    </xf>
    <xf numFmtId="0" fontId="70" fillId="0" borderId="0" xfId="0" applyFont="1" applyFill="1" applyBorder="1" applyAlignment="1" applyProtection="1">
      <alignment horizontal="left" vertical="center"/>
      <protection hidden="1"/>
    </xf>
    <xf numFmtId="0" fontId="70" fillId="0" borderId="0" xfId="10" applyFont="1" applyFill="1" applyAlignment="1">
      <alignment vertical="center"/>
    </xf>
    <xf numFmtId="0" fontId="61" fillId="0" borderId="0" xfId="0" applyFont="1" applyFill="1"/>
    <xf numFmtId="0" fontId="109" fillId="0" borderId="0" xfId="18" applyFont="1" applyFill="1"/>
    <xf numFmtId="0" fontId="145" fillId="0" borderId="0" xfId="18" applyFont="1"/>
    <xf numFmtId="0" fontId="109" fillId="0" borderId="0" xfId="18" applyFont="1" applyProtection="1"/>
    <xf numFmtId="0" fontId="11" fillId="0" borderId="0" xfId="19" applyFont="1" applyAlignment="1">
      <alignment vertical="center"/>
    </xf>
    <xf numFmtId="182" fontId="11" fillId="0" borderId="0" xfId="19" applyNumberFormat="1" applyAlignment="1">
      <alignment vertical="center"/>
    </xf>
    <xf numFmtId="0" fontId="11" fillId="0" borderId="0" xfId="19" applyAlignment="1">
      <alignment vertical="center"/>
    </xf>
    <xf numFmtId="0" fontId="11" fillId="0" borderId="0" xfId="19"/>
    <xf numFmtId="0" fontId="11" fillId="0" borderId="0" xfId="19" applyAlignment="1">
      <alignment horizontal="center" vertical="center" wrapText="1"/>
    </xf>
    <xf numFmtId="182" fontId="11" fillId="0" borderId="0" xfId="19" applyNumberFormat="1" applyAlignment="1">
      <alignment horizontal="center" vertical="center" wrapText="1"/>
    </xf>
    <xf numFmtId="0" fontId="11" fillId="0" borderId="0" xfId="19" applyAlignment="1">
      <alignment horizontal="center" vertical="top" wrapText="1"/>
    </xf>
    <xf numFmtId="182" fontId="11" fillId="0" borderId="0" xfId="19" applyNumberFormat="1" applyAlignment="1">
      <alignment horizontal="center" vertical="top" wrapText="1"/>
    </xf>
    <xf numFmtId="0" fontId="105" fillId="0" borderId="138" xfId="19" applyFont="1" applyBorder="1" applyAlignment="1">
      <alignment horizontal="left" vertical="top"/>
    </xf>
    <xf numFmtId="182" fontId="132" fillId="0" borderId="139" xfId="19" applyNumberFormat="1" applyFont="1" applyBorder="1" applyAlignment="1">
      <alignment horizontal="center" vertical="top"/>
    </xf>
    <xf numFmtId="0" fontId="132" fillId="0" borderId="139" xfId="19" applyFont="1" applyBorder="1" applyAlignment="1">
      <alignment horizontal="center" vertical="top"/>
    </xf>
    <xf numFmtId="0" fontId="132" fillId="0" borderId="140" xfId="19" applyFont="1" applyBorder="1" applyAlignment="1">
      <alignment horizontal="center" vertical="top"/>
    </xf>
    <xf numFmtId="0" fontId="133" fillId="0" borderId="0" xfId="19" applyFont="1" applyBorder="1" applyAlignment="1">
      <alignment vertical="top" wrapText="1"/>
    </xf>
    <xf numFmtId="0" fontId="133" fillId="0" borderId="97" xfId="19" applyFont="1" applyBorder="1" applyAlignment="1">
      <alignment vertical="top" wrapText="1"/>
    </xf>
    <xf numFmtId="0" fontId="133" fillId="0" borderId="96" xfId="19" applyFont="1" applyBorder="1" applyAlignment="1">
      <alignment vertical="top"/>
    </xf>
    <xf numFmtId="182" fontId="133" fillId="0" borderId="0" xfId="19" applyNumberFormat="1" applyFont="1" applyBorder="1" applyAlignment="1">
      <alignment vertical="top"/>
    </xf>
    <xf numFmtId="0" fontId="133" fillId="0" borderId="0" xfId="19" applyFont="1" applyBorder="1" applyAlignment="1">
      <alignment vertical="top"/>
    </xf>
    <xf numFmtId="0" fontId="133" fillId="0" borderId="97" xfId="19" applyFont="1" applyBorder="1" applyAlignment="1">
      <alignment vertical="top"/>
    </xf>
    <xf numFmtId="0" fontId="131" fillId="22" borderId="154" xfId="19" applyFont="1" applyFill="1" applyBorder="1" applyAlignment="1">
      <alignment horizontal="center" vertical="center" wrapText="1"/>
    </xf>
    <xf numFmtId="182" fontId="131" fillId="22" borderId="154" xfId="19" applyNumberFormat="1" applyFont="1" applyFill="1" applyBorder="1" applyAlignment="1">
      <alignment horizontal="center" vertical="center" wrapText="1"/>
    </xf>
    <xf numFmtId="38" fontId="131" fillId="22" borderId="154" xfId="19" applyNumberFormat="1" applyFont="1" applyFill="1" applyBorder="1" applyAlignment="1">
      <alignment horizontal="center" vertical="center" wrapText="1"/>
    </xf>
    <xf numFmtId="0" fontId="133" fillId="20" borderId="155" xfId="19" applyFont="1" applyFill="1" applyBorder="1" applyAlignment="1" applyProtection="1">
      <alignment horizontal="left" vertical="top" wrapText="1"/>
    </xf>
    <xf numFmtId="0" fontId="133" fillId="20" borderId="155" xfId="19" applyFont="1" applyFill="1" applyBorder="1" applyAlignment="1" applyProtection="1">
      <alignment vertical="top"/>
    </xf>
    <xf numFmtId="38" fontId="133" fillId="20" borderId="155" xfId="19" applyNumberFormat="1" applyFont="1" applyFill="1" applyBorder="1" applyAlignment="1" applyProtection="1">
      <alignment horizontal="right" vertical="top"/>
    </xf>
    <xf numFmtId="38" fontId="133" fillId="20" borderId="155" xfId="19" applyNumberFormat="1" applyFont="1" applyFill="1" applyBorder="1" applyAlignment="1" applyProtection="1">
      <alignment vertical="top"/>
    </xf>
    <xf numFmtId="0" fontId="11" fillId="0" borderId="155" xfId="19" applyFont="1" applyBorder="1" applyAlignment="1" applyProtection="1">
      <alignment horizontal="left" vertical="top" wrapText="1"/>
      <protection locked="0"/>
    </xf>
    <xf numFmtId="0" fontId="11" fillId="0" borderId="155" xfId="19" applyFont="1" applyBorder="1" applyAlignment="1" applyProtection="1">
      <alignment vertical="top"/>
      <protection locked="0"/>
    </xf>
    <xf numFmtId="38" fontId="11" fillId="0" borderId="155" xfId="19" applyNumberFormat="1" applyBorder="1" applyAlignment="1" applyProtection="1">
      <alignment horizontal="right" vertical="top"/>
      <protection locked="0"/>
    </xf>
    <xf numFmtId="0" fontId="11" fillId="0" borderId="0" xfId="19" quotePrefix="1" applyNumberFormat="1" applyFont="1"/>
    <xf numFmtId="0" fontId="11" fillId="0" borderId="155" xfId="19" applyBorder="1" applyAlignment="1" applyProtection="1">
      <alignment horizontal="left" vertical="top" wrapText="1"/>
      <protection locked="0"/>
    </xf>
    <xf numFmtId="0" fontId="11" fillId="0" borderId="155" xfId="19" applyBorder="1" applyAlignment="1" applyProtection="1">
      <alignment vertical="top"/>
      <protection locked="0"/>
    </xf>
    <xf numFmtId="0" fontId="11" fillId="16" borderId="156" xfId="19" applyFill="1" applyBorder="1" applyAlignment="1" applyProtection="1">
      <alignment horizontal="left" vertical="top" wrapText="1"/>
    </xf>
    <xf numFmtId="0" fontId="11" fillId="16" borderId="156" xfId="19" applyFill="1" applyBorder="1" applyAlignment="1" applyProtection="1">
      <alignment vertical="top"/>
    </xf>
    <xf numFmtId="38" fontId="11" fillId="16" borderId="156" xfId="19" applyNumberFormat="1" applyFill="1" applyBorder="1" applyAlignment="1" applyProtection="1">
      <alignment horizontal="right" vertical="top"/>
    </xf>
    <xf numFmtId="38" fontId="11" fillId="16" borderId="156" xfId="19" applyNumberFormat="1" applyFont="1" applyFill="1" applyBorder="1" applyAlignment="1" applyProtection="1">
      <alignment horizontal="right" vertical="top"/>
    </xf>
    <xf numFmtId="38" fontId="11" fillId="16" borderId="156" xfId="19" applyNumberFormat="1" applyFill="1" applyBorder="1" applyAlignment="1" applyProtection="1">
      <alignment vertical="top"/>
    </xf>
    <xf numFmtId="0" fontId="11" fillId="0" borderId="0" xfId="19" applyAlignment="1">
      <alignment horizontal="left" vertical="top" wrapText="1"/>
    </xf>
    <xf numFmtId="182" fontId="11" fillId="0" borderId="0" xfId="19" applyNumberFormat="1" applyAlignment="1">
      <alignment vertical="top"/>
    </xf>
    <xf numFmtId="0" fontId="11" fillId="0" borderId="0" xfId="19" applyAlignment="1">
      <alignment vertical="top"/>
    </xf>
    <xf numFmtId="38" fontId="11" fillId="0" borderId="0" xfId="19" applyNumberFormat="1" applyAlignment="1">
      <alignment horizontal="right" vertical="top"/>
    </xf>
    <xf numFmtId="183" fontId="11" fillId="0" borderId="0" xfId="19" applyNumberFormat="1"/>
    <xf numFmtId="0" fontId="144" fillId="0" borderId="0" xfId="0" applyFont="1"/>
    <xf numFmtId="0" fontId="91" fillId="0" borderId="2" xfId="0" applyFont="1" applyBorder="1" applyAlignment="1">
      <alignment horizontal="left" wrapText="1"/>
    </xf>
    <xf numFmtId="0" fontId="146" fillId="0" borderId="96" xfId="19" applyFont="1" applyBorder="1" applyAlignment="1">
      <alignment vertical="top"/>
    </xf>
    <xf numFmtId="0" fontId="146" fillId="0" borderId="0" xfId="19" applyFont="1" applyBorder="1" applyAlignment="1">
      <alignment vertical="top"/>
    </xf>
    <xf numFmtId="41" fontId="55" fillId="11" borderId="110" xfId="0" applyNumberFormat="1" applyFont="1" applyFill="1" applyBorder="1" applyAlignment="1" applyProtection="1">
      <alignment horizontal="right" shrinkToFit="1"/>
      <protection locked="0"/>
    </xf>
    <xf numFmtId="41" fontId="55" fillId="10" borderId="0" xfId="0" applyNumberFormat="1" applyFont="1" applyFill="1" applyBorder="1" applyAlignment="1">
      <alignment horizontal="right" shrinkToFit="1"/>
    </xf>
    <xf numFmtId="38" fontId="11" fillId="16" borderId="155" xfId="19" applyNumberFormat="1" applyFill="1" applyBorder="1" applyAlignment="1" applyProtection="1">
      <alignment horizontal="right" vertical="top"/>
    </xf>
    <xf numFmtId="184" fontId="133" fillId="20" borderId="155" xfId="19" applyNumberFormat="1" applyFont="1" applyFill="1" applyBorder="1" applyAlignment="1" applyProtection="1">
      <alignment horizontal="center" vertical="top"/>
    </xf>
    <xf numFmtId="184" fontId="11" fillId="0" borderId="155" xfId="19" applyNumberFormat="1" applyFont="1" applyBorder="1" applyAlignment="1" applyProtection="1">
      <alignment horizontal="center" vertical="top"/>
      <protection locked="0"/>
    </xf>
    <xf numFmtId="184" fontId="11" fillId="0" borderId="155" xfId="19" applyNumberFormat="1" applyFont="1" applyBorder="1" applyAlignment="1" applyProtection="1">
      <alignment horizontal="center" vertical="center"/>
      <protection locked="0"/>
    </xf>
    <xf numFmtId="184" fontId="11" fillId="0" borderId="155" xfId="19" applyNumberFormat="1" applyBorder="1" applyAlignment="1" applyProtection="1">
      <alignment horizontal="center" vertical="center"/>
      <protection locked="0"/>
    </xf>
    <xf numFmtId="184" fontId="11" fillId="16" borderId="156" xfId="19" applyNumberFormat="1" applyFill="1" applyBorder="1" applyAlignment="1" applyProtection="1">
      <alignment vertical="top"/>
    </xf>
    <xf numFmtId="0" fontId="10" fillId="0" borderId="0" xfId="19" applyFont="1" applyAlignment="1">
      <alignment horizontal="left" vertical="center"/>
    </xf>
    <xf numFmtId="0" fontId="9" fillId="0" borderId="155" xfId="19" applyFont="1" applyBorder="1" applyAlignment="1" applyProtection="1">
      <alignment vertical="top"/>
      <protection locked="0"/>
    </xf>
    <xf numFmtId="0" fontId="70" fillId="0" borderId="44" xfId="3" applyFont="1" applyFill="1" applyBorder="1" applyAlignment="1" applyProtection="1">
      <alignment horizontal="center"/>
      <protection hidden="1"/>
    </xf>
    <xf numFmtId="0" fontId="63" fillId="0" borderId="0" xfId="3" applyFont="1" applyFill="1" applyAlignment="1" applyProtection="1">
      <alignment horizontal="center"/>
    </xf>
    <xf numFmtId="0" fontId="70" fillId="0" borderId="142" xfId="3" applyFont="1" applyFill="1" applyBorder="1" applyAlignment="1" applyProtection="1">
      <alignment horizontal="centerContinuous"/>
    </xf>
    <xf numFmtId="169" fontId="70" fillId="0" borderId="0" xfId="3" applyNumberFormat="1" applyFont="1" applyFill="1" applyProtection="1">
      <protection hidden="1"/>
    </xf>
    <xf numFmtId="0" fontId="63" fillId="0" borderId="0" xfId="3" applyFont="1" applyFill="1" applyProtection="1">
      <protection hidden="1"/>
    </xf>
    <xf numFmtId="0" fontId="71" fillId="0" borderId="0" xfId="3" applyFont="1" applyFill="1" applyBorder="1" applyAlignment="1" applyProtection="1">
      <alignment horizontal="right"/>
      <protection hidden="1"/>
    </xf>
    <xf numFmtId="38" fontId="61" fillId="0" borderId="2"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5"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125" xfId="0" applyNumberFormat="1" applyFont="1" applyBorder="1" applyAlignment="1" applyProtection="1">
      <alignment horizontal="right"/>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5"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0" fontId="63" fillId="0" borderId="0" xfId="3" applyFont="1" applyAlignment="1">
      <alignment horizontal="center" vertical="center"/>
    </xf>
    <xf numFmtId="0" fontId="7" fillId="0" borderId="0" xfId="3740"/>
    <xf numFmtId="0" fontId="106" fillId="0" borderId="178" xfId="3741" applyFont="1" applyBorder="1"/>
    <xf numFmtId="0" fontId="106" fillId="0" borderId="164" xfId="3741" applyFont="1" applyBorder="1"/>
    <xf numFmtId="0" fontId="106" fillId="0" borderId="179" xfId="3741" applyFont="1" applyBorder="1"/>
    <xf numFmtId="0" fontId="106" fillId="0" borderId="0" xfId="3741" applyFont="1"/>
    <xf numFmtId="0" fontId="106" fillId="0" borderId="181" xfId="3741" applyFont="1" applyBorder="1"/>
    <xf numFmtId="0" fontId="105" fillId="0" borderId="181" xfId="3741" applyFont="1" applyBorder="1"/>
    <xf numFmtId="0" fontId="106" fillId="0" borderId="180" xfId="3741" applyFont="1" applyBorder="1"/>
    <xf numFmtId="0" fontId="188" fillId="0" borderId="0" xfId="3741" applyFont="1"/>
    <xf numFmtId="38" fontId="71" fillId="16" borderId="182" xfId="3741" applyNumberFormat="1" applyFont="1" applyFill="1" applyBorder="1" applyAlignment="1">
      <alignment horizontal="center"/>
    </xf>
    <xf numFmtId="38" fontId="71" fillId="16" borderId="77" xfId="3741" applyNumberFormat="1" applyFont="1" applyFill="1" applyBorder="1" applyAlignment="1">
      <alignment horizontal="center"/>
    </xf>
    <xf numFmtId="38" fontId="71" fillId="66" borderId="77" xfId="3741" applyNumberFormat="1" applyFont="1" applyFill="1" applyBorder="1" applyAlignment="1">
      <alignment horizontal="center"/>
    </xf>
    <xf numFmtId="0" fontId="63" fillId="66" borderId="77" xfId="3741" applyFont="1" applyFill="1" applyBorder="1"/>
    <xf numFmtId="38" fontId="71" fillId="16" borderId="184" xfId="3741" applyNumberFormat="1" applyFont="1" applyFill="1" applyBorder="1" applyAlignment="1">
      <alignment horizontal="center" wrapText="1"/>
    </xf>
    <xf numFmtId="38" fontId="63" fillId="0" borderId="185" xfId="3741" applyNumberFormat="1" applyFont="1" applyBorder="1" applyAlignment="1" applyProtection="1">
      <alignment horizontal="center"/>
      <protection locked="0"/>
    </xf>
    <xf numFmtId="38" fontId="63" fillId="0" borderId="186" xfId="3741" applyNumberFormat="1" applyFont="1" applyBorder="1" applyAlignment="1" applyProtection="1">
      <alignment horizontal="center"/>
      <protection locked="0"/>
    </xf>
    <xf numFmtId="38" fontId="63" fillId="66" borderId="0" xfId="3741" applyNumberFormat="1" applyFont="1" applyFill="1" applyAlignment="1">
      <alignment horizontal="center"/>
    </xf>
    <xf numFmtId="0" fontId="63" fillId="0" borderId="185" xfId="3741" applyFont="1" applyBorder="1" applyAlignment="1">
      <alignment horizontal="center"/>
    </xf>
    <xf numFmtId="38" fontId="63" fillId="0" borderId="188" xfId="3741" applyNumberFormat="1" applyFont="1" applyBorder="1" applyAlignment="1" applyProtection="1">
      <alignment horizontal="center"/>
      <protection locked="0"/>
    </xf>
    <xf numFmtId="38" fontId="63" fillId="0" borderId="189" xfId="3741" applyNumberFormat="1" applyFont="1" applyBorder="1" applyAlignment="1" applyProtection="1">
      <alignment horizontal="center"/>
      <protection locked="0"/>
    </xf>
    <xf numFmtId="0" fontId="63" fillId="0" borderId="188" xfId="3741" applyFont="1" applyBorder="1" applyAlignment="1">
      <alignment horizontal="center"/>
    </xf>
    <xf numFmtId="38" fontId="63" fillId="0" borderId="191" xfId="3741" applyNumberFormat="1" applyFont="1" applyBorder="1" applyAlignment="1" applyProtection="1">
      <alignment horizontal="center"/>
      <protection locked="0"/>
    </xf>
    <xf numFmtId="38" fontId="63" fillId="0" borderId="192" xfId="3741" applyNumberFormat="1" applyFont="1" applyBorder="1" applyAlignment="1" applyProtection="1">
      <alignment horizontal="center"/>
      <protection locked="0"/>
    </xf>
    <xf numFmtId="38" fontId="71" fillId="67" borderId="193" xfId="3741" applyNumberFormat="1" applyFont="1" applyFill="1" applyBorder="1" applyAlignment="1" applyProtection="1">
      <alignment horizontal="center"/>
      <protection locked="0"/>
    </xf>
    <xf numFmtId="0" fontId="63" fillId="0" borderId="191" xfId="3741" applyFont="1" applyBorder="1" applyAlignment="1">
      <alignment horizontal="center"/>
    </xf>
    <xf numFmtId="0" fontId="107" fillId="0" borderId="182" xfId="3741" applyFont="1" applyBorder="1" applyAlignment="1">
      <alignment horizontal="center" wrapText="1"/>
    </xf>
    <xf numFmtId="0" fontId="107" fillId="0" borderId="77" xfId="3741" applyFont="1" applyBorder="1" applyAlignment="1">
      <alignment horizontal="center" wrapText="1"/>
    </xf>
    <xf numFmtId="0" fontId="63" fillId="66" borderId="77" xfId="3741" applyFont="1" applyFill="1" applyBorder="1" applyAlignment="1">
      <alignment horizontal="center"/>
    </xf>
    <xf numFmtId="0" fontId="63" fillId="0" borderId="180" xfId="3741" applyFont="1" applyBorder="1"/>
    <xf numFmtId="0" fontId="63" fillId="0" borderId="0" xfId="3741" applyFont="1"/>
    <xf numFmtId="0" fontId="63" fillId="0" borderId="181" xfId="3741" applyFont="1" applyBorder="1"/>
    <xf numFmtId="0" fontId="63" fillId="0" borderId="0" xfId="3" applyFont="1" applyAlignment="1">
      <alignment horizontal="right" vertical="center" indent="1"/>
    </xf>
    <xf numFmtId="0" fontId="189" fillId="0" borderId="181" xfId="3741" applyFont="1" applyBorder="1"/>
    <xf numFmtId="0" fontId="105" fillId="0" borderId="180" xfId="3741" applyFont="1" applyBorder="1" applyAlignment="1">
      <alignment wrapText="1"/>
    </xf>
    <xf numFmtId="0" fontId="105" fillId="0" borderId="0" xfId="3741" applyFont="1" applyAlignment="1">
      <alignment wrapText="1"/>
    </xf>
    <xf numFmtId="0" fontId="94" fillId="0" borderId="0" xfId="3741" applyFont="1"/>
    <xf numFmtId="0" fontId="63" fillId="0" borderId="180" xfId="3741" applyFont="1" applyBorder="1" applyAlignment="1">
      <alignment wrapText="1"/>
    </xf>
    <xf numFmtId="0" fontId="63" fillId="0" borderId="0" xfId="3741" applyFont="1" applyAlignment="1">
      <alignment wrapText="1"/>
    </xf>
    <xf numFmtId="0" fontId="63" fillId="0" borderId="181" xfId="3741" applyFont="1" applyBorder="1" applyAlignment="1">
      <alignment wrapText="1"/>
    </xf>
    <xf numFmtId="0" fontId="63" fillId="0" borderId="178" xfId="3" applyFont="1" applyBorder="1" applyAlignment="1">
      <alignment vertical="center"/>
    </xf>
    <xf numFmtId="0" fontId="63" fillId="0" borderId="164" xfId="3" applyFont="1" applyBorder="1" applyAlignment="1">
      <alignment vertical="center"/>
    </xf>
    <xf numFmtId="0" fontId="63" fillId="0" borderId="179" xfId="3" applyFont="1" applyBorder="1" applyAlignment="1">
      <alignment vertical="center"/>
    </xf>
    <xf numFmtId="0" fontId="63" fillId="0" borderId="180" xfId="3" applyFont="1" applyBorder="1" applyAlignment="1">
      <alignment vertical="center"/>
    </xf>
    <xf numFmtId="0" fontId="63" fillId="0" borderId="181" xfId="3" applyFont="1" applyBorder="1" applyAlignment="1">
      <alignment vertical="center"/>
    </xf>
    <xf numFmtId="0" fontId="63" fillId="0" borderId="0" xfId="3" quotePrefix="1" applyFont="1" applyAlignment="1" applyProtection="1">
      <alignment horizontal="left" vertical="top" wrapText="1" indent="2"/>
      <protection hidden="1"/>
    </xf>
    <xf numFmtId="0" fontId="71" fillId="0" borderId="22" xfId="3" applyFont="1" applyBorder="1" applyAlignment="1" applyProtection="1">
      <alignment horizontal="center" vertical="center"/>
      <protection locked="0"/>
    </xf>
    <xf numFmtId="0" fontId="86" fillId="0" borderId="0" xfId="3" applyFont="1" applyAlignment="1">
      <alignment horizontal="centerContinuous" vertical="center"/>
    </xf>
    <xf numFmtId="0" fontId="95" fillId="0" borderId="0" xfId="2" applyNumberFormat="1" applyFont="1" applyBorder="1" applyAlignment="1" applyProtection="1">
      <alignment horizontal="centerContinuous" vertical="center"/>
    </xf>
    <xf numFmtId="0" fontId="63" fillId="0" borderId="0" xfId="3" applyFont="1" applyAlignment="1">
      <alignment horizontal="left" vertical="center" indent="2"/>
    </xf>
    <xf numFmtId="0" fontId="63" fillId="0" borderId="0" xfId="3" applyFont="1" applyAlignment="1" applyProtection="1">
      <alignment horizontal="left" vertical="top" wrapText="1" indent="2"/>
      <protection hidden="1"/>
    </xf>
    <xf numFmtId="0" fontId="71" fillId="0" borderId="0" xfId="3" applyFont="1" applyAlignment="1">
      <alignment vertical="center"/>
    </xf>
    <xf numFmtId="0" fontId="85" fillId="0" borderId="0" xfId="3" applyFont="1" applyAlignment="1">
      <alignment vertical="center"/>
    </xf>
    <xf numFmtId="0" fontId="86" fillId="0" borderId="0" xfId="3" applyFont="1" applyAlignment="1">
      <alignment horizontal="center" vertical="center" wrapText="1"/>
    </xf>
    <xf numFmtId="0" fontId="63" fillId="0" borderId="0" xfId="3" applyFont="1" applyAlignment="1">
      <alignment horizontal="center" wrapText="1"/>
    </xf>
    <xf numFmtId="0" fontId="71" fillId="0" borderId="0" xfId="3" applyFont="1" applyAlignment="1">
      <alignment horizontal="right"/>
    </xf>
    <xf numFmtId="0" fontId="63" fillId="0" borderId="0" xfId="3" applyFont="1" applyAlignment="1">
      <alignment horizontal="right" vertical="center"/>
    </xf>
    <xf numFmtId="0" fontId="86" fillId="0" borderId="0" xfId="3" applyFont="1"/>
    <xf numFmtId="0" fontId="86" fillId="0" borderId="131" xfId="3" applyFont="1" applyBorder="1" applyAlignment="1">
      <alignment horizontal="center"/>
    </xf>
    <xf numFmtId="0" fontId="86" fillId="0" borderId="0" xfId="3" applyFont="1" applyAlignment="1">
      <alignment vertical="center" wrapText="1"/>
    </xf>
    <xf numFmtId="0" fontId="63" fillId="0" borderId="131" xfId="3" applyFont="1" applyBorder="1" applyAlignment="1">
      <alignment vertical="center"/>
    </xf>
    <xf numFmtId="0" fontId="86" fillId="0" borderId="131" xfId="3" applyFont="1" applyBorder="1" applyAlignment="1">
      <alignment horizontal="center" vertical="center"/>
    </xf>
    <xf numFmtId="171" fontId="63" fillId="0" borderId="0" xfId="3" applyNumberFormat="1" applyFont="1" applyAlignment="1">
      <alignment horizontal="center"/>
    </xf>
    <xf numFmtId="0" fontId="86" fillId="0" borderId="181" xfId="3" applyFont="1" applyBorder="1" applyAlignment="1">
      <alignment vertical="center"/>
    </xf>
    <xf numFmtId="0" fontId="63" fillId="0" borderId="0" xfId="3" applyFont="1" applyAlignment="1" applyProtection="1">
      <alignment vertical="center"/>
      <protection hidden="1"/>
    </xf>
    <xf numFmtId="0" fontId="63" fillId="0" borderId="0" xfId="3" applyFont="1" applyAlignment="1" applyProtection="1">
      <alignment horizontal="right" vertical="center"/>
      <protection hidden="1"/>
    </xf>
    <xf numFmtId="0" fontId="63" fillId="0" borderId="181" xfId="3" applyFont="1" applyBorder="1" applyAlignment="1" applyProtection="1">
      <alignment vertical="center"/>
      <protection hidden="1"/>
    </xf>
    <xf numFmtId="0" fontId="71" fillId="0" borderId="181" xfId="3" applyFont="1" applyBorder="1" applyAlignment="1">
      <alignment vertical="center"/>
    </xf>
    <xf numFmtId="9" fontId="63" fillId="0" borderId="0" xfId="3" applyNumberFormat="1" applyFont="1" applyAlignment="1">
      <alignment horizontal="center" vertical="center" shrinkToFit="1"/>
    </xf>
    <xf numFmtId="0" fontId="63" fillId="0" borderId="0" xfId="3" applyFont="1" applyAlignment="1">
      <alignment vertical="center" shrinkToFit="1"/>
    </xf>
    <xf numFmtId="0" fontId="63" fillId="0" borderId="181" xfId="3" applyFont="1" applyBorder="1" applyAlignment="1">
      <alignment horizontal="right" vertical="center"/>
    </xf>
    <xf numFmtId="9" fontId="63" fillId="16" borderId="125" xfId="3" applyNumberFormat="1" applyFont="1" applyFill="1" applyBorder="1" applyAlignment="1">
      <alignment horizontal="center" vertical="center" shrinkToFit="1"/>
    </xf>
    <xf numFmtId="0" fontId="63" fillId="15" borderId="125" xfId="3" applyFont="1" applyFill="1" applyBorder="1" applyAlignment="1">
      <alignment vertical="center" shrinkToFit="1"/>
    </xf>
    <xf numFmtId="164" fontId="71" fillId="0" borderId="202" xfId="3" applyNumberFormat="1" applyFont="1" applyBorder="1" applyAlignment="1">
      <alignment horizontal="right" vertical="center"/>
    </xf>
    <xf numFmtId="38" fontId="63" fillId="16" borderId="27" xfId="3" applyNumberFormat="1" applyFont="1" applyFill="1" applyBorder="1" applyAlignment="1">
      <alignment vertical="center" shrinkToFit="1"/>
    </xf>
    <xf numFmtId="0" fontId="63" fillId="0" borderId="14" xfId="3" applyFont="1" applyBorder="1" applyAlignment="1">
      <alignment horizontal="center" vertical="center"/>
    </xf>
    <xf numFmtId="0" fontId="71" fillId="0" borderId="21" xfId="3" applyFont="1" applyBorder="1" applyAlignment="1">
      <alignment horizontal="left" vertical="center"/>
    </xf>
    <xf numFmtId="38" fontId="63" fillId="16" borderId="2" xfId="3" applyNumberFormat="1" applyFont="1" applyFill="1" applyBorder="1" applyAlignment="1">
      <alignment vertical="center" shrinkToFit="1"/>
    </xf>
    <xf numFmtId="38" fontId="63" fillId="0" borderId="2" xfId="3" applyNumberFormat="1" applyFont="1" applyBorder="1" applyAlignment="1" applyProtection="1">
      <alignment vertical="center" shrinkToFit="1"/>
      <protection locked="0"/>
    </xf>
    <xf numFmtId="164" fontId="71" fillId="0" borderId="202" xfId="3" applyNumberFormat="1" applyFont="1" applyBorder="1" applyAlignment="1">
      <alignment vertical="top"/>
    </xf>
    <xf numFmtId="0" fontId="63" fillId="15" borderId="2" xfId="3" applyFont="1" applyFill="1" applyBorder="1" applyAlignment="1">
      <alignment vertical="center" shrinkToFit="1"/>
    </xf>
    <xf numFmtId="38" fontId="63" fillId="16" borderId="2" xfId="3" applyNumberFormat="1" applyFont="1" applyFill="1" applyBorder="1" applyAlignment="1" applyProtection="1">
      <alignment vertical="center" shrinkToFit="1"/>
      <protection locked="0"/>
    </xf>
    <xf numFmtId="38" fontId="63" fillId="67" borderId="2" xfId="3" applyNumberFormat="1" applyFont="1" applyFill="1" applyBorder="1" applyAlignment="1" applyProtection="1">
      <alignment vertical="center" shrinkToFit="1"/>
      <protection locked="0"/>
    </xf>
    <xf numFmtId="0" fontId="63" fillId="0" borderId="2" xfId="3" applyFont="1" applyBorder="1" applyAlignment="1">
      <alignment horizontal="left" vertical="center" indent="1"/>
    </xf>
    <xf numFmtId="0" fontId="63" fillId="0" borderId="14" xfId="3" applyFont="1" applyBorder="1" applyAlignment="1">
      <alignment horizontal="left" vertical="center"/>
    </xf>
    <xf numFmtId="0" fontId="63" fillId="0" borderId="21" xfId="3" applyFont="1" applyBorder="1" applyAlignment="1">
      <alignment horizontal="left" vertical="center"/>
    </xf>
    <xf numFmtId="0" fontId="63" fillId="0" borderId="2" xfId="3" applyFont="1" applyBorder="1" applyAlignment="1">
      <alignment horizontal="left" vertical="top" indent="1"/>
    </xf>
    <xf numFmtId="0" fontId="71" fillId="0" borderId="125" xfId="3" applyFont="1" applyBorder="1" applyAlignment="1">
      <alignment horizontal="center" vertical="center"/>
    </xf>
    <xf numFmtId="0" fontId="71" fillId="0" borderId="125" xfId="3741" applyFont="1" applyBorder="1" applyAlignment="1">
      <alignment horizontal="center" vertical="center" wrapText="1"/>
    </xf>
    <xf numFmtId="0" fontId="71" fillId="0" borderId="125" xfId="3" applyFont="1" applyBorder="1" applyAlignment="1">
      <alignment horizontal="center" vertical="center" wrapText="1"/>
    </xf>
    <xf numFmtId="0" fontId="71" fillId="0" borderId="3" xfId="3" applyFont="1" applyBorder="1" applyAlignment="1">
      <alignment horizontal="center" vertical="center"/>
    </xf>
    <xf numFmtId="0" fontId="71" fillId="0" borderId="3" xfId="3741" quotePrefix="1" applyFont="1" applyBorder="1" applyAlignment="1">
      <alignment horizontal="center" vertical="center"/>
    </xf>
    <xf numFmtId="0" fontId="63" fillId="0" borderId="3" xfId="3" applyFont="1" applyBorder="1" applyAlignment="1">
      <alignment horizontal="center" vertical="center"/>
    </xf>
    <xf numFmtId="0" fontId="71" fillId="0" borderId="10" xfId="3" applyFont="1" applyBorder="1" applyAlignment="1">
      <alignment horizontal="center" vertical="center"/>
    </xf>
    <xf numFmtId="0" fontId="63" fillId="0" borderId="26" xfId="3" applyFont="1" applyBorder="1" applyAlignment="1">
      <alignment vertical="center"/>
    </xf>
    <xf numFmtId="0" fontId="63" fillId="0" borderId="10" xfId="3" applyFont="1" applyBorder="1" applyAlignment="1" applyProtection="1">
      <alignment horizontal="centerContinuous" vertical="center"/>
      <protection hidden="1"/>
    </xf>
    <xf numFmtId="0" fontId="63" fillId="0" borderId="16" xfId="3" applyFont="1" applyBorder="1" applyAlignment="1" applyProtection="1">
      <alignment horizontal="centerContinuous" vertical="center"/>
      <protection hidden="1"/>
    </xf>
    <xf numFmtId="0" fontId="71" fillId="0" borderId="3" xfId="3" applyFont="1" applyBorder="1" applyAlignment="1" applyProtection="1">
      <alignment horizontal="centerContinuous" vertical="center"/>
      <protection hidden="1"/>
    </xf>
    <xf numFmtId="0" fontId="71" fillId="0" borderId="12" xfId="3" applyFont="1" applyBorder="1" applyAlignment="1" applyProtection="1">
      <alignment horizontal="centerContinuous" vertical="center"/>
      <protection hidden="1"/>
    </xf>
    <xf numFmtId="0" fontId="63" fillId="0" borderId="3" xfId="3" applyFont="1" applyBorder="1" applyAlignment="1">
      <alignment vertical="center"/>
    </xf>
    <xf numFmtId="0" fontId="63" fillId="0" borderId="16" xfId="3" applyFont="1" applyBorder="1" applyAlignment="1">
      <alignment vertical="center"/>
    </xf>
    <xf numFmtId="0" fontId="63" fillId="0" borderId="204" xfId="3" applyFont="1" applyBorder="1" applyAlignment="1">
      <alignment vertical="center"/>
    </xf>
    <xf numFmtId="0" fontId="63" fillId="0" borderId="126" xfId="3" applyFont="1" applyBorder="1" applyAlignment="1">
      <alignment vertical="center"/>
    </xf>
    <xf numFmtId="0" fontId="63" fillId="0" borderId="123" xfId="3" applyFont="1" applyBorder="1" applyAlignment="1">
      <alignment vertical="center"/>
    </xf>
    <xf numFmtId="0" fontId="63" fillId="22" borderId="124" xfId="3" applyFont="1" applyFill="1" applyBorder="1" applyAlignment="1">
      <alignment vertical="center"/>
    </xf>
    <xf numFmtId="0" fontId="63" fillId="22" borderId="126" xfId="3" applyFont="1" applyFill="1" applyBorder="1" applyAlignment="1">
      <alignment vertical="center"/>
    </xf>
    <xf numFmtId="0" fontId="63" fillId="22" borderId="203" xfId="3" applyFont="1" applyFill="1" applyBorder="1" applyAlignment="1">
      <alignment vertical="center"/>
    </xf>
    <xf numFmtId="0" fontId="63" fillId="0" borderId="17" xfId="3" applyFont="1" applyBorder="1" applyAlignment="1">
      <alignment vertical="center"/>
    </xf>
    <xf numFmtId="0" fontId="63" fillId="0" borderId="17" xfId="3" applyFont="1" applyBorder="1" applyAlignment="1">
      <alignment horizontal="center" vertical="center"/>
    </xf>
    <xf numFmtId="0" fontId="71" fillId="22" borderId="204" xfId="3" applyFont="1" applyFill="1" applyBorder="1" applyAlignment="1">
      <alignment horizontal="left"/>
    </xf>
    <xf numFmtId="0" fontId="71" fillId="0" borderId="0" xfId="3" applyFont="1" applyAlignment="1">
      <alignment horizontal="left" vertical="center"/>
    </xf>
    <xf numFmtId="0" fontId="63" fillId="0" borderId="196" xfId="3" applyFont="1" applyBorder="1" applyAlignment="1">
      <alignment vertical="center"/>
    </xf>
    <xf numFmtId="0" fontId="63" fillId="0" borderId="172" xfId="3" applyFont="1" applyBorder="1" applyAlignment="1">
      <alignment vertical="center"/>
    </xf>
    <xf numFmtId="0" fontId="71" fillId="0" borderId="172" xfId="3" applyFont="1" applyBorder="1" applyAlignment="1">
      <alignment horizontal="left" vertical="center"/>
    </xf>
    <xf numFmtId="0" fontId="71" fillId="0" borderId="172" xfId="3" applyFont="1" applyBorder="1" applyAlignment="1">
      <alignment horizontal="center" vertical="center"/>
    </xf>
    <xf numFmtId="0" fontId="63" fillId="0" borderId="205" xfId="3" applyFont="1" applyBorder="1" applyAlignment="1">
      <alignment vertical="center"/>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5" xfId="0" applyNumberFormat="1" applyFont="1" applyFill="1" applyBorder="1" applyAlignment="1" applyProtection="1">
      <alignment horizontal="right"/>
      <protection locked="0"/>
    </xf>
    <xf numFmtId="38" fontId="61" fillId="0" borderId="14" xfId="0" applyNumberFormat="1" applyFont="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2" xfId="4598" applyNumberFormat="1" applyFont="1" applyBorder="1" applyAlignment="1" applyProtection="1">
      <alignment horizontal="right" shrinkToFit="1"/>
      <protection locked="0"/>
    </xf>
    <xf numFmtId="38" fontId="61" fillId="0" borderId="125" xfId="4598" applyNumberFormat="1" applyFont="1" applyBorder="1" applyAlignment="1" applyProtection="1">
      <alignment horizontal="right" shrinkToFit="1"/>
      <protection locked="0"/>
    </xf>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shrinkToFit="1"/>
      <protection locked="0"/>
    </xf>
    <xf numFmtId="1" fontId="68" fillId="0" borderId="8" xfId="3" applyNumberFormat="1" applyFont="1" applyBorder="1" applyAlignment="1" applyProtection="1">
      <alignment horizontal="center" shrinkToFit="1"/>
      <protection locked="0"/>
    </xf>
    <xf numFmtId="3" fontId="68" fillId="0" borderId="8" xfId="3" applyNumberFormat="1" applyFont="1" applyBorder="1" applyAlignment="1" applyProtection="1">
      <alignment horizontal="center" shrinkToFit="1"/>
      <protection locked="0"/>
    </xf>
    <xf numFmtId="169" fontId="68" fillId="0" borderId="22" xfId="3" applyNumberFormat="1" applyFont="1" applyBorder="1" applyAlignment="1" applyProtection="1">
      <alignment horizontal="center" shrinkToFit="1"/>
      <protection locked="0"/>
    </xf>
    <xf numFmtId="1" fontId="68" fillId="0" borderId="22" xfId="3"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center" shrinkToFit="1"/>
      <protection locked="0"/>
    </xf>
    <xf numFmtId="3" fontId="68" fillId="0" borderId="22" xfId="3" applyNumberFormat="1" applyFont="1" applyFill="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68" fillId="0" borderId="8" xfId="3" applyNumberFormat="1" applyFont="1" applyBorder="1" applyAlignment="1" applyProtection="1">
      <alignment horizontal="center" shrinkToFit="1"/>
      <protection locked="0"/>
    </xf>
    <xf numFmtId="169" fontId="68" fillId="0" borderId="22" xfId="3" applyNumberFormat="1" applyFont="1" applyBorder="1" applyAlignment="1" applyProtection="1">
      <alignment horizontal="center" shrinkToFit="1"/>
      <protection locked="0"/>
    </xf>
    <xf numFmtId="1" fontId="68" fillId="0" borderId="22" xfId="3"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center" shrinkToFit="1"/>
      <protection locked="0"/>
    </xf>
    <xf numFmtId="169" fontId="68" fillId="0" borderId="8" xfId="3" applyNumberFormat="1" applyFont="1" applyBorder="1" applyAlignment="1" applyProtection="1">
      <alignment horizontal="center" shrinkToFit="1"/>
      <protection locked="0"/>
    </xf>
    <xf numFmtId="1" fontId="68" fillId="0" borderId="8" xfId="3" applyNumberFormat="1" applyFont="1" applyBorder="1" applyAlignment="1" applyProtection="1">
      <alignment horizontal="center" shrinkToFit="1"/>
      <protection locked="0"/>
    </xf>
    <xf numFmtId="3" fontId="68" fillId="0" borderId="22" xfId="3" applyNumberFormat="1" applyFont="1" applyFill="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0" fontId="2" fillId="0" borderId="155" xfId="19" applyFont="1" applyBorder="1" applyAlignment="1" applyProtection="1">
      <alignment horizontal="left" vertical="top" wrapText="1"/>
      <protection locked="0"/>
    </xf>
    <xf numFmtId="181" fontId="20" fillId="0" borderId="16" xfId="12" applyNumberFormat="1" applyFont="1" applyFill="1" applyBorder="1" applyAlignment="1" applyProtection="1">
      <alignment horizontal="left" vertical="center" shrinkToFit="1"/>
      <protection hidden="1"/>
    </xf>
    <xf numFmtId="181" fontId="20" fillId="0" borderId="10" xfId="12" applyNumberFormat="1" applyFont="1" applyFill="1" applyBorder="1" applyAlignment="1" applyProtection="1">
      <alignment horizontal="left" vertical="center" shrinkToFit="1"/>
      <protection hidden="1"/>
    </xf>
    <xf numFmtId="181" fontId="20" fillId="0" borderId="0" xfId="12" applyNumberFormat="1" applyFont="1" applyFill="1" applyBorder="1" applyAlignment="1" applyProtection="1">
      <alignment horizontal="left" vertical="center" shrinkToFit="1"/>
      <protection hidden="1"/>
    </xf>
    <xf numFmtId="181" fontId="20" fillId="0" borderId="18" xfId="12" applyNumberFormat="1" applyFont="1" applyFill="1" applyBorder="1" applyAlignment="1" applyProtection="1">
      <alignment horizontal="left" vertical="center" shrinkToFit="1"/>
      <protection hidden="1"/>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17" xfId="12"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0" fontId="19" fillId="0" borderId="19" xfId="12" applyNumberFormat="1" applyFont="1" applyBorder="1" applyAlignment="1" applyProtection="1">
      <alignment horizontal="lef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14" fontId="19" fillId="0" borderId="123"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0" fontId="19" fillId="0" borderId="124"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180" fontId="19" fillId="0" borderId="124"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4" xfId="12" applyFont="1" applyBorder="1" applyAlignment="1" applyProtection="1">
      <alignment horizontal="left" vertical="center" indent="1"/>
      <protection locked="0"/>
    </xf>
    <xf numFmtId="0" fontId="19" fillId="0" borderId="124"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9" fillId="0" borderId="0" xfId="0" applyNumberFormat="1" applyFont="1" applyBorder="1" applyAlignment="1" applyProtection="1">
      <alignment horizontal="left" vertical="center" indent="1"/>
      <protection locked="0"/>
    </xf>
    <xf numFmtId="0" fontId="19" fillId="0" borderId="18" xfId="0" applyFont="1" applyBorder="1" applyAlignment="1" applyProtection="1">
      <alignment horizontal="left" vertical="center" indent="1"/>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49" fontId="19" fillId="0" borderId="0" xfId="12" applyNumberFormat="1" applyFont="1" applyBorder="1" applyAlignment="1" applyProtection="1">
      <alignment horizontal="center" vertical="center"/>
    </xf>
    <xf numFmtId="0" fontId="20" fillId="0" borderId="19" xfId="12" applyFont="1" applyBorder="1" applyAlignment="1" applyProtection="1">
      <alignment vertical="center"/>
    </xf>
    <xf numFmtId="0" fontId="2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9" fillId="0" borderId="19" xfId="12"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40" fillId="0" borderId="17" xfId="12" applyNumberFormat="1" applyFont="1" applyBorder="1" applyAlignment="1" applyProtection="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39" fillId="0" borderId="124" xfId="12" applyFont="1" applyBorder="1" applyAlignment="1" applyProtection="1">
      <alignment horizontal="center" vertical="center" wrapText="1"/>
    </xf>
    <xf numFmtId="0" fontId="60" fillId="0" borderId="0" xfId="0" applyFont="1" applyBorder="1" applyAlignment="1">
      <alignment horizontal="center" vertical="center"/>
    </xf>
    <xf numFmtId="0" fontId="60" fillId="0" borderId="0" xfId="0" applyFont="1" applyBorder="1" applyAlignment="1">
      <alignment horizontal="center"/>
    </xf>
    <xf numFmtId="0" fontId="39" fillId="0" borderId="0" xfId="2"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1" fillId="0" borderId="126" xfId="3" applyFont="1" applyBorder="1" applyAlignment="1" applyProtection="1">
      <alignment horizontal="left" vertical="top"/>
      <protection locked="0"/>
    </xf>
    <xf numFmtId="0" fontId="61" fillId="0" borderId="124" xfId="3" applyFont="1" applyBorder="1" applyAlignment="1" applyProtection="1">
      <alignment horizontal="left" vertical="top"/>
      <protection locked="0"/>
    </xf>
    <xf numFmtId="0" fontId="60" fillId="0" borderId="132"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61" fillId="0" borderId="126" xfId="0" applyFont="1" applyBorder="1" applyAlignment="1" applyProtection="1">
      <alignment horizontal="left" vertical="top" wrapText="1"/>
      <protection locked="0"/>
    </xf>
    <xf numFmtId="0" fontId="61" fillId="0" borderId="124" xfId="0" applyFont="1" applyBorder="1" applyAlignment="1" applyProtection="1">
      <alignment horizontal="left" vertical="top" wrapText="1"/>
      <protection locked="0"/>
    </xf>
    <xf numFmtId="0" fontId="84" fillId="11" borderId="118" xfId="0" applyFont="1" applyFill="1" applyBorder="1" applyAlignment="1">
      <alignment horizontal="center" vertical="center" shrinkToFit="1"/>
    </xf>
    <xf numFmtId="0" fontId="84" fillId="11" borderId="163" xfId="0" applyFont="1" applyFill="1" applyBorder="1" applyAlignment="1">
      <alignment horizontal="center" vertical="center" shrinkToFit="1"/>
    </xf>
    <xf numFmtId="0" fontId="68" fillId="13" borderId="117" xfId="0" applyFont="1" applyFill="1" applyBorder="1" applyAlignment="1" applyProtection="1">
      <alignment horizontal="center" vertical="center" shrinkToFit="1"/>
    </xf>
    <xf numFmtId="0" fontId="68" fillId="13" borderId="110" xfId="0" applyFont="1" applyFill="1" applyBorder="1" applyAlignment="1" applyProtection="1">
      <alignment horizontal="center" vertical="center" shrinkToFit="1"/>
    </xf>
    <xf numFmtId="0" fontId="68" fillId="13" borderId="103" xfId="0" applyFont="1" applyFill="1" applyBorder="1" applyAlignment="1" applyProtection="1">
      <alignment horizontal="center" vertical="center" shrinkToFit="1"/>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4" xfId="0" applyFont="1" applyFill="1" applyBorder="1" applyAlignment="1" applyProtection="1">
      <alignment horizontal="center" vertical="center" wrapText="1"/>
    </xf>
    <xf numFmtId="3" fontId="70" fillId="22" borderId="13" xfId="0" applyNumberFormat="1" applyFont="1" applyFill="1" applyBorder="1" applyAlignment="1" applyProtection="1">
      <alignment horizontal="left" vertical="center"/>
    </xf>
    <xf numFmtId="3" fontId="70" fillId="22" borderId="14" xfId="0" applyNumberFormat="1" applyFont="1" applyFill="1" applyBorder="1" applyAlignment="1" applyProtection="1">
      <alignment horizontal="left" vertical="center"/>
    </xf>
    <xf numFmtId="164" fontId="70" fillId="22" borderId="49" xfId="0" applyNumberFormat="1" applyFont="1" applyFill="1" applyBorder="1" applyAlignment="1" applyProtection="1">
      <alignment horizontal="left" vertical="center"/>
    </xf>
    <xf numFmtId="164" fontId="70" fillId="22" borderId="31" xfId="0" applyNumberFormat="1" applyFont="1" applyFill="1" applyBorder="1" applyAlignment="1" applyProtection="1">
      <alignment horizontal="left" vertical="center"/>
    </xf>
    <xf numFmtId="0" fontId="70" fillId="22" borderId="34" xfId="0" applyFont="1" applyFill="1" applyBorder="1" applyAlignment="1" applyProtection="1">
      <alignment horizontal="left" vertical="center"/>
    </xf>
    <xf numFmtId="0" fontId="70" fillId="22" borderId="31" xfId="0" applyFont="1" applyFill="1" applyBorder="1" applyAlignment="1" applyProtection="1">
      <alignment horizontal="left" vertical="center"/>
    </xf>
    <xf numFmtId="164" fontId="70" fillId="22" borderId="13" xfId="0" applyNumberFormat="1" applyFont="1" applyFill="1" applyBorder="1" applyAlignment="1" applyProtection="1">
      <alignment horizontal="left" vertical="center"/>
    </xf>
    <xf numFmtId="164" fontId="70" fillId="22"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protection hidden="1"/>
    </xf>
    <xf numFmtId="0" fontId="70" fillId="16" borderId="30" xfId="0" applyFont="1" applyFill="1" applyBorder="1" applyAlignment="1" applyProtection="1">
      <alignment horizontal="left" vertical="center" indent="2"/>
      <protection hidden="1"/>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4"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4" borderId="13" xfId="0" applyNumberFormat="1" applyFont="1" applyFill="1" applyBorder="1" applyAlignment="1" applyProtection="1">
      <alignment horizontal="left" vertical="center" wrapText="1" indent="1"/>
    </xf>
    <xf numFmtId="164" fontId="70" fillId="24"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2" borderId="13" xfId="0" applyNumberFormat="1" applyFont="1" applyFill="1" applyBorder="1" applyAlignment="1" applyProtection="1">
      <alignment horizontal="left" vertical="center"/>
    </xf>
    <xf numFmtId="49" fontId="70" fillId="22" borderId="14" xfId="0" applyNumberFormat="1" applyFont="1" applyFill="1" applyBorder="1" applyAlignment="1" applyProtection="1">
      <alignment horizontal="left" vertical="center"/>
    </xf>
    <xf numFmtId="0" fontId="70" fillId="22" borderId="13" xfId="0" applyFont="1" applyFill="1" applyBorder="1" applyAlignment="1" applyProtection="1">
      <alignment vertical="center"/>
    </xf>
    <xf numFmtId="0" fontId="70" fillId="22"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0" borderId="18" xfId="0" applyNumberFormat="1" applyFont="1" applyBorder="1" applyAlignment="1" applyProtection="1">
      <alignment horizontal="center" vertical="center" wrapText="1"/>
    </xf>
    <xf numFmtId="0" fontId="71" fillId="22" borderId="19" xfId="0" applyFont="1" applyFill="1" applyBorder="1" applyAlignment="1">
      <alignment horizontal="center" vertical="center"/>
    </xf>
    <xf numFmtId="0" fontId="63" fillId="22" borderId="11" xfId="0" applyFont="1" applyFill="1" applyBorder="1" applyAlignment="1">
      <alignment horizontal="center" vertical="center"/>
    </xf>
    <xf numFmtId="0" fontId="71" fillId="23" borderId="20" xfId="0" applyFont="1" applyFill="1" applyBorder="1" applyAlignment="1">
      <alignment horizontal="center" vertical="center"/>
    </xf>
    <xf numFmtId="0" fontId="71" fillId="23" borderId="11" xfId="0" applyFont="1" applyFill="1" applyBorder="1" applyAlignment="1">
      <alignment horizontal="center" vertical="center"/>
    </xf>
    <xf numFmtId="0" fontId="63" fillId="23" borderId="11" xfId="0" applyFont="1" applyFill="1" applyBorder="1" applyAlignment="1">
      <alignment horizontal="center" vertical="center"/>
    </xf>
    <xf numFmtId="0" fontId="71" fillId="22" borderId="107" xfId="0" applyFont="1" applyFill="1" applyBorder="1" applyAlignment="1">
      <alignment horizontal="center" vertical="center"/>
    </xf>
    <xf numFmtId="0" fontId="63" fillId="22" borderId="129" xfId="0" applyFont="1" applyFill="1" applyBorder="1" applyAlignment="1">
      <alignment horizontal="center" vertical="center"/>
    </xf>
    <xf numFmtId="0" fontId="71" fillId="22"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2" borderId="20" xfId="0" applyFont="1" applyFill="1" applyBorder="1" applyAlignment="1">
      <alignment horizontal="center" vertical="center" wrapText="1"/>
    </xf>
    <xf numFmtId="0" fontId="63" fillId="22" borderId="11" xfId="0" applyFont="1" applyFill="1" applyBorder="1" applyAlignment="1">
      <alignment horizontal="center" vertical="center" wrapText="1"/>
    </xf>
    <xf numFmtId="3" fontId="71" fillId="22" borderId="13" xfId="0" applyNumberFormat="1" applyFont="1" applyFill="1" applyBorder="1" applyAlignment="1">
      <alignment horizontal="center" vertical="center"/>
    </xf>
    <xf numFmtId="0" fontId="63" fillId="22" borderId="14" xfId="0" applyFont="1" applyFill="1" applyBorder="1" applyAlignment="1">
      <alignment horizontal="center" vertical="center"/>
    </xf>
    <xf numFmtId="0" fontId="71" fillId="22" borderId="21" xfId="0" applyFont="1" applyFill="1" applyBorder="1" applyAlignment="1">
      <alignment horizontal="center" vertical="center"/>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15" borderId="10" xfId="0" applyNumberFormat="1" applyFont="1" applyFill="1" applyBorder="1" applyAlignment="1" applyProtection="1">
      <alignment horizontal="center" vertical="center" wrapText="1"/>
    </xf>
    <xf numFmtId="3" fontId="70" fillId="15" borderId="124"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1" fillId="12" borderId="13" xfId="0" applyNumberFormat="1" applyFont="1" applyFill="1" applyBorder="1" applyAlignment="1" applyProtection="1">
      <alignment horizontal="center" vertical="center"/>
    </xf>
    <xf numFmtId="0" fontId="63" fillId="12" borderId="14" xfId="0" applyFont="1" applyFill="1" applyBorder="1" applyAlignment="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71" fillId="12" borderId="13" xfId="9" applyFont="1" applyFill="1" applyBorder="1" applyAlignment="1">
      <alignment horizontal="center" vertical="center"/>
    </xf>
    <xf numFmtId="0" fontId="68" fillId="0" borderId="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Fill="1" applyBorder="1" applyAlignment="1" applyProtection="1">
      <alignment horizontal="left" vertical="center" wrapText="1"/>
      <protection hidden="1"/>
    </xf>
    <xf numFmtId="0" fontId="70" fillId="0" borderId="6" xfId="0" applyFont="1" applyFill="1" applyBorder="1" applyAlignment="1" applyProtection="1">
      <alignment horizontal="left" vertical="center" wrapText="1"/>
      <protection hidden="1"/>
    </xf>
    <xf numFmtId="0" fontId="63" fillId="0" borderId="6" xfId="0" applyFont="1" applyFill="1" applyBorder="1" applyAlignment="1" applyProtection="1">
      <alignment wrapText="1"/>
      <protection hidden="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5"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protection hidden="1"/>
    </xf>
    <xf numFmtId="0" fontId="70" fillId="16" borderId="145" xfId="0" applyFont="1" applyFill="1" applyBorder="1" applyAlignment="1" applyProtection="1">
      <alignment horizontal="left" vertical="center" indent="1"/>
      <protection hidden="1"/>
    </xf>
    <xf numFmtId="0" fontId="70" fillId="3" borderId="145" xfId="0" applyFont="1" applyFill="1" applyBorder="1" applyAlignment="1" applyProtection="1">
      <alignment horizontal="left" vertical="center"/>
    </xf>
    <xf numFmtId="0" fontId="70" fillId="3" borderId="146" xfId="0"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5" xfId="0" applyFont="1" applyBorder="1" applyAlignment="1" applyProtection="1">
      <alignment horizontal="left" vertical="center" wrapText="1" indent="1"/>
    </xf>
    <xf numFmtId="0" fontId="68" fillId="0" borderId="146" xfId="0" applyFont="1" applyBorder="1" applyAlignment="1" applyProtection="1">
      <alignment horizontal="left" vertical="center" wrapText="1" indent="1"/>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2" borderId="144" xfId="0" applyFont="1" applyFill="1" applyBorder="1" applyAlignment="1" applyProtection="1">
      <alignment horizontal="left" vertical="center" indent="1"/>
    </xf>
    <xf numFmtId="0" fontId="71" fillId="22" borderId="145" xfId="0" applyFont="1" applyFill="1" applyBorder="1" applyAlignment="1" applyProtection="1">
      <alignment horizontal="left" vertical="center" indent="1"/>
    </xf>
    <xf numFmtId="0" fontId="71" fillId="22" borderId="146"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2" borderId="92" xfId="10" applyFont="1" applyFill="1" applyBorder="1" applyAlignment="1" applyProtection="1">
      <alignment horizontal="center" vertical="center" wrapText="1"/>
      <protection hidden="1"/>
    </xf>
    <xf numFmtId="0" fontId="71" fillId="22" borderId="25" xfId="0" applyFont="1" applyFill="1" applyBorder="1" applyAlignment="1" applyProtection="1">
      <alignment horizontal="center" vertical="center" wrapText="1"/>
      <protection hidden="1"/>
    </xf>
    <xf numFmtId="0" fontId="71" fillId="22" borderId="93" xfId="0" applyFont="1" applyFill="1" applyBorder="1" applyAlignment="1" applyProtection="1">
      <alignment horizontal="center" vertical="center" wrapText="1"/>
      <protection hidden="1"/>
    </xf>
    <xf numFmtId="0" fontId="135" fillId="22" borderId="94" xfId="10" applyFont="1" applyFill="1" applyBorder="1" applyAlignment="1">
      <alignment horizontal="center" vertical="center"/>
    </xf>
    <xf numFmtId="0" fontId="61" fillId="22" borderId="47" xfId="0" applyFont="1" applyFill="1" applyBorder="1" applyAlignment="1">
      <alignment horizontal="center" vertical="center"/>
    </xf>
    <xf numFmtId="0" fontId="61" fillId="22"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9" applyFont="1" applyFill="1" applyBorder="1" applyAlignment="1" applyProtection="1">
      <alignment horizontal="left" vertical="top" wrapText="1"/>
      <protection hidden="1"/>
    </xf>
    <xf numFmtId="0" fontId="133" fillId="0" borderId="0" xfId="19" applyFont="1" applyFill="1" applyBorder="1" applyAlignment="1" applyProtection="1">
      <alignment horizontal="left" vertical="top" wrapText="1"/>
      <protection hidden="1"/>
    </xf>
    <xf numFmtId="0" fontId="133" fillId="0" borderId="97" xfId="19" applyFont="1" applyFill="1" applyBorder="1" applyAlignment="1" applyProtection="1">
      <alignment horizontal="left" vertical="top" wrapText="1"/>
      <protection hidden="1"/>
    </xf>
    <xf numFmtId="0" fontId="132" fillId="22" borderId="138" xfId="19" applyFont="1" applyFill="1" applyBorder="1" applyAlignment="1">
      <alignment horizontal="center" vertical="center"/>
    </xf>
    <xf numFmtId="0" fontId="132" fillId="22" borderId="139" xfId="19" applyFont="1" applyFill="1" applyBorder="1" applyAlignment="1">
      <alignment horizontal="center" vertical="center"/>
    </xf>
    <xf numFmtId="0" fontId="132" fillId="22" borderId="140" xfId="19" applyFont="1" applyFill="1" applyBorder="1" applyAlignment="1">
      <alignment horizontal="center" vertical="center"/>
    </xf>
    <xf numFmtId="0" fontId="132" fillId="22" borderId="98" xfId="19" applyFont="1" applyFill="1" applyBorder="1" applyAlignment="1">
      <alignment horizontal="center" vertical="center"/>
    </xf>
    <xf numFmtId="0" fontId="132" fillId="22" borderId="78" xfId="19" applyFont="1" applyFill="1" applyBorder="1" applyAlignment="1">
      <alignment horizontal="center" vertical="center"/>
    </xf>
    <xf numFmtId="0" fontId="132" fillId="22" borderId="99" xfId="19" applyFont="1" applyFill="1" applyBorder="1" applyAlignment="1">
      <alignment horizontal="center" vertical="center"/>
    </xf>
    <xf numFmtId="0" fontId="133" fillId="0" borderId="96" xfId="19" applyFont="1" applyBorder="1" applyAlignment="1">
      <alignment vertical="top" wrapText="1"/>
    </xf>
    <xf numFmtId="0" fontId="133" fillId="0" borderId="0" xfId="19" applyFont="1" applyBorder="1" applyAlignment="1">
      <alignment vertical="top" wrapText="1"/>
    </xf>
    <xf numFmtId="0" fontId="133" fillId="0" borderId="97" xfId="19" applyFont="1" applyBorder="1" applyAlignment="1">
      <alignment vertical="top" wrapText="1"/>
    </xf>
    <xf numFmtId="0" fontId="133" fillId="0" borderId="96" xfId="19" applyFont="1" applyBorder="1" applyAlignment="1">
      <alignment vertical="top"/>
    </xf>
    <xf numFmtId="0" fontId="133" fillId="0" borderId="0" xfId="19" applyFont="1" applyBorder="1" applyAlignment="1">
      <alignment vertical="top"/>
    </xf>
    <xf numFmtId="0" fontId="133" fillId="0" borderId="97" xfId="19"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protection hidden="1"/>
    </xf>
    <xf numFmtId="0" fontId="63" fillId="19" borderId="21" xfId="0" applyFont="1" applyFill="1" applyBorder="1" applyAlignment="1" applyProtection="1">
      <alignment horizontal="left" vertical="center" wrapText="1" indent="1"/>
      <protection hidden="1"/>
    </xf>
    <xf numFmtId="0" fontId="63" fillId="19" borderId="14" xfId="0" applyFont="1" applyFill="1" applyBorder="1" applyAlignment="1" applyProtection="1">
      <alignment horizontal="left" vertical="center" wrapText="1" indent="1"/>
      <protection hidden="1"/>
    </xf>
    <xf numFmtId="0" fontId="12" fillId="0" borderId="96"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07" fillId="22" borderId="0" xfId="18" applyFont="1" applyFill="1" applyAlignment="1">
      <alignment horizontal="center" vertical="center"/>
    </xf>
    <xf numFmtId="0" fontId="79" fillId="0" borderId="135"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2" fillId="0" borderId="139" xfId="18" applyFont="1" applyBorder="1" applyAlignment="1" applyProtection="1">
      <alignment horizontal="center" vertical="top" wrapText="1"/>
      <protection locked="0"/>
    </xf>
    <xf numFmtId="0" fontId="12" fillId="0" borderId="140" xfId="18" applyFont="1" applyBorder="1" applyAlignment="1" applyProtection="1">
      <alignment horizontal="center" vertical="top" wrapText="1"/>
      <protection locked="0"/>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12" fillId="0" borderId="78" xfId="18" applyFont="1" applyBorder="1" applyAlignment="1" applyProtection="1">
      <alignment vertical="top" wrapText="1"/>
      <protection locked="0"/>
    </xf>
    <xf numFmtId="0" fontId="12" fillId="0" borderId="99" xfId="18" applyFont="1" applyBorder="1" applyAlignment="1" applyProtection="1">
      <alignment vertical="top" wrapText="1"/>
      <protection locked="0"/>
    </xf>
    <xf numFmtId="0" fontId="55" fillId="0" borderId="139" xfId="18" applyFont="1" applyBorder="1" applyAlignment="1" applyProtection="1">
      <alignment horizontal="center" vertical="top" wrapText="1"/>
      <protection locked="0"/>
    </xf>
    <xf numFmtId="0" fontId="55" fillId="0" borderId="140"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187" fillId="0" borderId="164" xfId="3740" applyFont="1" applyBorder="1" applyAlignment="1">
      <alignment horizontal="left" vertical="center" wrapText="1"/>
    </xf>
    <xf numFmtId="0" fontId="187" fillId="0" borderId="0" xfId="3740" applyFont="1" applyAlignment="1">
      <alignment horizontal="left" vertical="center" wrapText="1"/>
    </xf>
    <xf numFmtId="0" fontId="187" fillId="0" borderId="180" xfId="3740" applyFont="1" applyBorder="1" applyAlignment="1">
      <alignment horizontal="left" vertical="center" wrapText="1"/>
    </xf>
    <xf numFmtId="0" fontId="107" fillId="0" borderId="0" xfId="3741" applyFont="1" applyAlignment="1">
      <alignment horizontal="center" vertical="top" wrapText="1"/>
    </xf>
    <xf numFmtId="0" fontId="107" fillId="0" borderId="180" xfId="3741" applyFont="1" applyBorder="1" applyAlignment="1">
      <alignment horizontal="center" vertical="top" wrapText="1"/>
    </xf>
    <xf numFmtId="0" fontId="63" fillId="0" borderId="190" xfId="3741" applyFont="1" applyBorder="1"/>
    <xf numFmtId="0" fontId="63" fillId="0" borderId="188" xfId="3741" applyFont="1" applyBorder="1"/>
    <xf numFmtId="0" fontId="63" fillId="0" borderId="187" xfId="3741" applyFont="1" applyBorder="1"/>
    <xf numFmtId="0" fontId="63" fillId="0" borderId="185" xfId="3741" applyFont="1" applyBorder="1"/>
    <xf numFmtId="0" fontId="71" fillId="0" borderId="183" xfId="3741" applyFont="1" applyBorder="1"/>
    <xf numFmtId="0" fontId="71" fillId="0" borderId="77" xfId="3741" applyFont="1" applyBorder="1"/>
    <xf numFmtId="166" fontId="63" fillId="0" borderId="21" xfId="3" applyNumberFormat="1" applyFont="1" applyBorder="1" applyAlignment="1">
      <alignment horizontal="left" vertical="center" indent="1"/>
    </xf>
    <xf numFmtId="166" fontId="63" fillId="0" borderId="197" xfId="3" applyNumberFormat="1" applyFont="1" applyBorder="1" applyAlignment="1">
      <alignment horizontal="left" vertical="center" indent="1"/>
    </xf>
    <xf numFmtId="0" fontId="63" fillId="66" borderId="183" xfId="3741" applyFont="1" applyFill="1" applyBorder="1"/>
    <xf numFmtId="0" fontId="63" fillId="66" borderId="77" xfId="3741" applyFont="1" applyFill="1" applyBorder="1"/>
    <xf numFmtId="0" fontId="71" fillId="0" borderId="172" xfId="3741" applyFont="1" applyBorder="1" applyAlignment="1">
      <alignment horizontal="center" wrapText="1"/>
    </xf>
    <xf numFmtId="0" fontId="71" fillId="0" borderId="196" xfId="3741" applyFont="1" applyBorder="1" applyAlignment="1">
      <alignment horizontal="center" wrapText="1"/>
    </xf>
    <xf numFmtId="0" fontId="107" fillId="0" borderId="195" xfId="3741" applyFont="1" applyBorder="1" applyAlignment="1">
      <alignment horizontal="center"/>
    </xf>
    <xf numFmtId="0" fontId="107" fillId="0" borderId="78" xfId="3741" applyFont="1" applyBorder="1" applyAlignment="1">
      <alignment horizontal="center"/>
    </xf>
    <xf numFmtId="0" fontId="107" fillId="0" borderId="99" xfId="3741" applyFont="1" applyBorder="1" applyAlignment="1">
      <alignment horizontal="center"/>
    </xf>
    <xf numFmtId="0" fontId="63" fillId="0" borderId="194" xfId="3741" applyFont="1" applyBorder="1"/>
    <xf numFmtId="0" fontId="63" fillId="0" borderId="191" xfId="3741" applyFont="1" applyBorder="1"/>
    <xf numFmtId="0" fontId="63" fillId="0" borderId="190" xfId="3741" applyFont="1" applyBorder="1" applyAlignment="1">
      <alignment wrapText="1"/>
    </xf>
    <xf numFmtId="0" fontId="63" fillId="0" borderId="188" xfId="3741" applyFont="1" applyBorder="1" applyAlignment="1">
      <alignment wrapText="1"/>
    </xf>
    <xf numFmtId="0" fontId="63" fillId="0" borderId="126" xfId="3" applyFont="1" applyBorder="1" applyAlignment="1">
      <alignment horizontal="left" vertical="center" indent="1"/>
    </xf>
    <xf numFmtId="0" fontId="63" fillId="0" borderId="198" xfId="3" applyFont="1" applyBorder="1" applyAlignment="1">
      <alignment horizontal="left" vertical="center"/>
    </xf>
    <xf numFmtId="0" fontId="63" fillId="0" borderId="132" xfId="3" applyFont="1" applyBorder="1" applyAlignment="1" applyProtection="1">
      <alignment horizontal="center" vertical="center"/>
      <protection locked="0"/>
    </xf>
    <xf numFmtId="171" fontId="63" fillId="0" borderId="132" xfId="3" applyNumberFormat="1" applyFont="1" applyBorder="1" applyAlignment="1" applyProtection="1">
      <alignment horizontal="center"/>
      <protection locked="0"/>
    </xf>
    <xf numFmtId="0" fontId="86" fillId="0" borderId="131" xfId="3" applyFont="1" applyBorder="1" applyAlignment="1">
      <alignment horizontal="center" vertical="center" wrapText="1"/>
    </xf>
    <xf numFmtId="0" fontId="63" fillId="0" borderId="132" xfId="3" applyFont="1" applyBorder="1" applyAlignment="1" applyProtection="1">
      <alignment horizontal="center"/>
      <protection locked="0"/>
    </xf>
    <xf numFmtId="0" fontId="86" fillId="0" borderId="131" xfId="3" applyFont="1" applyBorder="1" applyAlignment="1">
      <alignment horizontal="center"/>
    </xf>
    <xf numFmtId="0" fontId="63" fillId="0" borderId="0" xfId="3" applyFont="1" applyAlignment="1" applyProtection="1">
      <alignment horizontal="left" vertical="top" wrapText="1" indent="2"/>
      <protection hidden="1"/>
    </xf>
    <xf numFmtId="0" fontId="63" fillId="0" borderId="5" xfId="3" quotePrefix="1" applyFont="1" applyBorder="1" applyAlignment="1" applyProtection="1">
      <alignment horizontal="left" vertical="top" wrapText="1" indent="2"/>
      <protection hidden="1"/>
    </xf>
    <xf numFmtId="0" fontId="63" fillId="0" borderId="0" xfId="3" quotePrefix="1" applyFont="1" applyAlignment="1" applyProtection="1">
      <alignment horizontal="left" vertical="top" wrapText="1" indent="2"/>
      <protection hidden="1"/>
    </xf>
    <xf numFmtId="0" fontId="190" fillId="0" borderId="201" xfId="3741" applyFont="1" applyBorder="1" applyAlignment="1">
      <alignment horizontal="center"/>
    </xf>
    <xf numFmtId="0" fontId="190" fillId="0" borderId="200" xfId="3741" applyFont="1" applyBorder="1" applyAlignment="1">
      <alignment horizontal="center"/>
    </xf>
    <xf numFmtId="0" fontId="190" fillId="0" borderId="199" xfId="3741" applyFont="1" applyBorder="1" applyAlignment="1">
      <alignment horizontal="center"/>
    </xf>
    <xf numFmtId="0" fontId="63" fillId="0" borderId="181" xfId="3741" applyFont="1" applyBorder="1" applyAlignment="1">
      <alignment wrapText="1"/>
    </xf>
    <xf numFmtId="0" fontId="63" fillId="0" borderId="0" xfId="3741" applyFont="1" applyAlignment="1">
      <alignment wrapText="1"/>
    </xf>
    <xf numFmtId="0" fontId="63" fillId="0" borderId="180" xfId="3741" applyFont="1" applyBorder="1" applyAlignment="1">
      <alignment wrapText="1"/>
    </xf>
    <xf numFmtId="0" fontId="71" fillId="0" borderId="21" xfId="3" applyFont="1" applyBorder="1" applyAlignment="1" applyProtection="1">
      <alignment vertical="center"/>
      <protection hidden="1"/>
    </xf>
    <xf numFmtId="0" fontId="71" fillId="0" borderId="14" xfId="3" applyFont="1" applyBorder="1" applyAlignment="1" applyProtection="1">
      <alignment vertical="center"/>
      <protection hidden="1"/>
    </xf>
    <xf numFmtId="0" fontId="71" fillId="67" borderId="78" xfId="3" applyFont="1" applyFill="1" applyBorder="1" applyAlignment="1" applyProtection="1">
      <alignment horizontal="left" vertical="center" indent="1"/>
      <protection locked="0"/>
    </xf>
    <xf numFmtId="0" fontId="71" fillId="67" borderId="78" xfId="3" applyFont="1" applyFill="1" applyBorder="1" applyAlignment="1" applyProtection="1">
      <alignment horizontal="left" vertical="center"/>
      <protection locked="0"/>
    </xf>
    <xf numFmtId="0" fontId="63" fillId="22" borderId="181" xfId="3" applyFont="1" applyFill="1" applyBorder="1" applyAlignment="1">
      <alignment horizontal="left" vertical="top" wrapText="1"/>
    </xf>
    <xf numFmtId="0" fontId="63" fillId="22" borderId="0" xfId="3" applyFont="1" applyFill="1" applyAlignment="1">
      <alignment vertical="top"/>
    </xf>
    <xf numFmtId="0" fontId="63" fillId="22" borderId="18" xfId="3" applyFont="1" applyFill="1" applyBorder="1" applyAlignment="1">
      <alignment vertical="top"/>
    </xf>
    <xf numFmtId="166" fontId="71" fillId="67" borderId="76" xfId="3" applyNumberFormat="1" applyFont="1" applyFill="1" applyBorder="1" applyAlignment="1" applyProtection="1">
      <alignment horizontal="left" vertical="center" indent="1"/>
      <protection locked="0"/>
    </xf>
    <xf numFmtId="0" fontId="71" fillId="0" borderId="203" xfId="3" applyFont="1" applyBorder="1" applyAlignment="1">
      <alignment horizontal="center" vertical="center"/>
    </xf>
    <xf numFmtId="0" fontId="63" fillId="0" borderId="126" xfId="3" applyFont="1" applyBorder="1" applyAlignment="1">
      <alignment horizontal="center" vertical="center"/>
    </xf>
    <xf numFmtId="0" fontId="63" fillId="0" borderId="124" xfId="3" applyFont="1" applyBorder="1" applyAlignment="1">
      <alignment horizontal="center" vertical="center"/>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2"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5" fillId="0" borderId="116" xfId="3" applyFont="1" applyBorder="1" applyAlignment="1">
      <alignment horizontal="center" vertical="center" wrapText="1"/>
    </xf>
    <xf numFmtId="0" fontId="116" fillId="0" borderId="13" xfId="3" applyNumberFormat="1" applyFont="1" applyFill="1" applyBorder="1" applyAlignment="1" applyProtection="1">
      <alignment vertical="top" wrapText="1"/>
      <protection hidden="1"/>
    </xf>
    <xf numFmtId="0" fontId="116" fillId="0" borderId="21" xfId="3" applyNumberFormat="1" applyFont="1" applyFill="1" applyBorder="1" applyAlignment="1" applyProtection="1">
      <alignment vertical="top" wrapText="1"/>
      <protection hidden="1"/>
    </xf>
    <xf numFmtId="0" fontId="116" fillId="0" borderId="14" xfId="3" applyNumberFormat="1" applyFont="1" applyFill="1" applyBorder="1" applyAlignment="1" applyProtection="1">
      <alignment vertical="top" wrapText="1"/>
      <protection hidden="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Fill="1" applyBorder="1" applyAlignment="1" applyProtection="1">
      <alignment vertical="top"/>
      <protection hidden="1"/>
    </xf>
    <xf numFmtId="0" fontId="89" fillId="0" borderId="0" xfId="3" applyFont="1" applyFill="1" applyBorder="1" applyAlignment="1" applyProtection="1">
      <alignment vertical="top"/>
      <protection hidden="1"/>
    </xf>
    <xf numFmtId="0" fontId="89" fillId="0" borderId="40" xfId="3" applyFont="1" applyFill="1" applyBorder="1" applyAlignment="1" applyProtection="1">
      <alignment vertical="top"/>
      <protection hidden="1"/>
    </xf>
    <xf numFmtId="0" fontId="89" fillId="0" borderId="50" xfId="3" applyFont="1" applyFill="1" applyBorder="1" applyAlignment="1" applyProtection="1">
      <alignment vertical="top"/>
      <protection hidden="1"/>
    </xf>
    <xf numFmtId="0" fontId="89" fillId="0" borderId="9" xfId="3" applyFont="1" applyFill="1" applyBorder="1" applyAlignment="1" applyProtection="1">
      <alignment vertical="top"/>
      <protection hidden="1"/>
    </xf>
    <xf numFmtId="0" fontId="89" fillId="0" borderId="59" xfId="3" applyFont="1" applyFill="1" applyBorder="1" applyAlignment="1" applyProtection="1">
      <alignment vertical="top"/>
      <protection hidden="1"/>
    </xf>
    <xf numFmtId="0" fontId="118" fillId="12" borderId="123" xfId="0" applyFont="1" applyFill="1" applyBorder="1" applyAlignment="1">
      <alignment horizontal="center" vertical="center"/>
    </xf>
    <xf numFmtId="0" fontId="118" fillId="12" borderId="126" xfId="0" applyFont="1" applyFill="1" applyBorder="1" applyAlignment="1">
      <alignment horizontal="center" vertical="center"/>
    </xf>
    <xf numFmtId="0" fontId="118" fillId="12" borderId="151"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3" xfId="0" applyNumberFormat="1" applyFont="1" applyFill="1" applyBorder="1" applyAlignment="1">
      <alignment horizontal="center" vertical="top"/>
    </xf>
    <xf numFmtId="164" fontId="119" fillId="12" borderId="126" xfId="0" applyNumberFormat="1" applyFont="1" applyFill="1" applyBorder="1" applyAlignment="1">
      <alignment horizontal="center" vertical="top"/>
    </xf>
    <xf numFmtId="164" fontId="119" fillId="12" borderId="151"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6" xfId="0" applyNumberFormat="1" applyFont="1" applyBorder="1" applyAlignment="1">
      <alignment horizontal="left" vertical="center" wrapText="1"/>
    </xf>
    <xf numFmtId="0" fontId="63" fillId="0" borderId="124"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0" xfId="3" applyNumberFormat="1" applyFont="1" applyAlignment="1" applyProtection="1">
      <alignment horizontal="center" vertical="center"/>
    </xf>
    <xf numFmtId="0" fontId="61" fillId="0" borderId="144" xfId="3" applyNumberFormat="1" applyFont="1" applyBorder="1" applyProtection="1"/>
    <xf numFmtId="0" fontId="61" fillId="0" borderId="145"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5" xfId="3" applyNumberFormat="1" applyFont="1" applyBorder="1" applyAlignment="1" applyProtection="1">
      <alignment horizontal="left"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5" xfId="3" applyNumberFormat="1"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71" fillId="0" borderId="146" xfId="3" applyFont="1" applyBorder="1" applyAlignment="1" applyProtection="1">
      <alignment horizontal="left" indent="1"/>
      <protection locked="0"/>
    </xf>
    <xf numFmtId="0" fontId="71" fillId="0" borderId="0" xfId="3" applyNumberFormat="1" applyFont="1" applyFill="1" applyAlignment="1" applyProtection="1">
      <alignment horizontal="center" vertical="center"/>
      <protection hidden="1"/>
    </xf>
    <xf numFmtId="0" fontId="63" fillId="0" borderId="0" xfId="3" applyFont="1" applyFill="1" applyAlignment="1" applyProtection="1">
      <alignment horizontal="center" vertical="center"/>
      <protection hidden="1"/>
    </xf>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60" fillId="0" borderId="0" xfId="3" applyFont="1" applyAlignment="1">
      <alignment horizontal="center" vertical="center"/>
    </xf>
    <xf numFmtId="0" fontId="63"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8" fillId="0" borderId="0" xfId="3" applyFont="1" applyAlignment="1" applyProtection="1">
      <alignment horizontal="left" vertical="center" wrapText="1"/>
    </xf>
    <xf numFmtId="3" fontId="61" fillId="0" borderId="77" xfId="3" applyNumberFormat="1" applyFont="1" applyBorder="1" applyAlignment="1" applyProtection="1">
      <alignment horizontal="right" indent="1"/>
      <protection locked="0"/>
    </xf>
    <xf numFmtId="0" fontId="61" fillId="0" borderId="0" xfId="3" applyFont="1" applyBorder="1" applyAlignment="1" applyProtection="1">
      <alignment vertical="center" wrapText="1"/>
      <protection locked="0"/>
    </xf>
    <xf numFmtId="5" fontId="71" fillId="0" borderId="147" xfId="3" applyNumberFormat="1" applyFont="1" applyBorder="1" applyAlignment="1" applyProtection="1">
      <protection locked="0"/>
    </xf>
    <xf numFmtId="0" fontId="71" fillId="0" borderId="148" xfId="3" applyFont="1" applyBorder="1" applyAlignment="1" applyProtection="1">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60" fillId="0" borderId="78" xfId="3" applyFont="1" applyBorder="1" applyAlignment="1" applyProtection="1">
      <alignment horizont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0" fontId="70" fillId="0" borderId="147"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48"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7" xfId="3" applyNumberFormat="1" applyFont="1" applyBorder="1" applyProtection="1">
      <protection locked="0"/>
    </xf>
    <xf numFmtId="6" fontId="68" fillId="0" borderId="148"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8" fillId="0" borderId="147"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48"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7" xfId="3" applyFont="1" applyBorder="1" applyAlignment="1" applyProtection="1">
      <alignment horizontal="center"/>
    </xf>
    <xf numFmtId="0" fontId="68" fillId="0" borderId="76" xfId="3" applyFont="1" applyBorder="1" applyAlignment="1" applyProtection="1">
      <alignment horizontal="center"/>
    </xf>
    <xf numFmtId="0" fontId="68" fillId="0" borderId="148" xfId="3" applyFont="1" applyBorder="1" applyAlignment="1" applyProtection="1">
      <alignment horizontal="center"/>
    </xf>
    <xf numFmtId="38" fontId="68" fillId="0" borderId="147"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48" xfId="3" applyNumberFormat="1" applyFont="1" applyBorder="1" applyAlignment="1" applyProtection="1">
      <alignment horizontal="right" vertic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2" xfId="3" applyFont="1" applyBorder="1" applyAlignment="1" applyProtection="1">
      <alignment horizontal="center" vertical="center" wrapText="1"/>
    </xf>
    <xf numFmtId="0" fontId="60" fillId="0" borderId="0" xfId="3" applyNumberFormat="1" applyFont="1" applyAlignment="1" applyProtection="1">
      <alignment horizontal="center" vertical="center" wrapText="1"/>
    </xf>
  </cellXfs>
  <cellStyles count="8523">
    <cellStyle name="1" xfId="38" xr:uid="{294CA9A5-073F-48C5-B5D7-576D0CE19BBC}"/>
    <cellStyle name="1 2" xfId="4456" xr:uid="{05033262-4C64-4CFF-B702-2717023EF78A}"/>
    <cellStyle name="10" xfId="39" xr:uid="{3298D6B3-94D8-4113-89D1-7BBD84C01F46}"/>
    <cellStyle name="10 2" xfId="4457" xr:uid="{CDBA6EE7-5D24-4C6C-826F-58ABEEE10D2D}"/>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 2" xfId="4459" xr:uid="{5738CB1D-A9CF-4C82-8E64-F9CF24D25D05}"/>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3 2" xfId="4460" xr:uid="{6A57DE36-7CAA-4FD7-A472-A30FF55A88B9}"/>
    <cellStyle name="4" xfId="51" xr:uid="{49307E1B-8BAC-4F6B-B823-491A49BA8805}"/>
    <cellStyle name="4 2" xfId="4461" xr:uid="{3C2717CA-9325-443E-9307-2AB331233B16}"/>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5 2" xfId="4462" xr:uid="{5F0DA0DB-D2C5-4914-B3F2-8784B87A4CC6}"/>
    <cellStyle name="6" xfId="53" xr:uid="{264D4A82-DB57-4D14-B9AA-2300696EA289}"/>
    <cellStyle name="6 2" xfId="4463" xr:uid="{616D1AF3-AED5-4CF5-9CCC-9CCC62B9F108}"/>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7 2" xfId="4464" xr:uid="{EC3EDC16-B7B4-4CCC-BD86-C43EE89269F4}"/>
    <cellStyle name="8" xfId="55" xr:uid="{27C36C97-7C9D-4ABC-AB19-FEE1176E2676}"/>
    <cellStyle name="8 2" xfId="4465" xr:uid="{785885BA-7439-4667-81DB-345C1D1CCE64}"/>
    <cellStyle name="9" xfId="56" xr:uid="{F941485D-9934-452D-A97A-0DD78D909604}"/>
    <cellStyle name="9 2" xfId="4466" xr:uid="{0C066D3C-5CBE-40F5-BB8E-BB8A290C886E}"/>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ld Border 2" xfId="4467" xr:uid="{E5CE7E27-1595-4698-8EDE-22EC671BD3A3}"/>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0" xfId="4599" xr:uid="{8258C904-379F-49FD-902D-080C9AE8F996}"/>
    <cellStyle name="Comma 11" xfId="5908" xr:uid="{F91F18E6-130A-40AB-A3C9-17039103AEB1}"/>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8" xr:uid="{388B6CF2-DEF2-4769-B226-E9D8437F382F}"/>
    <cellStyle name="Comma 3 10 2 2 2" xfId="5415" xr:uid="{38DDC3F0-A7F0-40EB-9B46-CB2AA8253832}"/>
    <cellStyle name="Comma 3 10 2 2 2 2" xfId="8032" xr:uid="{0FF429C9-9C82-45C6-A34A-728591750B5C}"/>
    <cellStyle name="Comma 3 10 2 2 3" xfId="6724" xr:uid="{FCD753BB-B253-4797-8C45-88B136828775}"/>
    <cellStyle name="Comma 3 10 2 3" xfId="4943" xr:uid="{E17ECC78-B099-4D1C-83B5-FFADB13EDBB3}"/>
    <cellStyle name="Comma 3 10 2 3 2" xfId="7560" xr:uid="{57175520-70DD-4ADF-B728-52C5593A3049}"/>
    <cellStyle name="Comma 3 10 2 4" xfId="6252" xr:uid="{18EE0C91-3BD1-4A17-B6B6-06677F0F8511}"/>
    <cellStyle name="Comma 3 10 3" xfId="3859" xr:uid="{F3C1D66A-38E1-436C-AF75-F49B4798C7A5}"/>
    <cellStyle name="Comma 3 10 3 2" xfId="5186" xr:uid="{FF160C50-ED44-4A55-ABF1-DCCD24EE0537}"/>
    <cellStyle name="Comma 3 10 3 2 2" xfId="7803" xr:uid="{C7861AAB-B56B-4D83-B8FB-41239090A307}"/>
    <cellStyle name="Comma 3 10 3 3" xfId="6495" xr:uid="{6D343E14-BD23-48B4-85C6-6798F3BB586D}"/>
    <cellStyle name="Comma 3 10 4" xfId="4324" xr:uid="{AC79EAD0-3070-4AD5-934B-C5B8077835E0}"/>
    <cellStyle name="Comma 3 10 4 2" xfId="5651" xr:uid="{9652550D-65D8-433D-B10D-7F6C1AAD9FDC}"/>
    <cellStyle name="Comma 3 10 4 2 2" xfId="8268" xr:uid="{C21B555F-E13B-4DE6-B22D-BE6BB00364BA}"/>
    <cellStyle name="Comma 3 10 4 3" xfId="6960" xr:uid="{DC7B5097-E974-4222-AF46-A1D87B22A53C}"/>
    <cellStyle name="Comma 3 10 5" xfId="4714" xr:uid="{61AF4277-0C59-4C4B-B990-51048B947828}"/>
    <cellStyle name="Comma 3 10 5 2" xfId="7331" xr:uid="{D608AC75-9B93-4C31-987D-A4C4059ED61B}"/>
    <cellStyle name="Comma 3 10 6" xfId="6023" xr:uid="{32A540D3-3551-4FAD-9572-3875564385B0}"/>
    <cellStyle name="Comma 3 11" xfId="3508" xr:uid="{EFE4C2AF-257B-4B00-84A3-788A75D1DF95}"/>
    <cellStyle name="Comma 3 11 2" xfId="3998" xr:uid="{A0E40524-09B3-4B0F-ACDA-7CD06083B4DE}"/>
    <cellStyle name="Comma 3 11 2 2" xfId="5325" xr:uid="{49EF3723-AE8A-491F-931E-2A80C9CCBEA6}"/>
    <cellStyle name="Comma 3 11 2 2 2" xfId="7942" xr:uid="{AE004347-519F-4251-98B3-F9951C8EC7D0}"/>
    <cellStyle name="Comma 3 11 2 3" xfId="6634" xr:uid="{74B0DC11-298F-441A-B4A0-5D17B7DE6B8F}"/>
    <cellStyle name="Comma 3 11 3" xfId="4468" xr:uid="{67B075DA-00E8-40D1-8646-C4954400F0DB}"/>
    <cellStyle name="Comma 3 11 3 2" xfId="5784" xr:uid="{A6177881-81CE-4333-9751-1A3AF12FB25C}"/>
    <cellStyle name="Comma 3 11 3 2 2" xfId="8401" xr:uid="{2967002D-55F3-4174-9B2B-969BBE028A35}"/>
    <cellStyle name="Comma 3 11 3 3" xfId="7093" xr:uid="{FAE4528E-308B-457C-A635-76C90C8480B0}"/>
    <cellStyle name="Comma 3 11 4" xfId="4853" xr:uid="{F7EE0525-C5BE-459F-B577-B65B19E430A9}"/>
    <cellStyle name="Comma 3 11 4 2" xfId="7470" xr:uid="{8E39A375-C724-44AC-ACF9-975BDBD2EBB5}"/>
    <cellStyle name="Comma 3 11 5" xfId="6162" xr:uid="{D8775976-5571-418E-A7DC-6C80ADA2D800}"/>
    <cellStyle name="Comma 3 12" xfId="3769" xr:uid="{9396F05A-BD11-421B-BA01-32BDBF180C57}"/>
    <cellStyle name="Comma 3 12 2" xfId="4520" xr:uid="{F790D4B1-9188-4332-8CBC-D2432FE25991}"/>
    <cellStyle name="Comma 3 12 2 2" xfId="5829" xr:uid="{E7E3566C-E009-4B86-96F5-3399B984F992}"/>
    <cellStyle name="Comma 3 12 2 2 2" xfId="8446" xr:uid="{9F2C666C-1321-4E5D-971F-4D67BD71084D}"/>
    <cellStyle name="Comma 3 12 2 3" xfId="7138" xr:uid="{65C0B0C8-78B6-435E-B273-772B4B03EABB}"/>
    <cellStyle name="Comma 3 12 3" xfId="5096" xr:uid="{E353F281-59D3-458A-98C3-5153990149C9}"/>
    <cellStyle name="Comma 3 12 3 2" xfId="7713" xr:uid="{8CC89894-64B1-48B8-9ACD-7C086696CD92}"/>
    <cellStyle name="Comma 3 12 4" xfId="6405" xr:uid="{CA42C3A6-18F5-4FBA-90C8-04DC291F4E6D}"/>
    <cellStyle name="Comma 3 13" xfId="4565" xr:uid="{5EE3F167-2305-4317-86B0-1A11ABE5EAB6}"/>
    <cellStyle name="Comma 3 13 2" xfId="5874" xr:uid="{E0AB3DD7-E459-48DA-89D2-3CEA0FD456FC}"/>
    <cellStyle name="Comma 3 13 2 2" xfId="8491" xr:uid="{7516A463-4789-47BC-AFCB-8D365A6B523E}"/>
    <cellStyle name="Comma 3 13 3" xfId="7183" xr:uid="{B4CCDB93-EBCE-479C-9517-7E917A6263E8}"/>
    <cellStyle name="Comma 3 14" xfId="4234" xr:uid="{9BAB8A47-119B-45E0-9F55-0289113B4A6C}"/>
    <cellStyle name="Comma 3 14 2" xfId="5561" xr:uid="{F59D2533-B169-421D-8AB4-D251B331233E}"/>
    <cellStyle name="Comma 3 14 2 2" xfId="8178" xr:uid="{17C5103C-7A13-4C71-9CCD-FD604C32E284}"/>
    <cellStyle name="Comma 3 14 3" xfId="6870" xr:uid="{2B76CEB6-CF1A-4777-A635-A55B00A4D426}"/>
    <cellStyle name="Comma 3 15" xfId="4624" xr:uid="{F7F32BAE-8657-4CE3-BA2F-3353CA4B26F6}"/>
    <cellStyle name="Comma 3 15 2" xfId="7241" xr:uid="{9188A30F-DD73-48E6-BACE-1DCD8A9BC6A8}"/>
    <cellStyle name="Comma 3 16" xfId="5933" xr:uid="{A97115AB-449C-400C-A196-65FBF0E8A800}"/>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10" xfId="4626" xr:uid="{AABA25C7-6CC4-49DD-BBA6-DEB15E635021}"/>
    <cellStyle name="Comma 3 4 10 2" xfId="7243" xr:uid="{08C06E0D-D2CC-4090-BED1-6E812CB19AC9}"/>
    <cellStyle name="Comma 3 4 11" xfId="5935" xr:uid="{B188C952-19F6-43FB-B04D-48048BE2DC17}"/>
    <cellStyle name="Comma 3 4 2" xfId="2856" xr:uid="{5C1B52C6-2D5F-4CF0-AA73-C616E22895DB}"/>
    <cellStyle name="Comma 3 4 2 10" xfId="5952" xr:uid="{3990BACA-39BA-4A43-9551-FDAB15550505}"/>
    <cellStyle name="Comma 3 4 2 2" xfId="2903" xr:uid="{90EB9ECE-729C-4C10-8B86-53F5FA2C8CFD}"/>
    <cellStyle name="Comma 3 4 2 2 2" xfId="3004" xr:uid="{1A70AC8E-5EAB-432C-8B63-879B0B35A687}"/>
    <cellStyle name="Comma 3 4 2 2 2 2" xfId="3673" xr:uid="{6C0C6D32-DC09-4A60-845D-3A87F637C811}"/>
    <cellStyle name="Comma 3 4 2 2 2 2 2" xfId="4147" xr:uid="{172958C6-4E98-41C3-8055-8C50E6691683}"/>
    <cellStyle name="Comma 3 4 2 2 2 2 2 2" xfId="5474" xr:uid="{A9C21FBD-4DDC-4312-9781-37604D8BB81E}"/>
    <cellStyle name="Comma 3 4 2 2 2 2 2 2 2" xfId="8091" xr:uid="{D8BE9FA2-64D1-47A2-A414-03F52C2C189E}"/>
    <cellStyle name="Comma 3 4 2 2 2 2 2 3" xfId="6783" xr:uid="{251C75D3-FEF7-477E-9A06-6C1941C0796D}"/>
    <cellStyle name="Comma 3 4 2 2 2 2 3" xfId="5002" xr:uid="{9C8D9755-BA58-4395-AFC4-AFE406348686}"/>
    <cellStyle name="Comma 3 4 2 2 2 2 3 2" xfId="7619" xr:uid="{60DB3AA5-A6B9-4A96-A2B6-5035BC0028FD}"/>
    <cellStyle name="Comma 3 4 2 2 2 2 4" xfId="6311" xr:uid="{F8D811A4-9555-4942-9209-E41226390FB4}"/>
    <cellStyle name="Comma 3 4 2 2 2 3" xfId="3918" xr:uid="{63DFCCA5-27C0-4CCB-BAEC-C360EDC358EB}"/>
    <cellStyle name="Comma 3 4 2 2 2 3 2" xfId="5245" xr:uid="{FC802419-BA0B-4126-A0AF-D6DEB50ECDFF}"/>
    <cellStyle name="Comma 3 4 2 2 2 3 2 2" xfId="7862" xr:uid="{242AA077-F698-40D9-88E1-F711D460E59A}"/>
    <cellStyle name="Comma 3 4 2 2 2 3 3" xfId="6554" xr:uid="{4307E7DF-8AF2-4D3F-9EA6-DF68D4637B04}"/>
    <cellStyle name="Comma 3 4 2 2 2 4" xfId="4383" xr:uid="{9DF45B35-3E94-44D1-962D-2E14541928E3}"/>
    <cellStyle name="Comma 3 4 2 2 2 4 2" xfId="5710" xr:uid="{823774E9-C220-483C-907C-0F8AB413A847}"/>
    <cellStyle name="Comma 3 4 2 2 2 4 2 2" xfId="8327" xr:uid="{3C8C27DC-E5EB-426E-8EE2-94F29D57F447}"/>
    <cellStyle name="Comma 3 4 2 2 2 4 3" xfId="7019" xr:uid="{ABB84FA3-918B-4776-950B-56A3F6E42F70}"/>
    <cellStyle name="Comma 3 4 2 2 2 5" xfId="4773" xr:uid="{A4AD6CDD-09D5-48E1-9902-B2D40E1CFCEC}"/>
    <cellStyle name="Comma 3 4 2 2 2 5 2" xfId="7390" xr:uid="{8F93F070-79A9-4DA4-8486-96DDEC4222B1}"/>
    <cellStyle name="Comma 3 4 2 2 2 6" xfId="6082" xr:uid="{93DF4502-E602-411E-AC02-4F8504F97FD9}"/>
    <cellStyle name="Comma 3 4 2 2 3" xfId="3572" xr:uid="{E04064AF-8D5B-474A-A164-ECAD72B69992}"/>
    <cellStyle name="Comma 3 4 2 2 3 2" xfId="4062" xr:uid="{7FF0F53A-6602-4269-AFA8-0E711AABA527}"/>
    <cellStyle name="Comma 3 4 2 2 3 2 2" xfId="5389" xr:uid="{DFA6052A-F04B-4831-99E1-F9659BE87136}"/>
    <cellStyle name="Comma 3 4 2 2 3 2 2 2" xfId="8006" xr:uid="{71C878F0-1782-4DE5-81D7-2D40D4CEC431}"/>
    <cellStyle name="Comma 3 4 2 2 3 2 3" xfId="6698" xr:uid="{3AC3B62C-36A1-47B8-A18B-163DB288E812}"/>
    <cellStyle name="Comma 3 4 2 2 3 3" xfId="4917" xr:uid="{CF2D17E3-A8FC-4D46-8295-7D71DFEBFB07}"/>
    <cellStyle name="Comma 3 4 2 2 3 3 2" xfId="7534" xr:uid="{90553FEE-A19D-4EAF-901B-E4A942E42F7A}"/>
    <cellStyle name="Comma 3 4 2 2 3 4" xfId="6226" xr:uid="{21C7F0AE-49C9-4DBD-9A93-B5B73C5604E1}"/>
    <cellStyle name="Comma 3 4 2 2 4" xfId="3833" xr:uid="{1A5210EB-1A41-4EED-9B4C-BEE96CC67BFF}"/>
    <cellStyle name="Comma 3 4 2 2 4 2" xfId="5160" xr:uid="{EA71432C-BA5D-48C3-AE4F-B7CCAA1503D6}"/>
    <cellStyle name="Comma 3 4 2 2 4 2 2" xfId="7777" xr:uid="{C1B8B141-21CB-40D7-B392-4462B157D349}"/>
    <cellStyle name="Comma 3 4 2 2 4 3" xfId="6469" xr:uid="{71A9A3A5-6DCE-4731-B1DC-076CCE16213B}"/>
    <cellStyle name="Comma 3 4 2 2 5" xfId="4298" xr:uid="{2CA4A30B-824C-4622-90AD-A1CA1BA3D6E2}"/>
    <cellStyle name="Comma 3 4 2 2 5 2" xfId="5625" xr:uid="{805EFAE4-37CA-4B28-962C-8014E6DEDFF3}"/>
    <cellStyle name="Comma 3 4 2 2 5 2 2" xfId="8242" xr:uid="{6FB71238-A48F-4665-A4C8-7B26E5488FCC}"/>
    <cellStyle name="Comma 3 4 2 2 5 3" xfId="6934" xr:uid="{BD94CA06-4633-4F10-BD11-D160B5B88004}"/>
    <cellStyle name="Comma 3 4 2 2 6" xfId="4688" xr:uid="{575E31FE-169F-4AC3-A387-BF9383D2071F}"/>
    <cellStyle name="Comma 3 4 2 2 6 2" xfId="7305" xr:uid="{B79DA984-9CA2-420A-A693-1EA953B32B30}"/>
    <cellStyle name="Comma 3 4 2 2 7" xfId="5997" xr:uid="{F10E9E70-4493-40AD-9208-E18925E9927D}"/>
    <cellStyle name="Comma 3 4 2 3" xfId="3448" xr:uid="{4C0A1973-8449-4512-99AA-605FE5B41319}"/>
    <cellStyle name="Comma 3 4 2 3 2" xfId="3713" xr:uid="{73AC7E66-23DF-4B58-93B2-01A534530147}"/>
    <cellStyle name="Comma 3 4 2 3 2 2" xfId="4187" xr:uid="{200E836A-0E45-4745-B86C-DD2239AE5A4B}"/>
    <cellStyle name="Comma 3 4 2 3 2 2 2" xfId="5514" xr:uid="{C98B6794-DAD0-45C8-94CE-DE03EAAC6E9C}"/>
    <cellStyle name="Comma 3 4 2 3 2 2 2 2" xfId="8131" xr:uid="{1F3E638A-4190-44DF-A443-3D8C84BABA95}"/>
    <cellStyle name="Comma 3 4 2 3 2 2 3" xfId="6823" xr:uid="{6EAEA36B-E056-429A-A69D-B655CD99D562}"/>
    <cellStyle name="Comma 3 4 2 3 2 3" xfId="5042" xr:uid="{CA4C3136-2FF9-450A-8CB7-DC9583EA2CD9}"/>
    <cellStyle name="Comma 3 4 2 3 2 3 2" xfId="7659" xr:uid="{51F6208A-5974-4CB9-B76F-4A9837634093}"/>
    <cellStyle name="Comma 3 4 2 3 2 4" xfId="6351" xr:uid="{53DE8EC4-8BC8-4813-9D8F-D7BEF94468DA}"/>
    <cellStyle name="Comma 3 4 2 3 3" xfId="3958" xr:uid="{E241CB65-EEB4-474F-B404-FDC6316E6B8B}"/>
    <cellStyle name="Comma 3 4 2 3 3 2" xfId="5285" xr:uid="{9F3A6DD8-E0E9-44E2-8839-66008B8371C3}"/>
    <cellStyle name="Comma 3 4 2 3 3 2 2" xfId="7902" xr:uid="{1B80C24C-ACB2-4458-A378-B8DACD4B612E}"/>
    <cellStyle name="Comma 3 4 2 3 3 3" xfId="6594" xr:uid="{D1AD05EC-61E6-4A8C-8870-17F21D4AA240}"/>
    <cellStyle name="Comma 3 4 2 3 4" xfId="4423" xr:uid="{C651C6B8-4E2D-47D4-A959-566A62DECE1C}"/>
    <cellStyle name="Comma 3 4 2 3 4 2" xfId="5750" xr:uid="{A9104EC3-96FE-446D-9383-23E6BD7A2CC1}"/>
    <cellStyle name="Comma 3 4 2 3 4 2 2" xfId="8367" xr:uid="{9DBA4523-03F7-455E-9539-AF2717AC6A00}"/>
    <cellStyle name="Comma 3 4 2 3 4 3" xfId="7059" xr:uid="{EBD31637-D6CB-4C6B-B30B-EB1ED1E2E0E0}"/>
    <cellStyle name="Comma 3 4 2 3 5" xfId="4813" xr:uid="{D55E5E17-B1AC-443A-A9F8-ED284B369EFD}"/>
    <cellStyle name="Comma 3 4 2 3 5 2" xfId="7430" xr:uid="{3C98773F-75AD-44CB-992A-A4183B9ABCA4}"/>
    <cellStyle name="Comma 3 4 2 3 6" xfId="6122" xr:uid="{62088B6F-B3CF-416A-A83F-B16CFB787328}"/>
    <cellStyle name="Comma 3 4 2 4" xfId="2948" xr:uid="{E0A3DC83-1792-4502-9B85-BE13B72125D0}"/>
    <cellStyle name="Comma 3 4 2 4 2" xfId="3617" xr:uid="{DCBA6CE1-3F75-4542-8A63-8887027FE4C4}"/>
    <cellStyle name="Comma 3 4 2 4 2 2" xfId="4107" xr:uid="{713722D1-D3E4-4AB0-AC5F-8FB1824F590E}"/>
    <cellStyle name="Comma 3 4 2 4 2 2 2" xfId="5434" xr:uid="{E482C443-F512-447B-9F49-4A0886081B4F}"/>
    <cellStyle name="Comma 3 4 2 4 2 2 2 2" xfId="8051" xr:uid="{76BBF80C-500E-4B90-A666-79F9C978AF45}"/>
    <cellStyle name="Comma 3 4 2 4 2 2 3" xfId="6743" xr:uid="{948C93D0-3C94-4020-9C49-262C8D8F3AAA}"/>
    <cellStyle name="Comma 3 4 2 4 2 3" xfId="4962" xr:uid="{0113D15A-4BEC-4A2F-8C10-CB87837C9A9B}"/>
    <cellStyle name="Comma 3 4 2 4 2 3 2" xfId="7579" xr:uid="{054B44C9-EE65-4CBF-AF39-55F6E3C5DAED}"/>
    <cellStyle name="Comma 3 4 2 4 2 4" xfId="6271" xr:uid="{F2FC97C9-2719-4D43-A1F4-BE0A599C6754}"/>
    <cellStyle name="Comma 3 4 2 4 3" xfId="3878" xr:uid="{BAB1B33F-F505-4549-823F-0F4E8EFD59AB}"/>
    <cellStyle name="Comma 3 4 2 4 3 2" xfId="5205" xr:uid="{43FD1497-B659-4C17-A5AE-F262096E4C59}"/>
    <cellStyle name="Comma 3 4 2 4 3 2 2" xfId="7822" xr:uid="{02269361-DF00-4B00-AD30-8B9366B39C2D}"/>
    <cellStyle name="Comma 3 4 2 4 3 3" xfId="6514" xr:uid="{15EC5243-DF93-447F-9F98-650DA1753BA6}"/>
    <cellStyle name="Comma 3 4 2 4 4" xfId="4343" xr:uid="{C8A7BFA0-4E17-43A2-A773-1B757696F5CA}"/>
    <cellStyle name="Comma 3 4 2 4 4 2" xfId="5670" xr:uid="{1B3BCF1A-A888-42D6-83E8-D36D499C6CB3}"/>
    <cellStyle name="Comma 3 4 2 4 4 2 2" xfId="8287" xr:uid="{403D0A80-6A66-4EED-80E2-2D40415193F6}"/>
    <cellStyle name="Comma 3 4 2 4 4 3" xfId="6979" xr:uid="{E9B71F32-696F-459E-89D9-CD5392E1C445}"/>
    <cellStyle name="Comma 3 4 2 4 5" xfId="4733" xr:uid="{98FC5A01-F6B9-4A6A-B166-6AE631C5F3E1}"/>
    <cellStyle name="Comma 3 4 2 4 5 2" xfId="7350" xr:uid="{1F3E9D2E-1AED-4EE1-BE53-0A4BE2D4EDC8}"/>
    <cellStyle name="Comma 3 4 2 4 6" xfId="6042" xr:uid="{75C37C99-D8A3-4748-9989-8DFE1ECF0754}"/>
    <cellStyle name="Comma 3 4 2 5" xfId="3527" xr:uid="{543CE7C5-B4AB-4997-941E-024611540791}"/>
    <cellStyle name="Comma 3 4 2 5 2" xfId="4017" xr:uid="{C6480A02-857B-4983-BC00-B5DB1E11E634}"/>
    <cellStyle name="Comma 3 4 2 5 2 2" xfId="5344" xr:uid="{4328B779-9ACB-4699-BBF5-889C57538A7D}"/>
    <cellStyle name="Comma 3 4 2 5 2 2 2" xfId="7961" xr:uid="{561A5279-4F21-4B5C-9665-93AF280CDDAA}"/>
    <cellStyle name="Comma 3 4 2 5 2 3" xfId="6653" xr:uid="{D59178A1-7F67-4CC5-A05E-264FF1F5D022}"/>
    <cellStyle name="Comma 3 4 2 5 3" xfId="4494" xr:uid="{ABF24F5D-F937-4AA9-9D8A-C9C068BE32B3}"/>
    <cellStyle name="Comma 3 4 2 5 3 2" xfId="5803" xr:uid="{A8B4C5FC-9764-433F-9288-653DC5E5CB6B}"/>
    <cellStyle name="Comma 3 4 2 5 3 2 2" xfId="8420" xr:uid="{0F371555-3CAE-493F-ACA5-921747B4C05B}"/>
    <cellStyle name="Comma 3 4 2 5 3 3" xfId="7112" xr:uid="{DFD35649-64DF-4579-8FB3-38E64E655B2A}"/>
    <cellStyle name="Comma 3 4 2 5 4" xfId="4872" xr:uid="{2EDB964A-DB5B-4C54-AD49-4C34FEB11862}"/>
    <cellStyle name="Comma 3 4 2 5 4 2" xfId="7489" xr:uid="{BC2D2494-BC9C-41CD-A73F-6608F1FA0819}"/>
    <cellStyle name="Comma 3 4 2 5 5" xfId="6181" xr:uid="{A8515E20-04A2-49EB-91D2-3ECD9EF7B5D3}"/>
    <cellStyle name="Comma 3 4 2 6" xfId="3788" xr:uid="{6B0D6F0D-5128-42F0-B30F-0048E7708BBE}"/>
    <cellStyle name="Comma 3 4 2 6 2" xfId="4539" xr:uid="{FAE4EC0A-6285-4292-96B2-E837D83D9702}"/>
    <cellStyle name="Comma 3 4 2 6 2 2" xfId="5848" xr:uid="{DFFCEF99-3517-40D4-B9B3-7FAE29B97C35}"/>
    <cellStyle name="Comma 3 4 2 6 2 2 2" xfId="8465" xr:uid="{4851B15D-FCF4-4873-B48E-91448D62A32D}"/>
    <cellStyle name="Comma 3 4 2 6 2 3" xfId="7157" xr:uid="{2955CACD-E637-4EE1-9053-962C4EBBC6C5}"/>
    <cellStyle name="Comma 3 4 2 6 3" xfId="5115" xr:uid="{C03CBE8E-ABA9-4CC0-8CE4-14F41D0CB85D}"/>
    <cellStyle name="Comma 3 4 2 6 3 2" xfId="7732" xr:uid="{7A5A26FA-9810-43DF-B1C5-7F9EF389FD17}"/>
    <cellStyle name="Comma 3 4 2 6 4" xfId="6424" xr:uid="{867E4CAD-6385-4A0C-AF75-2E914B072DCF}"/>
    <cellStyle name="Comma 3 4 2 7" xfId="4584" xr:uid="{F8612A89-AD07-4AAE-A8FB-BE8C62A80FD3}"/>
    <cellStyle name="Comma 3 4 2 7 2" xfId="5893" xr:uid="{91AF60A8-6D6F-414E-80CC-C886BBA7D42F}"/>
    <cellStyle name="Comma 3 4 2 7 2 2" xfId="8510" xr:uid="{8C37B488-E4F5-4CD1-BCE9-9846A03AB1AC}"/>
    <cellStyle name="Comma 3 4 2 7 3" xfId="7202" xr:uid="{F09FB66A-8CB4-49A0-8105-1A02903F189C}"/>
    <cellStyle name="Comma 3 4 2 8" xfId="4253" xr:uid="{B3706C77-FD44-403E-B5F1-8E6566B9D4AB}"/>
    <cellStyle name="Comma 3 4 2 8 2" xfId="5580" xr:uid="{C36673F4-C8BE-423B-965B-CC4C521DD968}"/>
    <cellStyle name="Comma 3 4 2 8 2 2" xfId="8197" xr:uid="{07B1E656-87F3-4E6D-9ECF-4D0040E34710}"/>
    <cellStyle name="Comma 3 4 2 8 3" xfId="6889" xr:uid="{76828E24-A22B-4D9A-9B0D-94EDBA95ED72}"/>
    <cellStyle name="Comma 3 4 2 9" xfId="4643" xr:uid="{622A01C0-9433-4C95-8E42-EEC854A41425}"/>
    <cellStyle name="Comma 3 4 2 9 2" xfId="7260" xr:uid="{BF1D15F5-0456-4EA8-9550-F417D47F8ECF}"/>
    <cellStyle name="Comma 3 4 3" xfId="2886" xr:uid="{B4E3D386-4C3F-4F19-8DB4-D1B17CD29374}"/>
    <cellStyle name="Comma 3 4 3 2" xfId="2982" xr:uid="{056404B3-5C18-4C5C-A3B9-08979F4978C2}"/>
    <cellStyle name="Comma 3 4 3 2 2" xfId="3651" xr:uid="{D33F01AF-8027-4511-B56E-BE81C528FE09}"/>
    <cellStyle name="Comma 3 4 3 2 2 2" xfId="4130" xr:uid="{D4E0FCFD-8979-4BB7-B0A8-218CF10D9403}"/>
    <cellStyle name="Comma 3 4 3 2 2 2 2" xfId="5457" xr:uid="{A46E130C-F054-49EA-BE4F-569E514ED6F5}"/>
    <cellStyle name="Comma 3 4 3 2 2 2 2 2" xfId="8074" xr:uid="{F14ADFEC-2933-4110-9F67-E6DCCD218A11}"/>
    <cellStyle name="Comma 3 4 3 2 2 2 3" xfId="6766" xr:uid="{2372A893-52B2-409B-BD65-FBB568E452E2}"/>
    <cellStyle name="Comma 3 4 3 2 2 3" xfId="4985" xr:uid="{79C14FF0-6CB5-4FAE-819E-B7AC2B4AA189}"/>
    <cellStyle name="Comma 3 4 3 2 2 3 2" xfId="7602" xr:uid="{DCAC8129-27A6-472A-BDDC-8648908F7937}"/>
    <cellStyle name="Comma 3 4 3 2 2 4" xfId="6294" xr:uid="{8A79AF3F-3063-4768-9A61-952486021F32}"/>
    <cellStyle name="Comma 3 4 3 2 3" xfId="3901" xr:uid="{EF1071F9-BC2D-4BEA-B58E-FC12A57578F6}"/>
    <cellStyle name="Comma 3 4 3 2 3 2" xfId="5228" xr:uid="{6E8693E5-86FF-4BF1-871F-CA7997448571}"/>
    <cellStyle name="Comma 3 4 3 2 3 2 2" xfId="7845" xr:uid="{305BF886-9DF6-48B7-8419-CF3B54489DDA}"/>
    <cellStyle name="Comma 3 4 3 2 3 3" xfId="6537" xr:uid="{0E5BEEF8-21A7-4A12-96BA-C160D3C07B98}"/>
    <cellStyle name="Comma 3 4 3 2 4" xfId="4366" xr:uid="{C426B135-58BE-424D-BF1F-A66D5BF656C2}"/>
    <cellStyle name="Comma 3 4 3 2 4 2" xfId="5693" xr:uid="{67163EF5-3227-4BF9-A84A-A0811E3A36A6}"/>
    <cellStyle name="Comma 3 4 3 2 4 2 2" xfId="8310" xr:uid="{5C0F088F-E596-4FFA-92AD-2904FCCED05D}"/>
    <cellStyle name="Comma 3 4 3 2 4 3" xfId="7002" xr:uid="{AEC38BED-E808-431A-9AAA-9696BF254800}"/>
    <cellStyle name="Comma 3 4 3 2 5" xfId="4756" xr:uid="{8DE1AC68-E568-4498-BFAB-B921F8E9E91E}"/>
    <cellStyle name="Comma 3 4 3 2 5 2" xfId="7373" xr:uid="{6B7DEAAF-52BD-4D04-8C0C-43B72755CFD7}"/>
    <cellStyle name="Comma 3 4 3 2 6" xfId="6065" xr:uid="{7A75A886-E2A7-488A-B5E9-891661C20043}"/>
    <cellStyle name="Comma 3 4 3 3" xfId="3555" xr:uid="{C92B8B04-10FF-4182-8913-A1DA291D25C2}"/>
    <cellStyle name="Comma 3 4 3 3 2" xfId="4045" xr:uid="{034CA932-7F0C-469D-B62B-928790500D2B}"/>
    <cellStyle name="Comma 3 4 3 3 2 2" xfId="5372" xr:uid="{6F4F95CE-DBE1-4361-B3F9-01B27166B4DA}"/>
    <cellStyle name="Comma 3 4 3 3 2 2 2" xfId="7989" xr:uid="{2632780C-E71C-42BC-A7C5-27E34253D06D}"/>
    <cellStyle name="Comma 3 4 3 3 2 3" xfId="6681" xr:uid="{C761A634-A5D2-451D-AD98-2871A42B4398}"/>
    <cellStyle name="Comma 3 4 3 3 3" xfId="4900" xr:uid="{88F8504A-C38F-4103-9FD4-FFE6154F459D}"/>
    <cellStyle name="Comma 3 4 3 3 3 2" xfId="7517" xr:uid="{21BD0BCB-9E44-4F6F-B2D7-7B9382E58701}"/>
    <cellStyle name="Comma 3 4 3 3 4" xfId="6209" xr:uid="{BDB0D68D-E7C3-4A31-A722-6C54504D5938}"/>
    <cellStyle name="Comma 3 4 3 4" xfId="3816" xr:uid="{8EB527A5-83CE-4237-85E5-0B863D85F50A}"/>
    <cellStyle name="Comma 3 4 3 4 2" xfId="5143" xr:uid="{416E499D-8E8D-49B4-A0CA-4D5178D90922}"/>
    <cellStyle name="Comma 3 4 3 4 2 2" xfId="7760" xr:uid="{D41B64F0-B467-40BA-9A52-0E8B0D50AC8F}"/>
    <cellStyle name="Comma 3 4 3 4 3" xfId="6452" xr:uid="{529EEA65-438B-473C-956C-276F10862DE5}"/>
    <cellStyle name="Comma 3 4 3 5" xfId="4281" xr:uid="{1B30BDB5-1502-471B-B2C5-445238FFE06A}"/>
    <cellStyle name="Comma 3 4 3 5 2" xfId="5608" xr:uid="{7962B338-B26C-4AF2-9A28-2C94AE2D1E2E}"/>
    <cellStyle name="Comma 3 4 3 5 2 2" xfId="8225" xr:uid="{65C57C75-3E6D-4E85-96CF-BB7C5D83A2C9}"/>
    <cellStyle name="Comma 3 4 3 5 3" xfId="6917" xr:uid="{C2EDCC52-28F7-4604-98C1-693C265638D3}"/>
    <cellStyle name="Comma 3 4 3 6" xfId="4671" xr:uid="{B3B15CCB-919E-4733-8D9B-AD6685899B1A}"/>
    <cellStyle name="Comma 3 4 3 6 2" xfId="7288" xr:uid="{1ECFFF97-B5AC-4311-B83B-3E22340CA250}"/>
    <cellStyle name="Comma 3 4 3 7" xfId="5980" xr:uid="{3AA1B9C4-0576-4271-9741-0BBC89A1055A}"/>
    <cellStyle name="Comma 3 4 4" xfId="3424" xr:uid="{4F1C737B-D85A-402A-8AD7-C59FB17C0CFC}"/>
    <cellStyle name="Comma 3 4 4 2" xfId="3696" xr:uid="{76DC5773-C727-4A82-9030-A6E21916AE21}"/>
    <cellStyle name="Comma 3 4 4 2 2" xfId="4170" xr:uid="{986C7561-F2F3-4915-9220-96536E4D5EB5}"/>
    <cellStyle name="Comma 3 4 4 2 2 2" xfId="5497" xr:uid="{4460F1D2-1B5B-4F0F-BFF4-CEA89AB385A6}"/>
    <cellStyle name="Comma 3 4 4 2 2 2 2" xfId="8114" xr:uid="{CFEF07EE-FF9D-4B36-9B61-9726B67A46E8}"/>
    <cellStyle name="Comma 3 4 4 2 2 3" xfId="6806" xr:uid="{6CD04F6D-226D-432C-BFE2-E661296F64B4}"/>
    <cellStyle name="Comma 3 4 4 2 3" xfId="5025" xr:uid="{E9625925-3FFD-4B12-8ECA-6FEDD705B20A}"/>
    <cellStyle name="Comma 3 4 4 2 3 2" xfId="7642" xr:uid="{4E758EE0-7A4D-4E9D-9FB1-F5DE1F6889F3}"/>
    <cellStyle name="Comma 3 4 4 2 4" xfId="6334" xr:uid="{9C5F5B14-175C-436F-A903-5C39430FE197}"/>
    <cellStyle name="Comma 3 4 4 3" xfId="3941" xr:uid="{BAEF0ECB-E94B-4C4B-818A-83F728E92B38}"/>
    <cellStyle name="Comma 3 4 4 3 2" xfId="5268" xr:uid="{9A14E692-7E2A-4093-9AA8-28924AB8521D}"/>
    <cellStyle name="Comma 3 4 4 3 2 2" xfId="7885" xr:uid="{16D5EF55-D8A8-4E36-B304-7546FAFE1343}"/>
    <cellStyle name="Comma 3 4 4 3 3" xfId="6577" xr:uid="{91713B34-CB83-4175-A48C-86434266F5D9}"/>
    <cellStyle name="Comma 3 4 4 4" xfId="4406" xr:uid="{6B0B0499-9FED-44A7-B726-23DE1CCAB454}"/>
    <cellStyle name="Comma 3 4 4 4 2" xfId="5733" xr:uid="{F1FD8E5D-2F37-41E8-BC20-E038C3B4020D}"/>
    <cellStyle name="Comma 3 4 4 4 2 2" xfId="8350" xr:uid="{2E2B79B0-D899-4E0A-BE1F-CA2BF4232582}"/>
    <cellStyle name="Comma 3 4 4 4 3" xfId="7042" xr:uid="{F8C99886-4B47-44EC-BFA4-B6D98242B2C7}"/>
    <cellStyle name="Comma 3 4 4 5" xfId="4796" xr:uid="{44E86FB7-80A8-48FF-972B-666D2F5DB657}"/>
    <cellStyle name="Comma 3 4 4 5 2" xfId="7413" xr:uid="{CF152DBD-D7DB-4251-822C-67AEFB8A9CF9}"/>
    <cellStyle name="Comma 3 4 4 6" xfId="6105" xr:uid="{4546D742-4B52-4B9E-9D4F-1A31E48B8DB6}"/>
    <cellStyle name="Comma 3 4 5" xfId="2931" xr:uid="{1AB89C2F-68FE-47B6-A33C-DDF6A14AC0BD}"/>
    <cellStyle name="Comma 3 4 5 2" xfId="3600" xr:uid="{DFFDE328-BC63-47FC-ADF5-CB0CA6E7B6C8}"/>
    <cellStyle name="Comma 3 4 5 2 2" xfId="4090" xr:uid="{FD0E51AE-638F-4159-A762-0E7E6AE05C8A}"/>
    <cellStyle name="Comma 3 4 5 2 2 2" xfId="5417" xr:uid="{F72498A6-106E-4C69-BBF5-52B525B44AD3}"/>
    <cellStyle name="Comma 3 4 5 2 2 2 2" xfId="8034" xr:uid="{657D4D37-1317-4AB2-B70A-CBDF6A5F058D}"/>
    <cellStyle name="Comma 3 4 5 2 2 3" xfId="6726" xr:uid="{B527F814-4619-4102-B010-43000AE55856}"/>
    <cellStyle name="Comma 3 4 5 2 3" xfId="4945" xr:uid="{2C725F18-42E4-404C-AAE5-541E27E49264}"/>
    <cellStyle name="Comma 3 4 5 2 3 2" xfId="7562" xr:uid="{2AA38071-504D-4408-87F3-FE5D73671C6E}"/>
    <cellStyle name="Comma 3 4 5 2 4" xfId="6254" xr:uid="{C1D1E5E4-155F-4320-BA76-38C707BC7965}"/>
    <cellStyle name="Comma 3 4 5 3" xfId="3861" xr:uid="{C00F890D-EAE2-43A9-956A-DA2C8BBA2FC6}"/>
    <cellStyle name="Comma 3 4 5 3 2" xfId="5188" xr:uid="{3A2616E6-4E94-4F61-A5A1-14E0A94A972D}"/>
    <cellStyle name="Comma 3 4 5 3 2 2" xfId="7805" xr:uid="{DA058284-075C-470F-9715-B0AAC0742BA5}"/>
    <cellStyle name="Comma 3 4 5 3 3" xfId="6497" xr:uid="{0C3799B2-F25A-4D57-A709-DFF176913061}"/>
    <cellStyle name="Comma 3 4 5 4" xfId="4326" xr:uid="{8E9EAEBE-9057-4322-A4D9-9BFDBD8BFAD2}"/>
    <cellStyle name="Comma 3 4 5 4 2" xfId="5653" xr:uid="{9BA56DB5-679A-45D6-A1A2-EF7012C86C38}"/>
    <cellStyle name="Comma 3 4 5 4 2 2" xfId="8270" xr:uid="{1AB1A66F-A959-4044-831B-ABA83B533396}"/>
    <cellStyle name="Comma 3 4 5 4 3" xfId="6962" xr:uid="{1D601B35-6916-4B67-9008-419A06476BE6}"/>
    <cellStyle name="Comma 3 4 5 5" xfId="4716" xr:uid="{24331062-3D6A-4537-BB8F-D77A47AABC32}"/>
    <cellStyle name="Comma 3 4 5 5 2" xfId="7333" xr:uid="{C1E85B87-5393-4130-8764-863E88EEEE26}"/>
    <cellStyle name="Comma 3 4 5 6" xfId="6025" xr:uid="{C4A6709C-4775-48C8-81E4-441794D01BD4}"/>
    <cellStyle name="Comma 3 4 6" xfId="3510" xr:uid="{AEF1870C-FE26-4342-9D6C-C02A94A4181C}"/>
    <cellStyle name="Comma 3 4 6 2" xfId="4000" xr:uid="{6698AB4A-AF48-47B1-8060-5642DD889C73}"/>
    <cellStyle name="Comma 3 4 6 2 2" xfId="5327" xr:uid="{700D9B59-01FB-4DCF-9AA7-ADC1309E03F6}"/>
    <cellStyle name="Comma 3 4 6 2 2 2" xfId="7944" xr:uid="{BB7AEE36-C97F-4008-999F-FDC9CE3859D4}"/>
    <cellStyle name="Comma 3 4 6 2 3" xfId="6636" xr:uid="{E7276603-9273-428A-BEEE-91742683FC84}"/>
    <cellStyle name="Comma 3 4 6 3" xfId="4476" xr:uid="{7F50979D-EC7C-4726-8C7D-99F420A7AE6B}"/>
    <cellStyle name="Comma 3 4 6 3 2" xfId="5786" xr:uid="{67FD7A9E-2D7A-4BD2-B29E-F7F58C752660}"/>
    <cellStyle name="Comma 3 4 6 3 2 2" xfId="8403" xr:uid="{4E65D4F8-184E-4304-B07C-E59C50B4EE3F}"/>
    <cellStyle name="Comma 3 4 6 3 3" xfId="7095" xr:uid="{B6CA2C42-63AF-4472-A1FA-475C8C6A19FF}"/>
    <cellStyle name="Comma 3 4 6 4" xfId="4855" xr:uid="{10FA6825-4767-4264-AFD2-6A47F7E5A542}"/>
    <cellStyle name="Comma 3 4 6 4 2" xfId="7472" xr:uid="{B9DC4F5B-85A1-4539-8D3F-26878A15E16A}"/>
    <cellStyle name="Comma 3 4 6 5" xfId="6164" xr:uid="{6DEC0F27-FCFD-421F-8BEB-4941B02ACF7B}"/>
    <cellStyle name="Comma 3 4 7" xfId="3771" xr:uid="{22A1235F-EE58-40B7-B386-FF43398BE9BC}"/>
    <cellStyle name="Comma 3 4 7 2" xfId="4522" xr:uid="{FD859F3C-3852-483D-A11A-BE54B97F5C60}"/>
    <cellStyle name="Comma 3 4 7 2 2" xfId="5831" xr:uid="{D91323C3-3238-4E62-BDD3-207083E70619}"/>
    <cellStyle name="Comma 3 4 7 2 2 2" xfId="8448" xr:uid="{FFC71C0E-FDBE-43DE-A08C-1F40B0AAB1EF}"/>
    <cellStyle name="Comma 3 4 7 2 3" xfId="7140" xr:uid="{0F936C32-495A-47FF-B174-3B1F3953975E}"/>
    <cellStyle name="Comma 3 4 7 3" xfId="5098" xr:uid="{60521333-133D-4A3D-9386-81002E84EE2B}"/>
    <cellStyle name="Comma 3 4 7 3 2" xfId="7715" xr:uid="{7EB4F7CC-B985-49E0-98AF-BDD14B2FD50F}"/>
    <cellStyle name="Comma 3 4 7 4" xfId="6407" xr:uid="{3FDA2485-2DBB-464F-B85E-E036456E6199}"/>
    <cellStyle name="Comma 3 4 8" xfId="4567" xr:uid="{396CDC54-7116-4B28-801E-BF7F5554FE77}"/>
    <cellStyle name="Comma 3 4 8 2" xfId="5876" xr:uid="{454EAC61-977E-49B5-8013-91B46CA21F43}"/>
    <cellStyle name="Comma 3 4 8 2 2" xfId="8493" xr:uid="{BC23E113-295E-4D61-BF8C-4EA307316DC4}"/>
    <cellStyle name="Comma 3 4 8 3" xfId="7185" xr:uid="{C072A9FA-6FC9-4D5A-B1E8-9D0394CC82D9}"/>
    <cellStyle name="Comma 3 4 9" xfId="4236" xr:uid="{C5CB93FB-0307-4219-9943-F32C95C409E1}"/>
    <cellStyle name="Comma 3 4 9 2" xfId="5563" xr:uid="{6F077A92-361C-4BC4-947E-E470C7959547}"/>
    <cellStyle name="Comma 3 4 9 2 2" xfId="8180" xr:uid="{73F7522A-6539-4B0B-9662-12FE65AB6F1F}"/>
    <cellStyle name="Comma 3 4 9 3" xfId="6872" xr:uid="{8BC3EE73-9CA4-4334-8E23-E118DA0F1BD9}"/>
    <cellStyle name="Comma 3 5" xfId="2537" xr:uid="{CCBAC487-4D48-4225-9E32-4B49CF7E806C}"/>
    <cellStyle name="Comma 3 5 10" xfId="4630" xr:uid="{9316D694-6524-479E-9CCA-A64F104C3065}"/>
    <cellStyle name="Comma 3 5 10 2" xfId="7247" xr:uid="{7943042D-2306-49F4-BA31-D3C37AA72F0B}"/>
    <cellStyle name="Comma 3 5 11" xfId="5939" xr:uid="{D48A62B9-E43A-454E-A0E2-439B3BFE74B4}"/>
    <cellStyle name="Comma 3 5 2" xfId="2860" xr:uid="{EB0352EE-8E2A-45C0-B5E9-C25735862FF6}"/>
    <cellStyle name="Comma 3 5 2 10" xfId="5956" xr:uid="{A66B809E-94D9-4B83-9C56-0F6E433C6781}"/>
    <cellStyle name="Comma 3 5 2 2" xfId="2907" xr:uid="{2B81958C-044B-4F6B-B3BD-43E7344B782A}"/>
    <cellStyle name="Comma 3 5 2 2 2" xfId="3008" xr:uid="{D353A835-9B93-412F-97E2-8D44CDFD43A9}"/>
    <cellStyle name="Comma 3 5 2 2 2 2" xfId="3677" xr:uid="{16EAE4E8-3F2C-4BAF-890D-711AADDFEC96}"/>
    <cellStyle name="Comma 3 5 2 2 2 2 2" xfId="4151" xr:uid="{D730D842-4874-4B3E-A164-001D6CDE303A}"/>
    <cellStyle name="Comma 3 5 2 2 2 2 2 2" xfId="5478" xr:uid="{67C0A235-880C-486C-BA6C-A25A5C8444D5}"/>
    <cellStyle name="Comma 3 5 2 2 2 2 2 2 2" xfId="8095" xr:uid="{E9B32CFA-AA63-46D2-AF4B-F2BD1A405655}"/>
    <cellStyle name="Comma 3 5 2 2 2 2 2 3" xfId="6787" xr:uid="{2BE26CC9-0D2E-4686-B5BF-B6A4DE24B355}"/>
    <cellStyle name="Comma 3 5 2 2 2 2 3" xfId="5006" xr:uid="{08201C60-DAB1-4086-B98D-06431E55C762}"/>
    <cellStyle name="Comma 3 5 2 2 2 2 3 2" xfId="7623" xr:uid="{61975324-33A8-4D3B-9CF7-B544758677EB}"/>
    <cellStyle name="Comma 3 5 2 2 2 2 4" xfId="6315" xr:uid="{AF42B668-33A3-4C07-9C67-0D64E8594CCF}"/>
    <cellStyle name="Comma 3 5 2 2 2 3" xfId="3922" xr:uid="{D81F1CE9-2359-4CFD-A8EE-0D3A2E669E81}"/>
    <cellStyle name="Comma 3 5 2 2 2 3 2" xfId="5249" xr:uid="{7B9F6EFD-4FCD-457C-94AD-4183A2F44633}"/>
    <cellStyle name="Comma 3 5 2 2 2 3 2 2" xfId="7866" xr:uid="{91689864-8A9F-4600-B640-0AB4DC40FAA1}"/>
    <cellStyle name="Comma 3 5 2 2 2 3 3" xfId="6558" xr:uid="{9231DA9E-DA79-4576-8510-191F340807AD}"/>
    <cellStyle name="Comma 3 5 2 2 2 4" xfId="4387" xr:uid="{260F6BA6-894D-4648-85A7-9B9B863B6E67}"/>
    <cellStyle name="Comma 3 5 2 2 2 4 2" xfId="5714" xr:uid="{F0589E7C-9CE4-4B31-9EFC-59CB1F0A85EB}"/>
    <cellStyle name="Comma 3 5 2 2 2 4 2 2" xfId="8331" xr:uid="{1894EEF5-B59B-4613-8455-8A6EAE59767F}"/>
    <cellStyle name="Comma 3 5 2 2 2 4 3" xfId="7023" xr:uid="{9B1001E2-E22B-4B9E-A1D0-EFA27E3144B3}"/>
    <cellStyle name="Comma 3 5 2 2 2 5" xfId="4777" xr:uid="{8CCB5368-7574-47D3-A923-C17A9ABF64F8}"/>
    <cellStyle name="Comma 3 5 2 2 2 5 2" xfId="7394" xr:uid="{1B4D502B-D3A6-408D-923E-6ED3057BB264}"/>
    <cellStyle name="Comma 3 5 2 2 2 6" xfId="6086" xr:uid="{B9FA1CA9-0E12-4483-AED9-0DE191069FF3}"/>
    <cellStyle name="Comma 3 5 2 2 3" xfId="3576" xr:uid="{01426F27-B567-4B2A-BFA0-C29176F9529F}"/>
    <cellStyle name="Comma 3 5 2 2 3 2" xfId="4066" xr:uid="{80FB6427-42EC-49EE-81BD-45FED8377D3D}"/>
    <cellStyle name="Comma 3 5 2 2 3 2 2" xfId="5393" xr:uid="{A9A42D78-1FFF-476A-8150-AEFE741E3394}"/>
    <cellStyle name="Comma 3 5 2 2 3 2 2 2" xfId="8010" xr:uid="{EB698E9E-019D-4B19-B242-E0DF1E0D79A9}"/>
    <cellStyle name="Comma 3 5 2 2 3 2 3" xfId="6702" xr:uid="{B8D3C54F-A231-43B4-B302-C7B382CBF3F6}"/>
    <cellStyle name="Comma 3 5 2 2 3 3" xfId="4921" xr:uid="{2A09315E-6FB9-4866-81F9-15256E4FDDE0}"/>
    <cellStyle name="Comma 3 5 2 2 3 3 2" xfId="7538" xr:uid="{A93E1383-63B8-4B14-B89F-F7D7AC20FF14}"/>
    <cellStyle name="Comma 3 5 2 2 3 4" xfId="6230" xr:uid="{3B857489-B5A5-4178-BC07-323BF3E7DBE1}"/>
    <cellStyle name="Comma 3 5 2 2 4" xfId="3837" xr:uid="{F39A2DC5-51CE-4C51-9509-11EE798698CC}"/>
    <cellStyle name="Comma 3 5 2 2 4 2" xfId="5164" xr:uid="{6F964F52-38D1-4473-89B0-5F85518889EA}"/>
    <cellStyle name="Comma 3 5 2 2 4 2 2" xfId="7781" xr:uid="{DAC093EC-3F61-4C52-BA02-F2CE288E2EBE}"/>
    <cellStyle name="Comma 3 5 2 2 4 3" xfId="6473" xr:uid="{5C7076A8-C412-4B7B-A1F7-B0DE6CA743B2}"/>
    <cellStyle name="Comma 3 5 2 2 5" xfId="4302" xr:uid="{378843C7-61CE-40EF-BB8C-727AE4ED3EC0}"/>
    <cellStyle name="Comma 3 5 2 2 5 2" xfId="5629" xr:uid="{7968E0C6-68F2-49D7-8A1E-F9193DDD3B26}"/>
    <cellStyle name="Comma 3 5 2 2 5 2 2" xfId="8246" xr:uid="{B6902403-9195-4716-8C10-16193651FA63}"/>
    <cellStyle name="Comma 3 5 2 2 5 3" xfId="6938" xr:uid="{64E8DEC8-8BF4-4482-8739-F1209924BAAF}"/>
    <cellStyle name="Comma 3 5 2 2 6" xfId="4692" xr:uid="{9B997645-87B9-4E99-B084-8E5B165BE88A}"/>
    <cellStyle name="Comma 3 5 2 2 6 2" xfId="7309" xr:uid="{1B4021C4-C6C3-4F07-A0DA-97EDB8032801}"/>
    <cellStyle name="Comma 3 5 2 2 7" xfId="6001" xr:uid="{CA2CEA27-A8BC-43B2-9540-813014A3782D}"/>
    <cellStyle name="Comma 3 5 2 3" xfId="3452" xr:uid="{8F116F01-8EC7-415E-B53F-03BD58197742}"/>
    <cellStyle name="Comma 3 5 2 3 2" xfId="3717" xr:uid="{D51EE3AA-1E0B-4DE9-B673-3537F8C83E11}"/>
    <cellStyle name="Comma 3 5 2 3 2 2" xfId="4191" xr:uid="{223350EA-98E7-458C-A296-6D5EA3AA981B}"/>
    <cellStyle name="Comma 3 5 2 3 2 2 2" xfId="5518" xr:uid="{3D9FC9C8-AA48-4652-85E3-F760869D9B43}"/>
    <cellStyle name="Comma 3 5 2 3 2 2 2 2" xfId="8135" xr:uid="{D20A272E-1767-4447-BF1A-993F6735FB71}"/>
    <cellStyle name="Comma 3 5 2 3 2 2 3" xfId="6827" xr:uid="{A479193B-0A1F-4C56-8C6B-843C6F451AA2}"/>
    <cellStyle name="Comma 3 5 2 3 2 3" xfId="5046" xr:uid="{03EB3E10-9089-4E78-AC39-3211A6D6B174}"/>
    <cellStyle name="Comma 3 5 2 3 2 3 2" xfId="7663" xr:uid="{B67BDF5C-F3D0-49F0-8F01-7A94644CB063}"/>
    <cellStyle name="Comma 3 5 2 3 2 4" xfId="6355" xr:uid="{95A2EA26-181A-4C21-9E2B-D412BBA41C7D}"/>
    <cellStyle name="Comma 3 5 2 3 3" xfId="3962" xr:uid="{1DE07067-5EBC-4C34-B9D3-5C12A0C39C94}"/>
    <cellStyle name="Comma 3 5 2 3 3 2" xfId="5289" xr:uid="{70E3F161-FB9F-4067-B4C8-72202013E989}"/>
    <cellStyle name="Comma 3 5 2 3 3 2 2" xfId="7906" xr:uid="{82FE8C91-AD5D-4B3B-B9EA-1B185297C587}"/>
    <cellStyle name="Comma 3 5 2 3 3 3" xfId="6598" xr:uid="{22D63F59-22B9-4780-A04D-5041754271B3}"/>
    <cellStyle name="Comma 3 5 2 3 4" xfId="4427" xr:uid="{3D93AF04-CE1B-42CE-B53D-39927FF0FF99}"/>
    <cellStyle name="Comma 3 5 2 3 4 2" xfId="5754" xr:uid="{BB7447C2-724E-4BF3-8B95-87D06D206DF1}"/>
    <cellStyle name="Comma 3 5 2 3 4 2 2" xfId="8371" xr:uid="{DEECD573-B341-4246-A248-6B19B2521DD8}"/>
    <cellStyle name="Comma 3 5 2 3 4 3" xfId="7063" xr:uid="{2FBE19FA-F1BC-4800-A583-E034A35D1188}"/>
    <cellStyle name="Comma 3 5 2 3 5" xfId="4817" xr:uid="{84A7072F-95A2-4994-BEC0-44BEF90363B9}"/>
    <cellStyle name="Comma 3 5 2 3 5 2" xfId="7434" xr:uid="{A3B8A5CF-C737-4EB6-BB96-5FC0D896D14E}"/>
    <cellStyle name="Comma 3 5 2 3 6" xfId="6126" xr:uid="{7DDB4368-F111-4C07-926D-C77CDF6E7B8A}"/>
    <cellStyle name="Comma 3 5 2 4" xfId="2952" xr:uid="{20996558-6FFD-4C33-8575-38F6DBA626A3}"/>
    <cellStyle name="Comma 3 5 2 4 2" xfId="3621" xr:uid="{27053ED5-8166-4A31-9A7E-036D191E62A4}"/>
    <cellStyle name="Comma 3 5 2 4 2 2" xfId="4111" xr:uid="{A073BC27-D4A4-4F94-AE2E-0402B846684D}"/>
    <cellStyle name="Comma 3 5 2 4 2 2 2" xfId="5438" xr:uid="{545C20E3-91FD-44ED-9A76-46DBF747B48F}"/>
    <cellStyle name="Comma 3 5 2 4 2 2 2 2" xfId="8055" xr:uid="{66BA4A79-8C3E-4266-B959-6C028779E269}"/>
    <cellStyle name="Comma 3 5 2 4 2 2 3" xfId="6747" xr:uid="{65CCC7FE-313C-469B-BAD7-CBB0BFB525D9}"/>
    <cellStyle name="Comma 3 5 2 4 2 3" xfId="4966" xr:uid="{70499FD3-4F6F-4CF5-A907-524723EC95DF}"/>
    <cellStyle name="Comma 3 5 2 4 2 3 2" xfId="7583" xr:uid="{F6278F1F-3451-42E7-82CD-CBE6EAE08AB7}"/>
    <cellStyle name="Comma 3 5 2 4 2 4" xfId="6275" xr:uid="{D1038D2D-451D-4AFA-99E7-693853BD3790}"/>
    <cellStyle name="Comma 3 5 2 4 3" xfId="3882" xr:uid="{F2C33990-18C4-46A4-B412-E0E23696B379}"/>
    <cellStyle name="Comma 3 5 2 4 3 2" xfId="5209" xr:uid="{0183AF41-4E94-428F-8EE3-58B50086D1E4}"/>
    <cellStyle name="Comma 3 5 2 4 3 2 2" xfId="7826" xr:uid="{A22456D6-3252-4A72-9F3A-C64216C5C9F2}"/>
    <cellStyle name="Comma 3 5 2 4 3 3" xfId="6518" xr:uid="{864B5C20-9C6C-4CF5-8949-82E0B79C301D}"/>
    <cellStyle name="Comma 3 5 2 4 4" xfId="4347" xr:uid="{AC05962E-E728-4BAE-82CD-BDF4042E3BC6}"/>
    <cellStyle name="Comma 3 5 2 4 4 2" xfId="5674" xr:uid="{D0D898B3-DBA7-4ABD-8C78-1B8DCF9DE11C}"/>
    <cellStyle name="Comma 3 5 2 4 4 2 2" xfId="8291" xr:uid="{BD5A82FA-92F2-4D04-8F04-500130288947}"/>
    <cellStyle name="Comma 3 5 2 4 4 3" xfId="6983" xr:uid="{8DBF73AD-EC50-404B-AE17-F22B99F3064C}"/>
    <cellStyle name="Comma 3 5 2 4 5" xfId="4737" xr:uid="{53FB773D-7839-4861-9B56-9E74CB0181DD}"/>
    <cellStyle name="Comma 3 5 2 4 5 2" xfId="7354" xr:uid="{17E05F41-CC66-403C-9C48-18D1578F69E3}"/>
    <cellStyle name="Comma 3 5 2 4 6" xfId="6046" xr:uid="{D75832EA-4BFB-4046-9482-3A4269332ACA}"/>
    <cellStyle name="Comma 3 5 2 5" xfId="3531" xr:uid="{D014B1BE-8956-48FB-8061-223A2444B888}"/>
    <cellStyle name="Comma 3 5 2 5 2" xfId="4021" xr:uid="{1A9730C2-CA46-45F7-858A-49B45383D61A}"/>
    <cellStyle name="Comma 3 5 2 5 2 2" xfId="5348" xr:uid="{40B5F7B0-760F-4028-BC3C-69B18A923F02}"/>
    <cellStyle name="Comma 3 5 2 5 2 2 2" xfId="7965" xr:uid="{132AB9F2-C18F-4394-96A2-AB2FB1A1A358}"/>
    <cellStyle name="Comma 3 5 2 5 2 3" xfId="6657" xr:uid="{1BA1966A-F394-4DF0-AC9D-682F6790762E}"/>
    <cellStyle name="Comma 3 5 2 5 3" xfId="4498" xr:uid="{F74016AB-D949-426D-817B-66D49EEE536D}"/>
    <cellStyle name="Comma 3 5 2 5 3 2" xfId="5807" xr:uid="{2DAACCFB-282D-45FE-86D6-F47C85ABE89F}"/>
    <cellStyle name="Comma 3 5 2 5 3 2 2" xfId="8424" xr:uid="{1AE9E5BB-FCD7-47CC-9234-E79119F9278A}"/>
    <cellStyle name="Comma 3 5 2 5 3 3" xfId="7116" xr:uid="{94EBE30E-13EA-4F1F-A9E1-5D7DE130E95E}"/>
    <cellStyle name="Comma 3 5 2 5 4" xfId="4876" xr:uid="{0CFBA585-2F73-4B10-8E16-534DA53BA037}"/>
    <cellStyle name="Comma 3 5 2 5 4 2" xfId="7493" xr:uid="{4E5008E9-EF61-4488-916B-F7F6F8DCAAD3}"/>
    <cellStyle name="Comma 3 5 2 5 5" xfId="6185" xr:uid="{B1CB88D6-D3A1-49F9-90CC-FFA3F2AD5A35}"/>
    <cellStyle name="Comma 3 5 2 6" xfId="3792" xr:uid="{8B7E285A-27FC-4FB3-B43F-16AA9A33268A}"/>
    <cellStyle name="Comma 3 5 2 6 2" xfId="4543" xr:uid="{DB2058E6-5946-4E3A-A8C7-F634FE235DBE}"/>
    <cellStyle name="Comma 3 5 2 6 2 2" xfId="5852" xr:uid="{22B4B5EE-6082-4DF0-88D1-F763A3E37A7D}"/>
    <cellStyle name="Comma 3 5 2 6 2 2 2" xfId="8469" xr:uid="{59A49C51-2380-48C6-A7EB-85D39B855852}"/>
    <cellStyle name="Comma 3 5 2 6 2 3" xfId="7161" xr:uid="{0CF0D62B-157D-4644-B9CE-17BB7D1A9D87}"/>
    <cellStyle name="Comma 3 5 2 6 3" xfId="5119" xr:uid="{382C8897-97E1-433E-AD51-47A98ABB4B16}"/>
    <cellStyle name="Comma 3 5 2 6 3 2" xfId="7736" xr:uid="{392E4E89-E82A-4D36-8267-527E3045A2E9}"/>
    <cellStyle name="Comma 3 5 2 6 4" xfId="6428" xr:uid="{853C2C62-9743-4DAE-B1A4-A7D750C770C4}"/>
    <cellStyle name="Comma 3 5 2 7" xfId="4588" xr:uid="{AAD9C7EE-EACB-4644-B85E-C6771BD70C96}"/>
    <cellStyle name="Comma 3 5 2 7 2" xfId="5897" xr:uid="{6E502F17-44CE-43B7-9F34-E08E027CEE17}"/>
    <cellStyle name="Comma 3 5 2 7 2 2" xfId="8514" xr:uid="{E3CB6E01-90C0-4547-8009-C3522506B58F}"/>
    <cellStyle name="Comma 3 5 2 7 3" xfId="7206" xr:uid="{59432CDC-8FD9-4DF1-9828-338041215E18}"/>
    <cellStyle name="Comma 3 5 2 8" xfId="4257" xr:uid="{8836A314-C562-44D7-ADF1-ABE2C71D6767}"/>
    <cellStyle name="Comma 3 5 2 8 2" xfId="5584" xr:uid="{99E6E095-4BE4-402D-9BE9-C89441CE9939}"/>
    <cellStyle name="Comma 3 5 2 8 2 2" xfId="8201" xr:uid="{97038493-0538-4DA3-888C-305A457C0814}"/>
    <cellStyle name="Comma 3 5 2 8 3" xfId="6893" xr:uid="{2ABBF0BD-8F4C-438C-9F47-E4A921A098F4}"/>
    <cellStyle name="Comma 3 5 2 9" xfId="4647" xr:uid="{2AF700E5-93E4-4B20-8AAD-AA330C8BE447}"/>
    <cellStyle name="Comma 3 5 2 9 2" xfId="7264" xr:uid="{10940E24-C7BC-4DEA-BC44-DE07B3C63CD7}"/>
    <cellStyle name="Comma 3 5 3" xfId="2890" xr:uid="{8DED1700-37BC-4DEB-8908-183FECA7AD2B}"/>
    <cellStyle name="Comma 3 5 3 2" xfId="2991" xr:uid="{616C6411-5912-4A05-B822-26D039962FF1}"/>
    <cellStyle name="Comma 3 5 3 2 2" xfId="3660" xr:uid="{DB316F9A-AFEE-4790-8801-6BC8E7798880}"/>
    <cellStyle name="Comma 3 5 3 2 2 2" xfId="4134" xr:uid="{F05DFD04-78EA-4A00-9EC5-30131F65329A}"/>
    <cellStyle name="Comma 3 5 3 2 2 2 2" xfId="5461" xr:uid="{B1D2DCEE-E9A5-45BB-9252-73D86EF39611}"/>
    <cellStyle name="Comma 3 5 3 2 2 2 2 2" xfId="8078" xr:uid="{87763C7F-7E70-40CF-B7E2-44F18B7A7B50}"/>
    <cellStyle name="Comma 3 5 3 2 2 2 3" xfId="6770" xr:uid="{84220812-34D6-41CB-97BA-03354A417B98}"/>
    <cellStyle name="Comma 3 5 3 2 2 3" xfId="4989" xr:uid="{9A379858-9B3B-4701-A7A5-CD85814BB515}"/>
    <cellStyle name="Comma 3 5 3 2 2 3 2" xfId="7606" xr:uid="{D1547D05-DF8A-4808-9386-F59CD45AAC1F}"/>
    <cellStyle name="Comma 3 5 3 2 2 4" xfId="6298" xr:uid="{AAC585AE-73BC-4728-AF54-E006B79279D8}"/>
    <cellStyle name="Comma 3 5 3 2 3" xfId="3905" xr:uid="{353DB9F7-9716-43AA-872F-44791D2364B0}"/>
    <cellStyle name="Comma 3 5 3 2 3 2" xfId="5232" xr:uid="{81968193-64BF-41ED-A025-C63BE0ECBF0C}"/>
    <cellStyle name="Comma 3 5 3 2 3 2 2" xfId="7849" xr:uid="{DFC3FA8E-334F-4090-AA2A-590E84500C36}"/>
    <cellStyle name="Comma 3 5 3 2 3 3" xfId="6541" xr:uid="{B65EBA5C-3B59-4B3D-9182-4AF137AD5606}"/>
    <cellStyle name="Comma 3 5 3 2 4" xfId="4370" xr:uid="{8FCFD4F9-B888-43B0-B9AF-0C2EFF826497}"/>
    <cellStyle name="Comma 3 5 3 2 4 2" xfId="5697" xr:uid="{C7AEA46C-CD96-404D-8E2C-61BF0F9ABE8C}"/>
    <cellStyle name="Comma 3 5 3 2 4 2 2" xfId="8314" xr:uid="{B638D1E3-3286-4601-B722-248FE74D01F9}"/>
    <cellStyle name="Comma 3 5 3 2 4 3" xfId="7006" xr:uid="{7A6CD64B-4227-4C67-82E8-2EC6C598A654}"/>
    <cellStyle name="Comma 3 5 3 2 5" xfId="4760" xr:uid="{A6AD1013-F798-4574-9DD6-EE9D6491A407}"/>
    <cellStyle name="Comma 3 5 3 2 5 2" xfId="7377" xr:uid="{CA2674C5-E0A6-4B3F-8541-BCEDF3AFABB6}"/>
    <cellStyle name="Comma 3 5 3 2 6" xfId="6069" xr:uid="{25B66A28-8346-4B52-BA32-056FC42EAD4B}"/>
    <cellStyle name="Comma 3 5 3 3" xfId="3559" xr:uid="{9EA85F05-5CF3-4CFE-9812-6C7C3CBA00BA}"/>
    <cellStyle name="Comma 3 5 3 3 2" xfId="4049" xr:uid="{36FACCA3-69C3-4AB6-8399-4C235B7DC2C0}"/>
    <cellStyle name="Comma 3 5 3 3 2 2" xfId="5376" xr:uid="{3AB059E3-539D-48F9-9D43-EDE3765C6381}"/>
    <cellStyle name="Comma 3 5 3 3 2 2 2" xfId="7993" xr:uid="{22A38B6B-BE5D-4624-933E-269A9345F1A3}"/>
    <cellStyle name="Comma 3 5 3 3 2 3" xfId="6685" xr:uid="{EED42EFC-9EFC-4F17-B166-1D08B15FA22B}"/>
    <cellStyle name="Comma 3 5 3 3 3" xfId="4904" xr:uid="{8B365500-0E4C-4443-85DA-CD0582CF66FB}"/>
    <cellStyle name="Comma 3 5 3 3 3 2" xfId="7521" xr:uid="{C73F92D6-D1B7-41B8-BC50-BB4645CDCCFE}"/>
    <cellStyle name="Comma 3 5 3 3 4" xfId="6213" xr:uid="{518D33D6-1D54-4E1D-932C-E1072D2A2DBA}"/>
    <cellStyle name="Comma 3 5 3 4" xfId="3820" xr:uid="{0D7DF079-596A-43E3-8DFF-3BD7EA896215}"/>
    <cellStyle name="Comma 3 5 3 4 2" xfId="5147" xr:uid="{869DC84A-FF84-4A9B-A714-AAC82894F7AB}"/>
    <cellStyle name="Comma 3 5 3 4 2 2" xfId="7764" xr:uid="{1855003D-5DB1-46E1-A262-244B58E62C94}"/>
    <cellStyle name="Comma 3 5 3 4 3" xfId="6456" xr:uid="{09B8E158-D484-4CC0-8089-7CB1033204DF}"/>
    <cellStyle name="Comma 3 5 3 5" xfId="4285" xr:uid="{9C66F801-30D7-454A-9A7E-A8CFA89D4FAB}"/>
    <cellStyle name="Comma 3 5 3 5 2" xfId="5612" xr:uid="{00EF3045-4BDF-4106-8570-6B74A67B4BA3}"/>
    <cellStyle name="Comma 3 5 3 5 2 2" xfId="8229" xr:uid="{C13E675D-CF88-4EFF-B09A-7E61DBAC7E35}"/>
    <cellStyle name="Comma 3 5 3 5 3" xfId="6921" xr:uid="{91F88494-982A-44F8-8E76-0B67246A4728}"/>
    <cellStyle name="Comma 3 5 3 6" xfId="4675" xr:uid="{88A9E4A8-572F-4799-AA45-FD9FF0C13618}"/>
    <cellStyle name="Comma 3 5 3 6 2" xfId="7292" xr:uid="{44605F92-5596-41A5-9190-7B694846A1E8}"/>
    <cellStyle name="Comma 3 5 3 7" xfId="5984" xr:uid="{7D06D0BD-291D-4D78-9520-53F059412358}"/>
    <cellStyle name="Comma 3 5 4" xfId="3434" xr:uid="{9667342D-ABB3-452F-B960-77B17D69792D}"/>
    <cellStyle name="Comma 3 5 4 2" xfId="3700" xr:uid="{F83C68D2-717F-4975-A0AB-81F49BB11E3C}"/>
    <cellStyle name="Comma 3 5 4 2 2" xfId="4174" xr:uid="{B2C69D01-48D7-4A35-9C3E-85982441A4E4}"/>
    <cellStyle name="Comma 3 5 4 2 2 2" xfId="5501" xr:uid="{7929B86B-9974-4839-8714-2063544D907D}"/>
    <cellStyle name="Comma 3 5 4 2 2 2 2" xfId="8118" xr:uid="{CA6D9BFC-0839-403D-8DAD-065C32810EC1}"/>
    <cellStyle name="Comma 3 5 4 2 2 3" xfId="6810" xr:uid="{3FCEBE8B-48DD-48F6-91E3-CCB9FE2B6982}"/>
    <cellStyle name="Comma 3 5 4 2 3" xfId="5029" xr:uid="{6FCF4387-05A3-4514-A5AE-E6093D8C661A}"/>
    <cellStyle name="Comma 3 5 4 2 3 2" xfId="7646" xr:uid="{8A0779F5-86C3-45D1-8A31-FC44664F1BC4}"/>
    <cellStyle name="Comma 3 5 4 2 4" xfId="6338" xr:uid="{5854F613-3C08-4B33-B5C4-EDD2102F27F0}"/>
    <cellStyle name="Comma 3 5 4 3" xfId="3945" xr:uid="{052E4A58-0212-4751-860B-4B60E67B14C8}"/>
    <cellStyle name="Comma 3 5 4 3 2" xfId="5272" xr:uid="{804CDAD6-64B8-4831-82D9-15FF13E48A9B}"/>
    <cellStyle name="Comma 3 5 4 3 2 2" xfId="7889" xr:uid="{E22ECD25-D6A3-4E29-A87B-9629582A6556}"/>
    <cellStyle name="Comma 3 5 4 3 3" xfId="6581" xr:uid="{35786E70-19B6-4B74-9050-04DE2FEB43D2}"/>
    <cellStyle name="Comma 3 5 4 4" xfId="4410" xr:uid="{6D34C6A9-F7EF-4A9B-93E5-74BBE6B88F38}"/>
    <cellStyle name="Comma 3 5 4 4 2" xfId="5737" xr:uid="{71D23472-B8F1-409B-9265-19346FE13EE2}"/>
    <cellStyle name="Comma 3 5 4 4 2 2" xfId="8354" xr:uid="{CB438AA2-7344-484C-A21C-111CCD835209}"/>
    <cellStyle name="Comma 3 5 4 4 3" xfId="7046" xr:uid="{A2BB7195-78FF-41BC-AAAC-5510DDEE5114}"/>
    <cellStyle name="Comma 3 5 4 5" xfId="4800" xr:uid="{0817075B-2A32-467E-AEBE-855EB59CE9EF}"/>
    <cellStyle name="Comma 3 5 4 5 2" xfId="7417" xr:uid="{AE6669F5-664F-43E6-825A-BBCE7D2EA7E6}"/>
    <cellStyle name="Comma 3 5 4 6" xfId="6109" xr:uid="{11478B8D-B73A-48E3-A2B3-D261403F3E09}"/>
    <cellStyle name="Comma 3 5 5" xfId="2935" xr:uid="{FFC6E611-FEFD-4D94-A987-5EC9C9496D39}"/>
    <cellStyle name="Comma 3 5 5 2" xfId="3604" xr:uid="{11BEE5D8-4547-4655-B2F6-A0B892559211}"/>
    <cellStyle name="Comma 3 5 5 2 2" xfId="4094" xr:uid="{118D92B0-B564-481D-8BCE-94FF5B067E99}"/>
    <cellStyle name="Comma 3 5 5 2 2 2" xfId="5421" xr:uid="{3A1B888C-3BA0-4027-A5C3-6CADA10F4D45}"/>
    <cellStyle name="Comma 3 5 5 2 2 2 2" xfId="8038" xr:uid="{F3DE5674-6D2F-437E-8F59-B504468FC971}"/>
    <cellStyle name="Comma 3 5 5 2 2 3" xfId="6730" xr:uid="{024B9AAA-0877-4C06-B5DF-40892007BFC5}"/>
    <cellStyle name="Comma 3 5 5 2 3" xfId="4949" xr:uid="{FD6B2B79-90D8-4CFD-930E-AD65169BBEFE}"/>
    <cellStyle name="Comma 3 5 5 2 3 2" xfId="7566" xr:uid="{0B7CDF00-D531-447B-943A-C72040C3183C}"/>
    <cellStyle name="Comma 3 5 5 2 4" xfId="6258" xr:uid="{32CF0572-E21F-4E00-A213-510FDA3A995A}"/>
    <cellStyle name="Comma 3 5 5 3" xfId="3865" xr:uid="{1FB3E602-2796-4CE0-BA16-32AC5C333142}"/>
    <cellStyle name="Comma 3 5 5 3 2" xfId="5192" xr:uid="{A98C0EC4-35F0-40C3-9FA1-BADAD34A61CB}"/>
    <cellStyle name="Comma 3 5 5 3 2 2" xfId="7809" xr:uid="{803CA005-8A1A-4962-9F4F-7B15091D129C}"/>
    <cellStyle name="Comma 3 5 5 3 3" xfId="6501" xr:uid="{295424C5-AF4D-417C-A440-CB6D3FA27732}"/>
    <cellStyle name="Comma 3 5 5 4" xfId="4330" xr:uid="{D5CEF29D-5EE1-47FA-B06D-6A2D35CBFB33}"/>
    <cellStyle name="Comma 3 5 5 4 2" xfId="5657" xr:uid="{09707804-0399-42E0-8F68-85B1D97A8499}"/>
    <cellStyle name="Comma 3 5 5 4 2 2" xfId="8274" xr:uid="{DBA59D2D-1802-4EAF-8AF5-CDA5295343AF}"/>
    <cellStyle name="Comma 3 5 5 4 3" xfId="6966" xr:uid="{1B7DE226-7EA5-4F5B-8298-B53F3EED1CF0}"/>
    <cellStyle name="Comma 3 5 5 5" xfId="4720" xr:uid="{61AF1624-EA51-4965-935A-52A8CAB90793}"/>
    <cellStyle name="Comma 3 5 5 5 2" xfId="7337" xr:uid="{32673BD8-2F5F-4725-BA70-EC4C21520758}"/>
    <cellStyle name="Comma 3 5 5 6" xfId="6029" xr:uid="{865A5496-7B20-4E1D-8924-E9B5A3146D78}"/>
    <cellStyle name="Comma 3 5 6" xfId="3514" xr:uid="{0A4D5C66-EF7C-42BD-98A5-A9CD187D38A5}"/>
    <cellStyle name="Comma 3 5 6 2" xfId="4004" xr:uid="{71CC1B8B-528C-4713-81FE-3CBEA093EDF0}"/>
    <cellStyle name="Comma 3 5 6 2 2" xfId="5331" xr:uid="{6E9AE291-C3B4-4826-82B3-1E93F1EC1EAB}"/>
    <cellStyle name="Comma 3 5 6 2 2 2" xfId="7948" xr:uid="{C33D25E8-BA25-459B-A12D-9F25E154FFF6}"/>
    <cellStyle name="Comma 3 5 6 2 3" xfId="6640" xr:uid="{F08B768B-6711-4D62-B21C-C7D05A5248C4}"/>
    <cellStyle name="Comma 3 5 6 3" xfId="4480" xr:uid="{353851AB-68AF-40E8-A506-F61DABDF640C}"/>
    <cellStyle name="Comma 3 5 6 3 2" xfId="5790" xr:uid="{3BD658DF-AC53-4C58-8797-AF7435AE89F5}"/>
    <cellStyle name="Comma 3 5 6 3 2 2" xfId="8407" xr:uid="{2B0C3004-8B4B-4480-96B9-858E4DAA66EC}"/>
    <cellStyle name="Comma 3 5 6 3 3" xfId="7099" xr:uid="{A7A8317A-D1B1-4CDE-979E-A62789E00DFA}"/>
    <cellStyle name="Comma 3 5 6 4" xfId="4859" xr:uid="{57873C05-8869-40F8-BBCA-20B1D99112B6}"/>
    <cellStyle name="Comma 3 5 6 4 2" xfId="7476" xr:uid="{019D2484-5541-4E01-958F-02B55C519001}"/>
    <cellStyle name="Comma 3 5 6 5" xfId="6168" xr:uid="{58980526-DFE1-4315-911F-6CF4A7B57EBD}"/>
    <cellStyle name="Comma 3 5 7" xfId="3775" xr:uid="{221F588F-65D5-4F03-90B5-91CB0F9B9605}"/>
    <cellStyle name="Comma 3 5 7 2" xfId="4526" xr:uid="{6B888FF5-5CAA-4C98-ACCE-E08057E3D699}"/>
    <cellStyle name="Comma 3 5 7 2 2" xfId="5835" xr:uid="{6D647867-BD1F-42BA-A3D9-21C22B122BB2}"/>
    <cellStyle name="Comma 3 5 7 2 2 2" xfId="8452" xr:uid="{85F2EE34-32AE-4DFA-8571-3F063B9D8F02}"/>
    <cellStyle name="Comma 3 5 7 2 3" xfId="7144" xr:uid="{30FAD9EF-B34D-4F96-A542-7B824EBD59B4}"/>
    <cellStyle name="Comma 3 5 7 3" xfId="5102" xr:uid="{9968213E-F5EE-49A0-B439-2F14EF78A5BA}"/>
    <cellStyle name="Comma 3 5 7 3 2" xfId="7719" xr:uid="{B6304592-9A42-4DAE-9F44-5FF72067CDBB}"/>
    <cellStyle name="Comma 3 5 7 4" xfId="6411" xr:uid="{678570E9-226B-47B4-AAC4-6865220FB25E}"/>
    <cellStyle name="Comma 3 5 8" xfId="4571" xr:uid="{5FE3330E-4023-44E5-A2E7-C7D6C233540E}"/>
    <cellStyle name="Comma 3 5 8 2" xfId="5880" xr:uid="{CF75C4A3-C259-4FCA-97C8-857E6213BAD2}"/>
    <cellStyle name="Comma 3 5 8 2 2" xfId="8497" xr:uid="{9E44FD8A-C45F-4D8F-96A5-F2768614DE10}"/>
    <cellStyle name="Comma 3 5 8 3" xfId="7189" xr:uid="{910E75A2-5EF4-4618-870E-5E838DECAAFF}"/>
    <cellStyle name="Comma 3 5 9" xfId="4240" xr:uid="{9477D7F2-1D1B-4313-8574-30CD5F33DFAB}"/>
    <cellStyle name="Comma 3 5 9 2" xfId="5567" xr:uid="{FC232202-CFE7-4D34-99C0-A137C85D2D28}"/>
    <cellStyle name="Comma 3 5 9 2 2" xfId="8184" xr:uid="{47834241-54B5-4ECC-9C07-64882CDA482C}"/>
    <cellStyle name="Comma 3 5 9 3" xfId="6876" xr:uid="{851AA36C-1FA4-4355-9553-219B7716945D}"/>
    <cellStyle name="Comma 3 6" xfId="2546" xr:uid="{8BBF20E2-56F5-49CE-8B1E-E7CFA095C591}"/>
    <cellStyle name="Comma 3 6 10" xfId="4634" xr:uid="{36410DEF-8DA5-466F-894B-595064C46A49}"/>
    <cellStyle name="Comma 3 6 10 2" xfId="7251" xr:uid="{F96FEABD-3BD7-4BEB-9DE7-E118580A0D3D}"/>
    <cellStyle name="Comma 3 6 11" xfId="5943" xr:uid="{368F19E9-07D8-409D-9D95-92E29EAF8E0C}"/>
    <cellStyle name="Comma 3 6 2" xfId="2864" xr:uid="{A68386EC-3ACF-4D61-AEF3-D18FDDF3CE1D}"/>
    <cellStyle name="Comma 3 6 2 10" xfId="5960" xr:uid="{9F1ED046-B27A-478F-8025-23C2BCA70144}"/>
    <cellStyle name="Comma 3 6 2 2" xfId="2911" xr:uid="{61445F6F-E462-4E7D-B25E-C37E3BEA0222}"/>
    <cellStyle name="Comma 3 6 2 2 2" xfId="3012" xr:uid="{BCFCA537-2619-4860-98F7-54C2E052FC4A}"/>
    <cellStyle name="Comma 3 6 2 2 2 2" xfId="3681" xr:uid="{2BD583E1-EF0C-490E-B335-4608D27182FE}"/>
    <cellStyle name="Comma 3 6 2 2 2 2 2" xfId="4155" xr:uid="{7DAFE766-75A3-42EA-929E-9F34CB139C30}"/>
    <cellStyle name="Comma 3 6 2 2 2 2 2 2" xfId="5482" xr:uid="{2B4C623E-B3A7-4CA6-ABE7-B01208A1584C}"/>
    <cellStyle name="Comma 3 6 2 2 2 2 2 2 2" xfId="8099" xr:uid="{231B02B6-1CF5-4059-9C1A-C181DCC64E57}"/>
    <cellStyle name="Comma 3 6 2 2 2 2 2 3" xfId="6791" xr:uid="{EBD5940D-F9A6-4680-ADA7-05598FEDC7AC}"/>
    <cellStyle name="Comma 3 6 2 2 2 2 3" xfId="5010" xr:uid="{CD20854F-7005-40D9-9DE4-2AAF617883D5}"/>
    <cellStyle name="Comma 3 6 2 2 2 2 3 2" xfId="7627" xr:uid="{55D99310-8D6B-417A-9242-401667BA11C3}"/>
    <cellStyle name="Comma 3 6 2 2 2 2 4" xfId="6319" xr:uid="{0F4AFD2C-1AEF-4950-8FB4-6BAD3D09DCE9}"/>
    <cellStyle name="Comma 3 6 2 2 2 3" xfId="3926" xr:uid="{8A1A70B2-7232-4893-B122-38289C064179}"/>
    <cellStyle name="Comma 3 6 2 2 2 3 2" xfId="5253" xr:uid="{A5BA2DB0-6908-430D-A11F-34F9A50DB54A}"/>
    <cellStyle name="Comma 3 6 2 2 2 3 2 2" xfId="7870" xr:uid="{CA6D10AE-F02C-410E-853C-3CCCF71C4E8D}"/>
    <cellStyle name="Comma 3 6 2 2 2 3 3" xfId="6562" xr:uid="{1C315CC0-C381-466E-BBEF-2F28D584601C}"/>
    <cellStyle name="Comma 3 6 2 2 2 4" xfId="4391" xr:uid="{B2312893-183E-4BB0-BCF5-E3626EF32814}"/>
    <cellStyle name="Comma 3 6 2 2 2 4 2" xfId="5718" xr:uid="{499F14D1-43A5-4862-823B-546F59A5190B}"/>
    <cellStyle name="Comma 3 6 2 2 2 4 2 2" xfId="8335" xr:uid="{6D5F12E2-DE0E-4FFA-80BD-BEBEDDAB0208}"/>
    <cellStyle name="Comma 3 6 2 2 2 4 3" xfId="7027" xr:uid="{4E13390E-A0EA-45E6-A7AC-391EB8C172CD}"/>
    <cellStyle name="Comma 3 6 2 2 2 5" xfId="4781" xr:uid="{1DF10028-03D3-4F47-A42B-82CA8274233E}"/>
    <cellStyle name="Comma 3 6 2 2 2 5 2" xfId="7398" xr:uid="{7C74ECB6-9F7F-4252-9CD4-F00A6B7B40C8}"/>
    <cellStyle name="Comma 3 6 2 2 2 6" xfId="6090" xr:uid="{6BADB2BC-1980-45E7-90BB-4BAEA3A91D61}"/>
    <cellStyle name="Comma 3 6 2 2 3" xfId="3580" xr:uid="{B2CE409E-9D40-4B69-8B10-BEF12F44CAE6}"/>
    <cellStyle name="Comma 3 6 2 2 3 2" xfId="4070" xr:uid="{9265FDF2-6883-496F-B5FC-87978FC8D0D5}"/>
    <cellStyle name="Comma 3 6 2 2 3 2 2" xfId="5397" xr:uid="{DFAB6549-51E0-4B7E-8062-8578558C9725}"/>
    <cellStyle name="Comma 3 6 2 2 3 2 2 2" xfId="8014" xr:uid="{6EB728FE-8A47-4345-ABDB-C3837DB09394}"/>
    <cellStyle name="Comma 3 6 2 2 3 2 3" xfId="6706" xr:uid="{4877EF32-C071-4048-8FF6-CFE2F13BEA2B}"/>
    <cellStyle name="Comma 3 6 2 2 3 3" xfId="4925" xr:uid="{A8670FF4-B1E5-4DEA-9DB3-FA413CAAF8BE}"/>
    <cellStyle name="Comma 3 6 2 2 3 3 2" xfId="7542" xr:uid="{79DE06B0-0571-4791-8330-60EAEA2F367B}"/>
    <cellStyle name="Comma 3 6 2 2 3 4" xfId="6234" xr:uid="{CC112781-0604-4A54-BB78-88C567C4A136}"/>
    <cellStyle name="Comma 3 6 2 2 4" xfId="3841" xr:uid="{B0E41D22-7ADD-441D-B161-77D8C403EDBD}"/>
    <cellStyle name="Comma 3 6 2 2 4 2" xfId="5168" xr:uid="{41600902-C3A0-4AF3-831D-753D017C2A8B}"/>
    <cellStyle name="Comma 3 6 2 2 4 2 2" xfId="7785" xr:uid="{9EEF07D0-A35F-4DA9-AECE-7DFBE81E3C7E}"/>
    <cellStyle name="Comma 3 6 2 2 4 3" xfId="6477" xr:uid="{8E0A9CA6-C978-412F-9590-6B6BFD8BE9B8}"/>
    <cellStyle name="Comma 3 6 2 2 5" xfId="4306" xr:uid="{47ACECE1-BAC7-4E34-90D1-9F3F4D19FBE6}"/>
    <cellStyle name="Comma 3 6 2 2 5 2" xfId="5633" xr:uid="{6B9D866B-95FC-4AEB-B2BA-AE48D7955F01}"/>
    <cellStyle name="Comma 3 6 2 2 5 2 2" xfId="8250" xr:uid="{6B65853E-5963-4F91-BDCA-E1BF19900223}"/>
    <cellStyle name="Comma 3 6 2 2 5 3" xfId="6942" xr:uid="{87938AD5-5A91-42DC-A8F9-EE3F06067560}"/>
    <cellStyle name="Comma 3 6 2 2 6" xfId="4696" xr:uid="{D72DBE3D-0624-4EEF-9786-E47833EE501D}"/>
    <cellStyle name="Comma 3 6 2 2 6 2" xfId="7313" xr:uid="{2F174B5A-0162-4077-B2E1-907BB95CECD2}"/>
    <cellStyle name="Comma 3 6 2 2 7" xfId="6005" xr:uid="{D24260A8-64F6-48F1-9A8F-FDBB3781CA23}"/>
    <cellStyle name="Comma 3 6 2 3" xfId="3456" xr:uid="{19E13F85-9DEB-46B6-88D0-3E0159468281}"/>
    <cellStyle name="Comma 3 6 2 3 2" xfId="3721" xr:uid="{172A5543-0D9C-4C33-A386-3E65684B06E9}"/>
    <cellStyle name="Comma 3 6 2 3 2 2" xfId="4195" xr:uid="{FC97E300-8ABE-4D50-B517-118AF0A81E0C}"/>
    <cellStyle name="Comma 3 6 2 3 2 2 2" xfId="5522" xr:uid="{1D91DD22-FB18-4CA3-A82A-AF328F40FDFC}"/>
    <cellStyle name="Comma 3 6 2 3 2 2 2 2" xfId="8139" xr:uid="{52DE532C-E58F-4DF6-A220-852A3919ED9B}"/>
    <cellStyle name="Comma 3 6 2 3 2 2 3" xfId="6831" xr:uid="{F1C12074-DA16-419A-8758-8D2835A375B9}"/>
    <cellStyle name="Comma 3 6 2 3 2 3" xfId="5050" xr:uid="{B207307B-52C7-46A0-92B1-128810E7F471}"/>
    <cellStyle name="Comma 3 6 2 3 2 3 2" xfId="7667" xr:uid="{BD07AF37-7EE7-44CE-BC0B-800444E7DEFF}"/>
    <cellStyle name="Comma 3 6 2 3 2 4" xfId="6359" xr:uid="{4D67DB95-34A6-4A89-A16F-10F563FB5481}"/>
    <cellStyle name="Comma 3 6 2 3 3" xfId="3966" xr:uid="{BC4223F5-3AAC-4A6C-9F11-FF85C01608F8}"/>
    <cellStyle name="Comma 3 6 2 3 3 2" xfId="5293" xr:uid="{97C161FE-74DA-4E6E-A70F-D9DFE782F9CD}"/>
    <cellStyle name="Comma 3 6 2 3 3 2 2" xfId="7910" xr:uid="{740456EE-A393-4D12-82E4-7ED42B34C174}"/>
    <cellStyle name="Comma 3 6 2 3 3 3" xfId="6602" xr:uid="{45B91113-8B9B-48DF-BEC1-0FBD33A36D96}"/>
    <cellStyle name="Comma 3 6 2 3 4" xfId="4431" xr:uid="{857441E2-0478-4129-ADB8-051A68024004}"/>
    <cellStyle name="Comma 3 6 2 3 4 2" xfId="5758" xr:uid="{5B613433-2874-4C53-9544-9B027ACCAD38}"/>
    <cellStyle name="Comma 3 6 2 3 4 2 2" xfId="8375" xr:uid="{72A54476-7874-4A6B-B0A0-3BB4E9B34AC1}"/>
    <cellStyle name="Comma 3 6 2 3 4 3" xfId="7067" xr:uid="{2D728FF2-1CEE-4BA0-8F18-650BEA126B2D}"/>
    <cellStyle name="Comma 3 6 2 3 5" xfId="4821" xr:uid="{96D1423C-8A5A-4078-8DE7-67214C005180}"/>
    <cellStyle name="Comma 3 6 2 3 5 2" xfId="7438" xr:uid="{FFA46B2B-AE6D-439C-9CDD-AB210BEEF99D}"/>
    <cellStyle name="Comma 3 6 2 3 6" xfId="6130" xr:uid="{16B6E067-7FF9-4FC1-B6C8-EEB52153FC10}"/>
    <cellStyle name="Comma 3 6 2 4" xfId="2956" xr:uid="{A3FF41A8-82B3-4934-A392-049227BBD6CC}"/>
    <cellStyle name="Comma 3 6 2 4 2" xfId="3625" xr:uid="{78B8B414-F0ED-4A8B-A6E4-B0D4CFF7BF34}"/>
    <cellStyle name="Comma 3 6 2 4 2 2" xfId="4115" xr:uid="{FF6EF7D5-56D3-417F-BDB6-596BEC36DD6A}"/>
    <cellStyle name="Comma 3 6 2 4 2 2 2" xfId="5442" xr:uid="{A1E28532-4F48-4981-97F8-60293589C8D9}"/>
    <cellStyle name="Comma 3 6 2 4 2 2 2 2" xfId="8059" xr:uid="{AD34906A-416B-404D-B7AF-F278C19B1DCE}"/>
    <cellStyle name="Comma 3 6 2 4 2 2 3" xfId="6751" xr:uid="{FBAA0EF7-4A63-405D-8215-5F06AE7B7E8F}"/>
    <cellStyle name="Comma 3 6 2 4 2 3" xfId="4970" xr:uid="{91AF5D28-B6FD-4EE9-9FCE-AADF74441C54}"/>
    <cellStyle name="Comma 3 6 2 4 2 3 2" xfId="7587" xr:uid="{13BF9AA5-5A62-4F19-A681-33855D25C5FA}"/>
    <cellStyle name="Comma 3 6 2 4 2 4" xfId="6279" xr:uid="{68A3D855-75EA-4996-B57C-167DCEE563B0}"/>
    <cellStyle name="Comma 3 6 2 4 3" xfId="3886" xr:uid="{20F01B57-1E4C-4975-8E78-D6642ACDC5B5}"/>
    <cellStyle name="Comma 3 6 2 4 3 2" xfId="5213" xr:uid="{1F225A42-E3C5-48C3-B3ED-E36CBF77C7D8}"/>
    <cellStyle name="Comma 3 6 2 4 3 2 2" xfId="7830" xr:uid="{7234607C-3028-4BA9-B007-9F04E36FC94E}"/>
    <cellStyle name="Comma 3 6 2 4 3 3" xfId="6522" xr:uid="{58DDD607-6D22-45F2-8AF1-C70ACA39F004}"/>
    <cellStyle name="Comma 3 6 2 4 4" xfId="4351" xr:uid="{0693A273-0051-492F-B3FE-871A61DD7C08}"/>
    <cellStyle name="Comma 3 6 2 4 4 2" xfId="5678" xr:uid="{116379BE-022A-4EB9-8AA4-7CF80874C827}"/>
    <cellStyle name="Comma 3 6 2 4 4 2 2" xfId="8295" xr:uid="{854F4220-F1F3-4147-A071-2FD5DF2D3096}"/>
    <cellStyle name="Comma 3 6 2 4 4 3" xfId="6987" xr:uid="{6240C9F5-C549-4DA8-8314-1545F8794FEC}"/>
    <cellStyle name="Comma 3 6 2 4 5" xfId="4741" xr:uid="{78627962-90AE-4B6F-84B4-B5664F5BED8E}"/>
    <cellStyle name="Comma 3 6 2 4 5 2" xfId="7358" xr:uid="{C54F9774-72B5-4947-99E1-0BEF443A9B0F}"/>
    <cellStyle name="Comma 3 6 2 4 6" xfId="6050" xr:uid="{100935CD-D4AA-45BA-B321-86F98C304775}"/>
    <cellStyle name="Comma 3 6 2 5" xfId="3535" xr:uid="{D993457B-BB89-4413-B123-2EE2A62D718C}"/>
    <cellStyle name="Comma 3 6 2 5 2" xfId="4025" xr:uid="{6E21A6D1-7479-4B3C-A8A3-455641A76503}"/>
    <cellStyle name="Comma 3 6 2 5 2 2" xfId="5352" xr:uid="{FC2BD19E-B565-425B-8B17-3FF224B546CB}"/>
    <cellStyle name="Comma 3 6 2 5 2 2 2" xfId="7969" xr:uid="{61C5A1DE-505D-4B09-8A6F-6B3D69772A75}"/>
    <cellStyle name="Comma 3 6 2 5 2 3" xfId="6661" xr:uid="{1AC363B8-0780-4115-BA90-D65184DBDD06}"/>
    <cellStyle name="Comma 3 6 2 5 3" xfId="4502" xr:uid="{367062CC-BE89-4600-BFDC-5E710E70B5C3}"/>
    <cellStyle name="Comma 3 6 2 5 3 2" xfId="5811" xr:uid="{40BE425F-6F6F-42FC-B516-6631E3880FA7}"/>
    <cellStyle name="Comma 3 6 2 5 3 2 2" xfId="8428" xr:uid="{B50A03B7-F541-4E39-B45D-2016D94014D7}"/>
    <cellStyle name="Comma 3 6 2 5 3 3" xfId="7120" xr:uid="{EBE35E53-DC0E-46C3-9CA1-E6F536233A94}"/>
    <cellStyle name="Comma 3 6 2 5 4" xfId="4880" xr:uid="{9DBE2734-A5CF-44CB-940D-16A15DD9C004}"/>
    <cellStyle name="Comma 3 6 2 5 4 2" xfId="7497" xr:uid="{11FD6C78-8451-4AD8-B82F-1B48A481D04F}"/>
    <cellStyle name="Comma 3 6 2 5 5" xfId="6189" xr:uid="{68C4F4E0-A0E2-4A34-8B62-3D47D7F2E67D}"/>
    <cellStyle name="Comma 3 6 2 6" xfId="3796" xr:uid="{467CB7D0-08F4-43FB-9F36-D0FD7A07733C}"/>
    <cellStyle name="Comma 3 6 2 6 2" xfId="4547" xr:uid="{0CA2FCED-66EB-4418-BA04-7D4FF3A5F263}"/>
    <cellStyle name="Comma 3 6 2 6 2 2" xfId="5856" xr:uid="{E6735E46-5D6D-42D5-A478-E886A5978247}"/>
    <cellStyle name="Comma 3 6 2 6 2 2 2" xfId="8473" xr:uid="{963D644B-4FCE-4934-BF3F-F56B68FC2B96}"/>
    <cellStyle name="Comma 3 6 2 6 2 3" xfId="7165" xr:uid="{C00CE878-168C-4F1B-8CD7-40092EFE3458}"/>
    <cellStyle name="Comma 3 6 2 6 3" xfId="5123" xr:uid="{35060CC3-AC01-47D3-A1EA-5B5C7E70AE10}"/>
    <cellStyle name="Comma 3 6 2 6 3 2" xfId="7740" xr:uid="{AD34156C-9ABD-4403-8C7C-55C6CD843952}"/>
    <cellStyle name="Comma 3 6 2 6 4" xfId="6432" xr:uid="{AB329E87-0409-4E2C-9350-AFBE39539E42}"/>
    <cellStyle name="Comma 3 6 2 7" xfId="4592" xr:uid="{C748AC9B-9F37-4219-9FDA-AD463CCADE83}"/>
    <cellStyle name="Comma 3 6 2 7 2" xfId="5901" xr:uid="{B1894410-4629-4257-8214-DCF6C13A193F}"/>
    <cellStyle name="Comma 3 6 2 7 2 2" xfId="8518" xr:uid="{5AF606D5-16EF-456B-BDFD-106DBA52A72C}"/>
    <cellStyle name="Comma 3 6 2 7 3" xfId="7210" xr:uid="{D140AAA7-4457-45E2-8E83-26D053E79B7F}"/>
    <cellStyle name="Comma 3 6 2 8" xfId="4261" xr:uid="{EC5AD703-4E2B-42B3-AC98-05957816D65B}"/>
    <cellStyle name="Comma 3 6 2 8 2" xfId="5588" xr:uid="{6510CBFA-9CD4-48EC-ABD1-0EA929B495F1}"/>
    <cellStyle name="Comma 3 6 2 8 2 2" xfId="8205" xr:uid="{1B7F44CB-C94B-4082-A62C-3D778F5A4330}"/>
    <cellStyle name="Comma 3 6 2 8 3" xfId="6897" xr:uid="{2B1059EF-C499-45E4-9BD9-3106392E2A1F}"/>
    <cellStyle name="Comma 3 6 2 9" xfId="4651" xr:uid="{6B118B0A-64FA-4CF8-8067-80A59F602D2A}"/>
    <cellStyle name="Comma 3 6 2 9 2" xfId="7268" xr:uid="{E4A3EE9A-E07F-4538-9F3B-FF7E977D0219}"/>
    <cellStyle name="Comma 3 6 3" xfId="2894" xr:uid="{878C4A08-86BD-49B7-A0A9-8A77F1045F64}"/>
    <cellStyle name="Comma 3 6 3 2" xfId="2995" xr:uid="{21565DD1-545A-4387-98D5-DA1DDE5800F6}"/>
    <cellStyle name="Comma 3 6 3 2 2" xfId="3664" xr:uid="{CE01EFA7-944E-4C88-836D-C73BEB9AA2D7}"/>
    <cellStyle name="Comma 3 6 3 2 2 2" xfId="4138" xr:uid="{B572F37C-4A15-4883-B600-A2639BAD848F}"/>
    <cellStyle name="Comma 3 6 3 2 2 2 2" xfId="5465" xr:uid="{7DFE692C-31D1-407F-BD56-7C7BE859DC1A}"/>
    <cellStyle name="Comma 3 6 3 2 2 2 2 2" xfId="8082" xr:uid="{63356B17-296E-4962-BF20-A47E1D2CFE27}"/>
    <cellStyle name="Comma 3 6 3 2 2 2 3" xfId="6774" xr:uid="{F156CB45-CC16-4A48-986D-8A88DEF18B24}"/>
    <cellStyle name="Comma 3 6 3 2 2 3" xfId="4993" xr:uid="{FB1693CC-D78C-4A97-9782-060F201FDC91}"/>
    <cellStyle name="Comma 3 6 3 2 2 3 2" xfId="7610" xr:uid="{F7E607C5-38AF-4504-B1DC-DDE02F8DF292}"/>
    <cellStyle name="Comma 3 6 3 2 2 4" xfId="6302" xr:uid="{071249FB-C9D4-41EA-844E-BC6E92A2A138}"/>
    <cellStyle name="Comma 3 6 3 2 3" xfId="3909" xr:uid="{20EE9CDE-68DE-4FA3-BD37-EBB9811A8FDB}"/>
    <cellStyle name="Comma 3 6 3 2 3 2" xfId="5236" xr:uid="{0FB6A7EA-9C57-48A0-B01C-911782D0CE23}"/>
    <cellStyle name="Comma 3 6 3 2 3 2 2" xfId="7853" xr:uid="{8F3CAC53-F6AD-46F4-94E8-8C805E8619C5}"/>
    <cellStyle name="Comma 3 6 3 2 3 3" xfId="6545" xr:uid="{41A68EAD-4CD4-4F8B-84CC-BA95C918CC76}"/>
    <cellStyle name="Comma 3 6 3 2 4" xfId="4374" xr:uid="{819BD36F-F8FA-493C-8F31-BBAE07497C27}"/>
    <cellStyle name="Comma 3 6 3 2 4 2" xfId="5701" xr:uid="{295B3000-EDE8-4824-B105-AB5A7BC01BA1}"/>
    <cellStyle name="Comma 3 6 3 2 4 2 2" xfId="8318" xr:uid="{EDEA7C20-68E2-4DF2-BC76-59132A5A1162}"/>
    <cellStyle name="Comma 3 6 3 2 4 3" xfId="7010" xr:uid="{71DE6E3F-96AE-4BC8-93C0-633B7C600E6F}"/>
    <cellStyle name="Comma 3 6 3 2 5" xfId="4764" xr:uid="{F8238AC0-C333-4E5F-BF86-373C900C2511}"/>
    <cellStyle name="Comma 3 6 3 2 5 2" xfId="7381" xr:uid="{16AA191D-D591-4A5E-AF69-1E9B6887134E}"/>
    <cellStyle name="Comma 3 6 3 2 6" xfId="6073" xr:uid="{79835177-CFB8-411A-871B-15BF5DCCC8F7}"/>
    <cellStyle name="Comma 3 6 3 3" xfId="3563" xr:uid="{65993E7F-2B56-4C43-BEBC-BF40D30BA7C1}"/>
    <cellStyle name="Comma 3 6 3 3 2" xfId="4053" xr:uid="{5B0F08A6-3BE2-40EA-87AE-CC3BBDCBA18B}"/>
    <cellStyle name="Comma 3 6 3 3 2 2" xfId="5380" xr:uid="{0600E65F-B3B4-4702-9DA0-A7C7B2E3B0D4}"/>
    <cellStyle name="Comma 3 6 3 3 2 2 2" xfId="7997" xr:uid="{DF698887-2695-4E20-A6EF-7008BBD426AF}"/>
    <cellStyle name="Comma 3 6 3 3 2 3" xfId="6689" xr:uid="{0F467652-9E1F-43CF-A121-E20AACEAA955}"/>
    <cellStyle name="Comma 3 6 3 3 3" xfId="4908" xr:uid="{7A2FD0A5-A48E-4392-B48C-ED4234740443}"/>
    <cellStyle name="Comma 3 6 3 3 3 2" xfId="7525" xr:uid="{B1360BF5-A08D-48E2-A505-B1004290D2AC}"/>
    <cellStyle name="Comma 3 6 3 3 4" xfId="6217" xr:uid="{57CA1DFB-A466-4AC9-80D3-8C29B6F1A514}"/>
    <cellStyle name="Comma 3 6 3 4" xfId="3824" xr:uid="{0FF1F926-5AC5-4E30-B5EA-7DB8B8782BD7}"/>
    <cellStyle name="Comma 3 6 3 4 2" xfId="5151" xr:uid="{3215F4B2-DD61-497C-B805-C58BF4560C2C}"/>
    <cellStyle name="Comma 3 6 3 4 2 2" xfId="7768" xr:uid="{22FAECF4-0054-4EA4-83B4-C11B3BAE720F}"/>
    <cellStyle name="Comma 3 6 3 4 3" xfId="6460" xr:uid="{A41FA126-21B9-4C50-BBB7-7B6B0735ABEE}"/>
    <cellStyle name="Comma 3 6 3 5" xfId="4289" xr:uid="{63EF9C60-A840-40DE-B16B-9FFEB7B2FBAF}"/>
    <cellStyle name="Comma 3 6 3 5 2" xfId="5616" xr:uid="{8E546FE0-4C9A-4433-807A-FB7537892C1D}"/>
    <cellStyle name="Comma 3 6 3 5 2 2" xfId="8233" xr:uid="{CF036124-120A-47AE-9469-B8392D4991F1}"/>
    <cellStyle name="Comma 3 6 3 5 3" xfId="6925" xr:uid="{5365949F-374F-4685-8D5B-7C41FA899C3B}"/>
    <cellStyle name="Comma 3 6 3 6" xfId="4679" xr:uid="{EE023209-BC7D-4DF6-8D3D-4E14E7135308}"/>
    <cellStyle name="Comma 3 6 3 6 2" xfId="7296" xr:uid="{2835A18A-8151-4D2B-906F-8BFF3ED547CF}"/>
    <cellStyle name="Comma 3 6 3 7" xfId="5988" xr:uid="{DBD8D4F6-47D8-4177-850F-0E36FB8BF8D1}"/>
    <cellStyle name="Comma 3 6 4" xfId="3438" xr:uid="{E14B93A6-95BB-424A-B590-DA47656FABC7}"/>
    <cellStyle name="Comma 3 6 4 2" xfId="3704" xr:uid="{D86C5ADA-E3E5-4DE5-A865-D51ACA4464EE}"/>
    <cellStyle name="Comma 3 6 4 2 2" xfId="4178" xr:uid="{4F72A3EC-56E7-4B5B-B21A-BEC71DAC2014}"/>
    <cellStyle name="Comma 3 6 4 2 2 2" xfId="5505" xr:uid="{4790C3B6-8286-407F-8370-2F6E231E34C3}"/>
    <cellStyle name="Comma 3 6 4 2 2 2 2" xfId="8122" xr:uid="{F5657C40-4755-448B-AAFE-26535FFF0D6B}"/>
    <cellStyle name="Comma 3 6 4 2 2 3" xfId="6814" xr:uid="{C6959B17-24A3-43DE-B18C-F2D89DC73ADD}"/>
    <cellStyle name="Comma 3 6 4 2 3" xfId="5033" xr:uid="{D8EB0723-90BB-442B-AD43-11935A30738A}"/>
    <cellStyle name="Comma 3 6 4 2 3 2" xfId="7650" xr:uid="{BAB64A55-033F-443C-96DF-AE814DE1EC16}"/>
    <cellStyle name="Comma 3 6 4 2 4" xfId="6342" xr:uid="{FAB70CD5-F9C4-4A6D-9195-560F0E432E4E}"/>
    <cellStyle name="Comma 3 6 4 3" xfId="3949" xr:uid="{1536929B-B841-4149-A90A-E77278390E53}"/>
    <cellStyle name="Comma 3 6 4 3 2" xfId="5276" xr:uid="{A7F534E8-0BEB-4346-B057-63A36F5F46E1}"/>
    <cellStyle name="Comma 3 6 4 3 2 2" xfId="7893" xr:uid="{38850D9D-F9CD-43EF-A83D-358F4C832B52}"/>
    <cellStyle name="Comma 3 6 4 3 3" xfId="6585" xr:uid="{72DA9413-D029-43A6-9078-047319EC1C1A}"/>
    <cellStyle name="Comma 3 6 4 4" xfId="4414" xr:uid="{A3230A34-AC55-4395-A5E7-A1746291CF12}"/>
    <cellStyle name="Comma 3 6 4 4 2" xfId="5741" xr:uid="{4EEDF320-6EF3-413B-815D-3C430DF58705}"/>
    <cellStyle name="Comma 3 6 4 4 2 2" xfId="8358" xr:uid="{505ED140-A966-4152-806F-6EF67801ADDF}"/>
    <cellStyle name="Comma 3 6 4 4 3" xfId="7050" xr:uid="{39F14833-33BB-48BE-828B-4C937F882205}"/>
    <cellStyle name="Comma 3 6 4 5" xfId="4804" xr:uid="{B3FE6516-8042-435B-B72B-091CF594258E}"/>
    <cellStyle name="Comma 3 6 4 5 2" xfId="7421" xr:uid="{2B2EA8B9-96D2-475C-9D7B-0451944639C0}"/>
    <cellStyle name="Comma 3 6 4 6" xfId="6113" xr:uid="{EC318274-2811-49BE-B21C-4A6AFB751687}"/>
    <cellStyle name="Comma 3 6 5" xfId="2939" xr:uid="{2D4036A9-4261-4BED-A372-C431896DCDFF}"/>
    <cellStyle name="Comma 3 6 5 2" xfId="3608" xr:uid="{7B471FB4-98BA-4914-BEB5-BCD1D03B1023}"/>
    <cellStyle name="Comma 3 6 5 2 2" xfId="4098" xr:uid="{E2FFB18D-1888-4AFB-ADC4-CFE46007D108}"/>
    <cellStyle name="Comma 3 6 5 2 2 2" xfId="5425" xr:uid="{874EDFA2-9BE3-4F71-98EE-2129BF3095CE}"/>
    <cellStyle name="Comma 3 6 5 2 2 2 2" xfId="8042" xr:uid="{C487794F-EE3B-42DD-B53E-689F306F3152}"/>
    <cellStyle name="Comma 3 6 5 2 2 3" xfId="6734" xr:uid="{BEF24841-3A08-456B-8584-4C2CEE6F3000}"/>
    <cellStyle name="Comma 3 6 5 2 3" xfId="4953" xr:uid="{115872F2-6ED6-4C49-B4CD-5130A9B554D8}"/>
    <cellStyle name="Comma 3 6 5 2 3 2" xfId="7570" xr:uid="{F20170C8-D8A8-4A14-9B06-21F697CB856E}"/>
    <cellStyle name="Comma 3 6 5 2 4" xfId="6262" xr:uid="{46595E1D-55EF-45CC-9349-E11F7E3DC0EC}"/>
    <cellStyle name="Comma 3 6 5 3" xfId="3869" xr:uid="{A00B21D9-2F3F-4E2F-AA0E-01E302CDD847}"/>
    <cellStyle name="Comma 3 6 5 3 2" xfId="5196" xr:uid="{BF0C37ED-7374-4A93-AC97-8E469BCA8C77}"/>
    <cellStyle name="Comma 3 6 5 3 2 2" xfId="7813" xr:uid="{F47302C5-FDC7-45AD-9D2A-10544D03F2D6}"/>
    <cellStyle name="Comma 3 6 5 3 3" xfId="6505" xr:uid="{7DAB9438-383B-4654-8084-89EDABC4B18B}"/>
    <cellStyle name="Comma 3 6 5 4" xfId="4334" xr:uid="{0E452E52-E4DD-45DC-9377-E2E733E35E24}"/>
    <cellStyle name="Comma 3 6 5 4 2" xfId="5661" xr:uid="{A9B5105A-4CAE-44BF-A78B-83CD9CD1E4C5}"/>
    <cellStyle name="Comma 3 6 5 4 2 2" xfId="8278" xr:uid="{76A7D57A-186A-4B0F-A920-DB416FD05398}"/>
    <cellStyle name="Comma 3 6 5 4 3" xfId="6970" xr:uid="{F4EF383E-3527-4190-A332-4F097B9F4803}"/>
    <cellStyle name="Comma 3 6 5 5" xfId="4724" xr:uid="{38D6C096-6263-4C51-8852-1C570C31C024}"/>
    <cellStyle name="Comma 3 6 5 5 2" xfId="7341" xr:uid="{3ED0B0F5-9EB8-44FF-A1D5-F8CE4C0CA2F4}"/>
    <cellStyle name="Comma 3 6 5 6" xfId="6033" xr:uid="{A2189B93-A621-4D1F-936D-B3A723CEE300}"/>
    <cellStyle name="Comma 3 6 6" xfId="3518" xr:uid="{1080763B-E43B-4A51-B60E-3351A50A5F10}"/>
    <cellStyle name="Comma 3 6 6 2" xfId="4008" xr:uid="{6AE25D34-2F01-4092-BE19-09A02A57513F}"/>
    <cellStyle name="Comma 3 6 6 2 2" xfId="5335" xr:uid="{0D4BDCEF-1CEE-45D4-AEDF-ED723AA98E3C}"/>
    <cellStyle name="Comma 3 6 6 2 2 2" xfId="7952" xr:uid="{CDC8A22C-B484-4BF0-B812-37476B48C6FC}"/>
    <cellStyle name="Comma 3 6 6 2 3" xfId="6644" xr:uid="{0C727898-2C6A-4F22-937E-23648BB4E0FF}"/>
    <cellStyle name="Comma 3 6 6 3" xfId="4484" xr:uid="{66E4EED1-DB1E-4C66-A9FF-FFBDF4F9DEAC}"/>
    <cellStyle name="Comma 3 6 6 3 2" xfId="5794" xr:uid="{9C87FEE3-7CF5-4778-AD6C-2E21058E8FEE}"/>
    <cellStyle name="Comma 3 6 6 3 2 2" xfId="8411" xr:uid="{B488F64F-1976-467F-8DAB-A81B25CB7B5D}"/>
    <cellStyle name="Comma 3 6 6 3 3" xfId="7103" xr:uid="{D9C77296-84AA-49BC-8FAD-76FCD149AAE9}"/>
    <cellStyle name="Comma 3 6 6 4" xfId="4863" xr:uid="{5BBF7C9E-AF4B-45F1-8E59-3FE8BF419883}"/>
    <cellStyle name="Comma 3 6 6 4 2" xfId="7480" xr:uid="{A34EF34D-1ED2-4C4A-B8D7-88B07DB316A8}"/>
    <cellStyle name="Comma 3 6 6 5" xfId="6172" xr:uid="{CCAA8A59-B5FB-4DE5-8FDA-6BBD8B13B903}"/>
    <cellStyle name="Comma 3 6 7" xfId="3779" xr:uid="{3DA56D1C-1996-4CAB-8977-56E6C2B19A82}"/>
    <cellStyle name="Comma 3 6 7 2" xfId="4530" xr:uid="{F36E6C77-0642-4BE2-ABA0-8D818F0FEC7E}"/>
    <cellStyle name="Comma 3 6 7 2 2" xfId="5839" xr:uid="{B21F3789-29D4-47C9-922C-C08775AE241C}"/>
    <cellStyle name="Comma 3 6 7 2 2 2" xfId="8456" xr:uid="{7AA76AE7-CC54-45EA-86E5-E51F4C0F77CC}"/>
    <cellStyle name="Comma 3 6 7 2 3" xfId="7148" xr:uid="{3DFC50E7-8D53-4989-83B2-4D19E1A6DC39}"/>
    <cellStyle name="Comma 3 6 7 3" xfId="5106" xr:uid="{0EF2B83F-3EED-40FB-892F-008FD79EEF9B}"/>
    <cellStyle name="Comma 3 6 7 3 2" xfId="7723" xr:uid="{B223557D-808B-4119-9542-9A0CDE69E9C4}"/>
    <cellStyle name="Comma 3 6 7 4" xfId="6415" xr:uid="{6B657CDA-CDEE-492A-B294-EA28B2CB5884}"/>
    <cellStyle name="Comma 3 6 8" xfId="4575" xr:uid="{6A3833E5-5857-4479-8C44-86316A6E2D06}"/>
    <cellStyle name="Comma 3 6 8 2" xfId="5884" xr:uid="{CAFFAB16-81A9-4848-9EB1-23EBAF11C8C0}"/>
    <cellStyle name="Comma 3 6 8 2 2" xfId="8501" xr:uid="{841E67F1-0FC2-4AC5-B939-89729CF10BA5}"/>
    <cellStyle name="Comma 3 6 8 3" xfId="7193" xr:uid="{0543F41C-F14F-49B6-B80B-78D7EF32AAEE}"/>
    <cellStyle name="Comma 3 6 9" xfId="4244" xr:uid="{9CBC51DA-3722-4611-B155-0F52DDB58F8C}"/>
    <cellStyle name="Comma 3 6 9 2" xfId="5571" xr:uid="{C183C667-E47B-4737-A78E-DB2F71765511}"/>
    <cellStyle name="Comma 3 6 9 2 2" xfId="8188" xr:uid="{32A80FF0-B104-4462-B05F-B13F09C27460}"/>
    <cellStyle name="Comma 3 6 9 3" xfId="6880" xr:uid="{C4159035-E370-45E7-9858-2A1FE591AA22}"/>
    <cellStyle name="Comma 3 7" xfId="2854" xr:uid="{55B40A91-9AB4-44DC-A48E-537FB2635E99}"/>
    <cellStyle name="Comma 3 7 10" xfId="5950" xr:uid="{ED62BC3D-44E6-4218-8E9D-6EB578B715E7}"/>
    <cellStyle name="Comma 3 7 2" xfId="2901" xr:uid="{5FC15697-3CA9-4508-B4BD-78464CD31305}"/>
    <cellStyle name="Comma 3 7 2 2" xfId="3002" xr:uid="{0CA2E23C-EB6F-424F-ACF3-40A3DB7D0816}"/>
    <cellStyle name="Comma 3 7 2 2 2" xfId="3671" xr:uid="{FED4822D-21F7-4019-BF54-34BDE2E40B15}"/>
    <cellStyle name="Comma 3 7 2 2 2 2" xfId="4145" xr:uid="{6DEE4932-E191-4C67-BEEB-0C80FF5ADBCB}"/>
    <cellStyle name="Comma 3 7 2 2 2 2 2" xfId="5472" xr:uid="{2A1A4D28-E477-4D68-BFE0-1B87A19006A6}"/>
    <cellStyle name="Comma 3 7 2 2 2 2 2 2" xfId="8089" xr:uid="{74958927-08A6-4C02-94B8-8300022FCC2E}"/>
    <cellStyle name="Comma 3 7 2 2 2 2 3" xfId="6781" xr:uid="{8A841F57-C8B9-4C74-9EDE-153247A332F4}"/>
    <cellStyle name="Comma 3 7 2 2 2 3" xfId="5000" xr:uid="{4877C05C-D1D4-4A92-8496-48AD0027DFCC}"/>
    <cellStyle name="Comma 3 7 2 2 2 3 2" xfId="7617" xr:uid="{51310072-95C7-4D82-9F55-984A53255F8F}"/>
    <cellStyle name="Comma 3 7 2 2 2 4" xfId="6309" xr:uid="{EB541DF3-AB4E-462C-A986-DD65C30C596F}"/>
    <cellStyle name="Comma 3 7 2 2 3" xfId="3916" xr:uid="{A70FDA8C-334B-44C4-8E04-8FFE66663C9F}"/>
    <cellStyle name="Comma 3 7 2 2 3 2" xfId="5243" xr:uid="{4B09F34B-D2E8-43F1-83C8-C2E72DC8AFD9}"/>
    <cellStyle name="Comma 3 7 2 2 3 2 2" xfId="7860" xr:uid="{68718A94-7656-4C09-AE3C-B1F34C821822}"/>
    <cellStyle name="Comma 3 7 2 2 3 3" xfId="6552" xr:uid="{FFCDA3BB-8443-4761-8E20-9D99E4FC22D0}"/>
    <cellStyle name="Comma 3 7 2 2 4" xfId="4381" xr:uid="{3F99F3B6-74DB-4E33-B9D6-4B7ADB3095C2}"/>
    <cellStyle name="Comma 3 7 2 2 4 2" xfId="5708" xr:uid="{5DA8814B-665B-45E5-8128-E2BABB36F2F6}"/>
    <cellStyle name="Comma 3 7 2 2 4 2 2" xfId="8325" xr:uid="{4D50AA62-8A12-441E-BA04-100F231A8A73}"/>
    <cellStyle name="Comma 3 7 2 2 4 3" xfId="7017" xr:uid="{8E198C5E-1EC7-4D29-9248-C66611353AB2}"/>
    <cellStyle name="Comma 3 7 2 2 5" xfId="4771" xr:uid="{1CB01921-D7C4-496E-9C62-0DB3DEC1838C}"/>
    <cellStyle name="Comma 3 7 2 2 5 2" xfId="7388" xr:uid="{F813FB76-56E3-4E90-8A15-BBF39FAC9E8B}"/>
    <cellStyle name="Comma 3 7 2 2 6" xfId="6080" xr:uid="{D227B1DE-B340-4403-AD95-FEC29E53A11C}"/>
    <cellStyle name="Comma 3 7 2 3" xfId="3570" xr:uid="{F6123F3E-F786-4442-84A7-86A08CC76F03}"/>
    <cellStyle name="Comma 3 7 2 3 2" xfId="4060" xr:uid="{9736A22A-3569-4804-97E4-7B325710351F}"/>
    <cellStyle name="Comma 3 7 2 3 2 2" xfId="5387" xr:uid="{8CC45EA5-326F-44F8-81B5-2C4AA9465F4A}"/>
    <cellStyle name="Comma 3 7 2 3 2 2 2" xfId="8004" xr:uid="{FE29B252-60D9-400E-9616-D9099351F353}"/>
    <cellStyle name="Comma 3 7 2 3 2 3" xfId="6696" xr:uid="{9F11E9CB-0989-41DD-8B9D-1E549A010626}"/>
    <cellStyle name="Comma 3 7 2 3 3" xfId="4915" xr:uid="{1F02DCE4-6C1B-4B89-A850-16D38702E6AA}"/>
    <cellStyle name="Comma 3 7 2 3 3 2" xfId="7532" xr:uid="{F41C4D20-4193-4EEA-A5F1-B4F3E38296CA}"/>
    <cellStyle name="Comma 3 7 2 3 4" xfId="6224" xr:uid="{5ECF6F84-A2D0-4DEB-857C-C4C4D7119E89}"/>
    <cellStyle name="Comma 3 7 2 4" xfId="3831" xr:uid="{394B3C97-556F-44E9-A5C1-18B2984C729D}"/>
    <cellStyle name="Comma 3 7 2 4 2" xfId="5158" xr:uid="{0B9C6216-4EB2-410A-9031-2C939C5A7B23}"/>
    <cellStyle name="Comma 3 7 2 4 2 2" xfId="7775" xr:uid="{DAC1DE61-C7AA-4F6A-ADC5-B587BE34670D}"/>
    <cellStyle name="Comma 3 7 2 4 3" xfId="6467" xr:uid="{E4FD47D9-CCD5-4A97-B485-5FA93990CC49}"/>
    <cellStyle name="Comma 3 7 2 5" xfId="4296" xr:uid="{5A810125-4939-44E9-BD79-36A95B4E1B6F}"/>
    <cellStyle name="Comma 3 7 2 5 2" xfId="5623" xr:uid="{7DEF62E0-52CF-4CEE-8447-15285A76C218}"/>
    <cellStyle name="Comma 3 7 2 5 2 2" xfId="8240" xr:uid="{CDD7B786-C62D-43F0-9111-6FA6F21051C8}"/>
    <cellStyle name="Comma 3 7 2 5 3" xfId="6932" xr:uid="{5A251336-8E6E-4FF8-AB80-555D1C18DFEA}"/>
    <cellStyle name="Comma 3 7 2 6" xfId="4686" xr:uid="{2E881E86-363E-40B1-99C4-725387600146}"/>
    <cellStyle name="Comma 3 7 2 6 2" xfId="7303" xr:uid="{5814EE91-C0C6-4CA9-9A83-3228C8D2C825}"/>
    <cellStyle name="Comma 3 7 2 7" xfId="5995" xr:uid="{CCFA27AD-BF02-4639-AA4D-985A65A57CC6}"/>
    <cellStyle name="Comma 3 7 3" xfId="3446" xr:uid="{6BCC77A9-5E6A-42FB-A650-A80C2B2AFF75}"/>
    <cellStyle name="Comma 3 7 3 2" xfId="3711" xr:uid="{1F93ABAE-D387-40E1-874B-F6B0FF10DD60}"/>
    <cellStyle name="Comma 3 7 3 2 2" xfId="4185" xr:uid="{F94597E5-5D62-46D3-ADEC-9F6A45354EC3}"/>
    <cellStyle name="Comma 3 7 3 2 2 2" xfId="5512" xr:uid="{B9C4121F-D9C4-45B6-A875-10AC5B26EE42}"/>
    <cellStyle name="Comma 3 7 3 2 2 2 2" xfId="8129" xr:uid="{1EEB55A8-95A7-43CC-84BF-7FE9AC3D5782}"/>
    <cellStyle name="Comma 3 7 3 2 2 3" xfId="6821" xr:uid="{9D42A40A-C2EE-4D48-A02E-49DC77AC5BA9}"/>
    <cellStyle name="Comma 3 7 3 2 3" xfId="5040" xr:uid="{F18850DA-D648-4631-A688-60918B7F552A}"/>
    <cellStyle name="Comma 3 7 3 2 3 2" xfId="7657" xr:uid="{06CB3A10-454D-45B8-8426-7CE71D9613B3}"/>
    <cellStyle name="Comma 3 7 3 2 4" xfId="6349" xr:uid="{E7D9006C-B16F-45C5-82A4-DCF9BA31CC6E}"/>
    <cellStyle name="Comma 3 7 3 3" xfId="3956" xr:uid="{C0592C63-94B0-478F-AA3A-19362A47BE9C}"/>
    <cellStyle name="Comma 3 7 3 3 2" xfId="5283" xr:uid="{AFC3AD7F-646E-405C-8F47-276299690F01}"/>
    <cellStyle name="Comma 3 7 3 3 2 2" xfId="7900" xr:uid="{1D122B9E-F981-434F-ABCD-C90FA389C4FF}"/>
    <cellStyle name="Comma 3 7 3 3 3" xfId="6592" xr:uid="{ABA76983-21CC-4C0F-BF4B-97E8E0B5D642}"/>
    <cellStyle name="Comma 3 7 3 4" xfId="4421" xr:uid="{11F7E7B9-7372-4949-B4B4-971A5034ECD9}"/>
    <cellStyle name="Comma 3 7 3 4 2" xfId="5748" xr:uid="{52A26906-4880-4F7A-87EC-276B372E30CE}"/>
    <cellStyle name="Comma 3 7 3 4 2 2" xfId="8365" xr:uid="{923A94F0-27D4-40B4-A899-26408CB016D8}"/>
    <cellStyle name="Comma 3 7 3 4 3" xfId="7057" xr:uid="{CCED8C67-43A3-4DFE-B0B1-41A4672FE717}"/>
    <cellStyle name="Comma 3 7 3 5" xfId="4811" xr:uid="{B3113533-8E33-4DE6-96C3-D0496460E236}"/>
    <cellStyle name="Comma 3 7 3 5 2" xfId="7428" xr:uid="{9766C47D-CBB7-4FEA-87ED-DB1D1B6E0712}"/>
    <cellStyle name="Comma 3 7 3 6" xfId="6120" xr:uid="{9826D455-EAA9-4750-980D-4F3857B52B2A}"/>
    <cellStyle name="Comma 3 7 4" xfId="2946" xr:uid="{7874155A-6C6D-499D-8A7C-5353A95E2735}"/>
    <cellStyle name="Comma 3 7 4 2" xfId="3615" xr:uid="{20059CE6-6314-459E-B521-5921E40A756C}"/>
    <cellStyle name="Comma 3 7 4 2 2" xfId="4105" xr:uid="{50531A26-40A5-4FD5-B308-FDB0A030AC06}"/>
    <cellStyle name="Comma 3 7 4 2 2 2" xfId="5432" xr:uid="{2A9D9969-CD85-4F91-86D1-93EC267F9709}"/>
    <cellStyle name="Comma 3 7 4 2 2 2 2" xfId="8049" xr:uid="{F6A7543C-110D-4CE5-BDBE-6485E0DEED26}"/>
    <cellStyle name="Comma 3 7 4 2 2 3" xfId="6741" xr:uid="{928EB492-6F8E-48B1-B2D7-D354CF6DC29F}"/>
    <cellStyle name="Comma 3 7 4 2 3" xfId="4960" xr:uid="{D783554B-2AAB-49FF-9D5E-4FC9086A08E1}"/>
    <cellStyle name="Comma 3 7 4 2 3 2" xfId="7577" xr:uid="{B852391D-6BAD-46B5-962B-22FFDFE48BC5}"/>
    <cellStyle name="Comma 3 7 4 2 4" xfId="6269" xr:uid="{586CE917-D059-4194-8DDC-B129CA5A1A3C}"/>
    <cellStyle name="Comma 3 7 4 3" xfId="3876" xr:uid="{418B7EEC-F7F5-44B2-8723-47E42FBC63B6}"/>
    <cellStyle name="Comma 3 7 4 3 2" xfId="5203" xr:uid="{7EFF0139-4785-4F2B-9F05-D4667A4A548C}"/>
    <cellStyle name="Comma 3 7 4 3 2 2" xfId="7820" xr:uid="{844EE6A7-7E59-43EF-919B-B701AD28E1D4}"/>
    <cellStyle name="Comma 3 7 4 3 3" xfId="6512" xr:uid="{1DA912DA-0FF3-48C5-B61D-35B44CD7BC67}"/>
    <cellStyle name="Comma 3 7 4 4" xfId="4341" xr:uid="{7BAE36A8-58C4-496F-8478-7E720F91441D}"/>
    <cellStyle name="Comma 3 7 4 4 2" xfId="5668" xr:uid="{674BC6D7-3684-4280-A91B-7757690B81F4}"/>
    <cellStyle name="Comma 3 7 4 4 2 2" xfId="8285" xr:uid="{4E19EB60-193A-4691-AFD5-AD3D0432388D}"/>
    <cellStyle name="Comma 3 7 4 4 3" xfId="6977" xr:uid="{9CBBAB90-2DF8-453C-A88F-F1EE643CB08D}"/>
    <cellStyle name="Comma 3 7 4 5" xfId="4731" xr:uid="{334865FE-566A-4C32-80AC-7AA4DFD66217}"/>
    <cellStyle name="Comma 3 7 4 5 2" xfId="7348" xr:uid="{DF9CF130-1490-4030-83F3-99DB460C5767}"/>
    <cellStyle name="Comma 3 7 4 6" xfId="6040" xr:uid="{ED295D3B-9EFA-4D6A-A37C-112471E3E340}"/>
    <cellStyle name="Comma 3 7 5" xfId="3525" xr:uid="{14E23C52-4FA2-4526-BF01-6D29D8541278}"/>
    <cellStyle name="Comma 3 7 5 2" xfId="4015" xr:uid="{CF97AF01-B39A-452C-90EF-E45D8A9AEB52}"/>
    <cellStyle name="Comma 3 7 5 2 2" xfId="5342" xr:uid="{509413FB-E829-4FEA-B9AF-01A85818666C}"/>
    <cellStyle name="Comma 3 7 5 2 2 2" xfId="7959" xr:uid="{54CE5FE4-FBBA-456D-B088-71C9EBE1C063}"/>
    <cellStyle name="Comma 3 7 5 2 3" xfId="6651" xr:uid="{D09F6CB6-7CD9-4607-8965-7D753CA96016}"/>
    <cellStyle name="Comma 3 7 5 3" xfId="4492" xr:uid="{F74CC00F-D844-46BC-BFD0-91003FA26CB3}"/>
    <cellStyle name="Comma 3 7 5 3 2" xfId="5801" xr:uid="{6FB0EB95-791D-493C-B742-685AB54C0878}"/>
    <cellStyle name="Comma 3 7 5 3 2 2" xfId="8418" xr:uid="{A57CB6A5-B92B-449E-A27F-145DF80BD08D}"/>
    <cellStyle name="Comma 3 7 5 3 3" xfId="7110" xr:uid="{254FF1B6-5967-4DD8-ABFE-A3D67182F20C}"/>
    <cellStyle name="Comma 3 7 5 4" xfId="4870" xr:uid="{95DFD130-7187-4EB2-987B-E864486A7A94}"/>
    <cellStyle name="Comma 3 7 5 4 2" xfId="7487" xr:uid="{E35F4BA9-2495-44E8-BE26-F4E134ACC80E}"/>
    <cellStyle name="Comma 3 7 5 5" xfId="6179" xr:uid="{264CDD0E-2E28-4CAE-AEF8-6823DDDFC8D8}"/>
    <cellStyle name="Comma 3 7 6" xfId="3786" xr:uid="{2AB4605D-21AE-4A5F-B1BA-1706EBB19B42}"/>
    <cellStyle name="Comma 3 7 6 2" xfId="4537" xr:uid="{8E85589B-AABE-4FFF-80C5-31453120BDB1}"/>
    <cellStyle name="Comma 3 7 6 2 2" xfId="5846" xr:uid="{401CADB2-877B-45B2-8553-C62606D8E1C2}"/>
    <cellStyle name="Comma 3 7 6 2 2 2" xfId="8463" xr:uid="{39319D28-49D4-4676-9A41-39BCB9F1F554}"/>
    <cellStyle name="Comma 3 7 6 2 3" xfId="7155" xr:uid="{24252A5E-186D-4AC9-8E5B-91F24FF6D908}"/>
    <cellStyle name="Comma 3 7 6 3" xfId="5113" xr:uid="{3C50D90B-54EA-45AC-B09A-FE76E58BEF9C}"/>
    <cellStyle name="Comma 3 7 6 3 2" xfId="7730" xr:uid="{B7C638E7-47ED-4FEA-9B49-A2FB13EBFEBB}"/>
    <cellStyle name="Comma 3 7 6 4" xfId="6422" xr:uid="{E606860F-D48B-4F06-B523-54F7EDAF4710}"/>
    <cellStyle name="Comma 3 7 7" xfId="4582" xr:uid="{75A410BB-D0E6-4BA1-9DE2-13F97DDDDA4F}"/>
    <cellStyle name="Comma 3 7 7 2" xfId="5891" xr:uid="{59BE50A8-44CA-432F-936B-093D359FC6D4}"/>
    <cellStyle name="Comma 3 7 7 2 2" xfId="8508" xr:uid="{F45A2769-9C4F-4972-A6FF-D6A83B9ECB27}"/>
    <cellStyle name="Comma 3 7 7 3" xfId="7200" xr:uid="{ABEDD857-1EE6-4B9F-A576-9FD6C3367592}"/>
    <cellStyle name="Comma 3 7 8" xfId="4251" xr:uid="{FF74E821-FADD-40CF-B03A-E8DFF2A3C5A4}"/>
    <cellStyle name="Comma 3 7 8 2" xfId="5578" xr:uid="{6B98538D-92AE-4832-B067-66BE7A8C3270}"/>
    <cellStyle name="Comma 3 7 8 2 2" xfId="8195" xr:uid="{0B1DCF03-B330-4FA3-A34F-576D71D46367}"/>
    <cellStyle name="Comma 3 7 8 3" xfId="6887" xr:uid="{FFEB66C3-BE4F-49CF-AAD2-A1413E01C955}"/>
    <cellStyle name="Comma 3 7 9" xfId="4641" xr:uid="{08638659-83FC-43B9-B486-FB10F5184EFE}"/>
    <cellStyle name="Comma 3 7 9 2" xfId="7258" xr:uid="{ADBB344A-6A9D-466B-9206-A6E0A13C0D07}"/>
    <cellStyle name="Comma 3 8" xfId="2884" xr:uid="{C9B36F34-9130-45D3-A320-1346E09E7C87}"/>
    <cellStyle name="Comma 3 8 2" xfId="2971" xr:uid="{C66229D5-25D3-410F-BC0E-43D220C9A4F2}"/>
    <cellStyle name="Comma 3 8 2 2" xfId="3640" xr:uid="{0E63BC05-6BCC-41C7-9EEF-4F073555BFC4}"/>
    <cellStyle name="Comma 3 8 2 2 2" xfId="4128" xr:uid="{940F9C94-B05C-460A-9ABF-6A9ED92C7B9C}"/>
    <cellStyle name="Comma 3 8 2 2 2 2" xfId="5455" xr:uid="{5DDDEA9A-4E90-41A0-951B-D689CE909A45}"/>
    <cellStyle name="Comma 3 8 2 2 2 2 2" xfId="8072" xr:uid="{46DAABE9-6A66-4ABF-94EB-E25F2A9B8F42}"/>
    <cellStyle name="Comma 3 8 2 2 2 3" xfId="6764" xr:uid="{E63B622F-01D8-47C2-A88A-02C032103C6C}"/>
    <cellStyle name="Comma 3 8 2 2 3" xfId="4983" xr:uid="{865ABDAA-A1F5-4318-AB4C-26D1AD603FA1}"/>
    <cellStyle name="Comma 3 8 2 2 3 2" xfId="7600" xr:uid="{FB5EF6D4-7D0A-43F8-AB5B-72B4289CA834}"/>
    <cellStyle name="Comma 3 8 2 2 4" xfId="6292" xr:uid="{798CFE24-3A4C-4968-8343-BFC2A94F24D7}"/>
    <cellStyle name="Comma 3 8 2 3" xfId="3899" xr:uid="{19B4F4BE-F8B1-45D0-82F5-E3FED94D108F}"/>
    <cellStyle name="Comma 3 8 2 3 2" xfId="5226" xr:uid="{A68E98C3-2083-4173-9A2D-A43F7E68EC56}"/>
    <cellStyle name="Comma 3 8 2 3 2 2" xfId="7843" xr:uid="{F76DDC2D-25A2-42B3-97F8-6D1CC6ADE5B2}"/>
    <cellStyle name="Comma 3 8 2 3 3" xfId="6535" xr:uid="{849C1CE6-810E-4348-B6D4-C903153C589C}"/>
    <cellStyle name="Comma 3 8 2 4" xfId="4364" xr:uid="{9C98BC1D-7730-42BE-B88C-64D531AF4E0B}"/>
    <cellStyle name="Comma 3 8 2 4 2" xfId="5691" xr:uid="{BBF3C2A0-016F-49E7-9F99-0FA0D05F3DBB}"/>
    <cellStyle name="Comma 3 8 2 4 2 2" xfId="8308" xr:uid="{1F89C78C-66F4-409C-BCC6-EEE441603A0A}"/>
    <cellStyle name="Comma 3 8 2 4 3" xfId="7000" xr:uid="{AC634BCC-863F-41CF-B6AD-CCE5CA264044}"/>
    <cellStyle name="Comma 3 8 2 5" xfId="4754" xr:uid="{3ED5E1C0-03D0-4231-A053-18E34B12C51A}"/>
    <cellStyle name="Comma 3 8 2 5 2" xfId="7371" xr:uid="{36355201-8F57-4C82-948A-DA0E8920075E}"/>
    <cellStyle name="Comma 3 8 2 6" xfId="6063" xr:uid="{96636ECB-FB2D-484B-AD95-7EEB9AA801F4}"/>
    <cellStyle name="Comma 3 8 3" xfId="3553" xr:uid="{42BDFCAE-3765-4057-9BC9-F0181DC541E3}"/>
    <cellStyle name="Comma 3 8 3 2" xfId="4043" xr:uid="{3BF8D3EE-8A70-4EEB-A501-DEADEBDECE43}"/>
    <cellStyle name="Comma 3 8 3 2 2" xfId="5370" xr:uid="{50B42105-CCD0-464F-BBAA-8F18B38E8D4D}"/>
    <cellStyle name="Comma 3 8 3 2 2 2" xfId="7987" xr:uid="{C7A8FF08-7D51-4AAE-A37C-B04EADBD35A0}"/>
    <cellStyle name="Comma 3 8 3 2 3" xfId="6679" xr:uid="{1B892689-C9B2-4345-99C7-7F223682C999}"/>
    <cellStyle name="Comma 3 8 3 3" xfId="4898" xr:uid="{972C744F-797C-467F-9BE1-1200C97A3249}"/>
    <cellStyle name="Comma 3 8 3 3 2" xfId="7515" xr:uid="{05977E01-41CC-4634-99CA-AB64DCAB0071}"/>
    <cellStyle name="Comma 3 8 3 4" xfId="6207" xr:uid="{97C5C1F5-1692-45C9-A107-75F6F821108A}"/>
    <cellStyle name="Comma 3 8 4" xfId="3814" xr:uid="{70138C49-F12C-42CB-88C0-28E7FC8681B7}"/>
    <cellStyle name="Comma 3 8 4 2" xfId="5141" xr:uid="{6F2C8242-D83A-4EB1-8CFE-4B45B6797E8F}"/>
    <cellStyle name="Comma 3 8 4 2 2" xfId="7758" xr:uid="{254D895D-5BD0-43C0-BE8A-170DCC6C6875}"/>
    <cellStyle name="Comma 3 8 4 3" xfId="6450" xr:uid="{757D12B4-0B04-41B0-8A7D-C366DD88B339}"/>
    <cellStyle name="Comma 3 8 5" xfId="4279" xr:uid="{CDB06C4E-F816-4F6F-BEA4-D82F4022915B}"/>
    <cellStyle name="Comma 3 8 5 2" xfId="5606" xr:uid="{45496C59-2E4D-4C1C-8333-62D928613FFE}"/>
    <cellStyle name="Comma 3 8 5 2 2" xfId="8223" xr:uid="{C667E205-D8E2-422A-A629-4BF24418B9E8}"/>
    <cellStyle name="Comma 3 8 5 3" xfId="6915" xr:uid="{563D0217-8ACB-43D3-A389-FA94E7521353}"/>
    <cellStyle name="Comma 3 8 6" xfId="4669" xr:uid="{B2D17A89-0C57-4596-B1B9-FB5B8BCC99CE}"/>
    <cellStyle name="Comma 3 8 6 2" xfId="7286" xr:uid="{66281536-D4A3-4FA6-87A1-1AECE3CA3FF7}"/>
    <cellStyle name="Comma 3 8 7" xfId="5978" xr:uid="{30C2D2F2-4413-4893-A772-F515E6E07600}"/>
    <cellStyle name="Comma 3 9" xfId="3039" xr:uid="{3C8CAE85-D6B1-4E5C-BEC0-FA4EEF3BBF18}"/>
    <cellStyle name="Comma 3 9 2" xfId="3694" xr:uid="{E3E723CF-DE91-4D77-91A1-CED072A62EB6}"/>
    <cellStyle name="Comma 3 9 2 2" xfId="4168" xr:uid="{567DBF8B-6BDF-41BF-B027-959B78346064}"/>
    <cellStyle name="Comma 3 9 2 2 2" xfId="5495" xr:uid="{176D5C21-846B-4C34-BCE0-C5B7B3378B9D}"/>
    <cellStyle name="Comma 3 9 2 2 2 2" xfId="8112" xr:uid="{E73E7034-DE69-4D66-A0FA-E960D60F5C2C}"/>
    <cellStyle name="Comma 3 9 2 2 3" xfId="6804" xr:uid="{732BF51A-5CAE-47C1-B4D0-B9E357F809BB}"/>
    <cellStyle name="Comma 3 9 2 3" xfId="5023" xr:uid="{3BF01326-4630-421F-9125-3D300052F5F1}"/>
    <cellStyle name="Comma 3 9 2 3 2" xfId="7640" xr:uid="{B5097050-4F6A-48B6-AFC8-9F6D21AC7561}"/>
    <cellStyle name="Comma 3 9 2 4" xfId="6332" xr:uid="{50B36A8C-8EAD-4F7D-9941-76EF2A72EE2E}"/>
    <cellStyle name="Comma 3 9 3" xfId="3939" xr:uid="{6F646D1A-03C5-4015-94C0-B5A852B0E87B}"/>
    <cellStyle name="Comma 3 9 3 2" xfId="5266" xr:uid="{C6962FB0-CEDD-4781-BF10-827AA5ACE8C3}"/>
    <cellStyle name="Comma 3 9 3 2 2" xfId="7883" xr:uid="{CD9A6F38-1252-48FB-A532-A3A8C6C78720}"/>
    <cellStyle name="Comma 3 9 3 3" xfId="6575" xr:uid="{29121860-72A9-4239-81AD-9ABA44E926EA}"/>
    <cellStyle name="Comma 3 9 4" xfId="4404" xr:uid="{C834C5D9-3440-4D29-830F-120245EBC9F7}"/>
    <cellStyle name="Comma 3 9 4 2" xfId="5731" xr:uid="{D993DCCC-D468-4A7B-9E6E-1A9C75891857}"/>
    <cellStyle name="Comma 3 9 4 2 2" xfId="8348" xr:uid="{730765E3-A1F8-47D6-80FB-63AB50B348A4}"/>
    <cellStyle name="Comma 3 9 4 3" xfId="7040" xr:uid="{65A57B0D-61F2-4ECE-B9BF-59F4BF229247}"/>
    <cellStyle name="Comma 3 9 5" xfId="4794" xr:uid="{DD373632-CE46-43E7-B518-12B50C89E82F}"/>
    <cellStyle name="Comma 3 9 5 2" xfId="7411" xr:uid="{7091BC60-9755-496A-ACD7-0E31CE1B5AB1}"/>
    <cellStyle name="Comma 3 9 6" xfId="6103" xr:uid="{9A359E6D-C542-43E4-8527-750C8D7BEB24}"/>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10" xfId="5963" xr:uid="{0CB55CD5-910A-44F5-AA8A-EB1FEDDEB9A1}"/>
    <cellStyle name="Comma 5 2" xfId="2914" xr:uid="{B42125D4-469B-4057-8BAC-A801C26EF53B}"/>
    <cellStyle name="Comma 5 2 2" xfId="3015" xr:uid="{01FBB12D-FA62-4FAD-9737-CC8FEC86C270}"/>
    <cellStyle name="Comma 5 2 2 2" xfId="3684" xr:uid="{1A61A69A-1C2C-46FD-96B7-7B637E3B4F3A}"/>
    <cellStyle name="Comma 5 2 2 2 2" xfId="4158" xr:uid="{870AE2F2-E0E5-4FF9-816C-C3E760DE680C}"/>
    <cellStyle name="Comma 5 2 2 2 2 2" xfId="5485" xr:uid="{94553453-84C1-475B-AF80-2E7A825D6FB6}"/>
    <cellStyle name="Comma 5 2 2 2 2 2 2" xfId="8102" xr:uid="{B08F872E-A1D0-43AD-8CA8-FF857D997AAF}"/>
    <cellStyle name="Comma 5 2 2 2 2 3" xfId="6794" xr:uid="{6288F8AB-0613-4BE5-9ACE-35E62E37FD8A}"/>
    <cellStyle name="Comma 5 2 2 2 3" xfId="5013" xr:uid="{F1A65EF7-DF15-435B-9562-566E9193FB09}"/>
    <cellStyle name="Comma 5 2 2 2 3 2" xfId="7630" xr:uid="{CB673FCF-A107-4771-A50E-703EC9296A99}"/>
    <cellStyle name="Comma 5 2 2 2 4" xfId="6322" xr:uid="{B4617028-FC9B-4504-ABD8-C2B37BE99F4B}"/>
    <cellStyle name="Comma 5 2 2 3" xfId="3929" xr:uid="{62E46798-03B4-4D1A-975B-B765DB9DC598}"/>
    <cellStyle name="Comma 5 2 2 3 2" xfId="5256" xr:uid="{F07C526F-AE56-4170-B57E-28E23CE30427}"/>
    <cellStyle name="Comma 5 2 2 3 2 2" xfId="7873" xr:uid="{64EADB10-CEC3-4D49-959E-FF5139FBF918}"/>
    <cellStyle name="Comma 5 2 2 3 3" xfId="6565" xr:uid="{6DEF979F-28C3-420F-9D05-7D97C4FD9EF1}"/>
    <cellStyle name="Comma 5 2 2 4" xfId="4394" xr:uid="{5C8D5359-B9D5-446D-8FA2-BC00C92E90CB}"/>
    <cellStyle name="Comma 5 2 2 4 2" xfId="5721" xr:uid="{6F5DC577-D83D-4894-A1A2-A7BF5721F329}"/>
    <cellStyle name="Comma 5 2 2 4 2 2" xfId="8338" xr:uid="{B5457920-2D7E-4DF9-92F6-3EFDFE0E8331}"/>
    <cellStyle name="Comma 5 2 2 4 3" xfId="7030" xr:uid="{74E71CD6-6C02-49F8-BF1F-862A08E3FB5F}"/>
    <cellStyle name="Comma 5 2 2 5" xfId="4784" xr:uid="{E5ABC90D-756C-4656-B07C-040331584394}"/>
    <cellStyle name="Comma 5 2 2 5 2" xfId="7401" xr:uid="{B58E3BBC-FB90-4FCB-B9B0-8A3422431289}"/>
    <cellStyle name="Comma 5 2 2 6" xfId="6093" xr:uid="{196561B1-E178-4F4F-97A0-2AEA7F70E618}"/>
    <cellStyle name="Comma 5 2 3" xfId="3583" xr:uid="{62BEFAF8-5C29-4B53-B718-116974703191}"/>
    <cellStyle name="Comma 5 2 3 2" xfId="4073" xr:uid="{0281CFE5-3188-4C1E-854A-7BB82956DFDE}"/>
    <cellStyle name="Comma 5 2 3 2 2" xfId="5400" xr:uid="{A63393E4-5E2F-4CE9-AA4C-4E614836AA42}"/>
    <cellStyle name="Comma 5 2 3 2 2 2" xfId="8017" xr:uid="{72C0FA15-75F9-4DEB-AFA4-64535457F932}"/>
    <cellStyle name="Comma 5 2 3 2 3" xfId="6709" xr:uid="{09A5AE7A-042F-43D6-8AA5-B8BFCE2AC104}"/>
    <cellStyle name="Comma 5 2 3 3" xfId="4928" xr:uid="{43B516AE-8B47-4457-A7EF-BA48B1D8EA91}"/>
    <cellStyle name="Comma 5 2 3 3 2" xfId="7545" xr:uid="{0978145E-CF20-45E6-BA32-E64F07909B92}"/>
    <cellStyle name="Comma 5 2 3 4" xfId="6237" xr:uid="{264B6C02-EDEC-48F5-884E-2071EC0DD26E}"/>
    <cellStyle name="Comma 5 2 4" xfId="3844" xr:uid="{4B68DF07-24D7-4CAD-9B77-49D8014CF340}"/>
    <cellStyle name="Comma 5 2 4 2" xfId="5171" xr:uid="{CFDEE594-60CC-4775-A3B4-85361893405B}"/>
    <cellStyle name="Comma 5 2 4 2 2" xfId="7788" xr:uid="{DD81FD28-6926-4E48-BFD0-DEC983406196}"/>
    <cellStyle name="Comma 5 2 4 3" xfId="6480" xr:uid="{C9AA6C48-4C5A-4994-B75C-9BA8B5BFD915}"/>
    <cellStyle name="Comma 5 2 5" xfId="4309" xr:uid="{2D0FEC29-4B56-46A9-A0E2-C19381EC2C6C}"/>
    <cellStyle name="Comma 5 2 5 2" xfId="5636" xr:uid="{A54C70A8-2D76-4E94-AEA6-6EA343ADCF44}"/>
    <cellStyle name="Comma 5 2 5 2 2" xfId="8253" xr:uid="{D5D91760-76DB-488D-87CE-4A156C9212DD}"/>
    <cellStyle name="Comma 5 2 5 3" xfId="6945" xr:uid="{8E30AEE3-3550-4F20-A589-1314C7765811}"/>
    <cellStyle name="Comma 5 2 6" xfId="4699" xr:uid="{6E4199C2-B113-4E0E-9952-402ED9A7FD9E}"/>
    <cellStyle name="Comma 5 2 6 2" xfId="7316" xr:uid="{2D5C81BF-B635-4D96-A124-F33F3FE1DDB7}"/>
    <cellStyle name="Comma 5 2 7" xfId="6008" xr:uid="{6EDDE00B-205B-44EA-9B58-7BD0D06CE85A}"/>
    <cellStyle name="Comma 5 3" xfId="3459" xr:uid="{0B6DD5F4-4107-4CA4-A2E3-D7AB3A9A1363}"/>
    <cellStyle name="Comma 5 3 2" xfId="3724" xr:uid="{AB56FAF0-0D2B-4E84-ABDF-D24B4DFBDEFF}"/>
    <cellStyle name="Comma 5 3 2 2" xfId="4198" xr:uid="{0CEAAA86-B364-4B1B-99C5-295AA82A7578}"/>
    <cellStyle name="Comma 5 3 2 2 2" xfId="5525" xr:uid="{FF4A005F-DCB2-4049-99DB-E4055C9B0F15}"/>
    <cellStyle name="Comma 5 3 2 2 2 2" xfId="8142" xr:uid="{E30833C1-3279-4163-B5B4-227F14174E06}"/>
    <cellStyle name="Comma 5 3 2 2 3" xfId="6834" xr:uid="{C7C668C6-8CD8-43E2-9B6E-DCEE554048F7}"/>
    <cellStyle name="Comma 5 3 2 3" xfId="5053" xr:uid="{BF65A1BA-A56B-4A83-A3BF-D555B0CB9878}"/>
    <cellStyle name="Comma 5 3 2 3 2" xfId="7670" xr:uid="{F4D31423-86E1-47F9-B5C0-03D67502CA72}"/>
    <cellStyle name="Comma 5 3 2 4" xfId="6362" xr:uid="{43EDC89C-8650-4543-9BEA-5AA9B2302951}"/>
    <cellStyle name="Comma 5 3 3" xfId="3969" xr:uid="{F85CE1DF-C89D-4DA6-8200-3A67542F65B3}"/>
    <cellStyle name="Comma 5 3 3 2" xfId="5296" xr:uid="{D637A17C-6A09-4044-ACB1-1F8D73CB1E5A}"/>
    <cellStyle name="Comma 5 3 3 2 2" xfId="7913" xr:uid="{AEB69C01-9193-4AF4-9455-3A2C06972839}"/>
    <cellStyle name="Comma 5 3 3 3" xfId="6605" xr:uid="{0B28CAD6-12F1-4DFB-970D-3F8509824179}"/>
    <cellStyle name="Comma 5 3 4" xfId="4434" xr:uid="{10CFBF1A-0570-4B84-85DD-9EF7EB0DC519}"/>
    <cellStyle name="Comma 5 3 4 2" xfId="5761" xr:uid="{7B1C832C-CC36-4633-A3CB-51DA7109F300}"/>
    <cellStyle name="Comma 5 3 4 2 2" xfId="8378" xr:uid="{5442E152-5E38-4783-A649-1F4D89E12C0F}"/>
    <cellStyle name="Comma 5 3 4 3" xfId="7070" xr:uid="{DD3D30F9-01FE-4EAC-A1D5-6401E7FD3B35}"/>
    <cellStyle name="Comma 5 3 5" xfId="4824" xr:uid="{05BDE3EB-9F69-4C2D-8259-221562997A1E}"/>
    <cellStyle name="Comma 5 3 5 2" xfId="7441" xr:uid="{1D62FAF3-4CE9-450A-90BF-6BA06FA9C188}"/>
    <cellStyle name="Comma 5 3 6" xfId="6133" xr:uid="{1F70BD71-D5A3-4B03-A25B-3BF68B1D9995}"/>
    <cellStyle name="Comma 5 4" xfId="2959" xr:uid="{BD4641BD-368C-4B1B-8C20-165DBCF2D8FC}"/>
    <cellStyle name="Comma 5 4 2" xfId="3628" xr:uid="{8B085F66-FD5D-4DD6-944F-EEA6294E187A}"/>
    <cellStyle name="Comma 5 4 2 2" xfId="4118" xr:uid="{D444AE0A-36A4-4FEA-83A8-37CC3F3AEF8D}"/>
    <cellStyle name="Comma 5 4 2 2 2" xfId="5445" xr:uid="{423D2230-7D5B-4E99-85C8-079C74003118}"/>
    <cellStyle name="Comma 5 4 2 2 2 2" xfId="8062" xr:uid="{A1E1D698-76EC-4B0D-BC33-4F2326371231}"/>
    <cellStyle name="Comma 5 4 2 2 3" xfId="6754" xr:uid="{79854AE8-B81E-4CBC-AF96-45B64572B75A}"/>
    <cellStyle name="Comma 5 4 2 3" xfId="4973" xr:uid="{CCE30553-79B6-485A-B62C-C9376E1A6983}"/>
    <cellStyle name="Comma 5 4 2 3 2" xfId="7590" xr:uid="{55C4CF8B-E7F0-4E0F-AFC2-657148DAF0FD}"/>
    <cellStyle name="Comma 5 4 2 4" xfId="6282" xr:uid="{86DCAFDC-1865-4133-B400-E5E80C8FF1A9}"/>
    <cellStyle name="Comma 5 4 3" xfId="3889" xr:uid="{93B1812F-B676-4448-A86C-01357C3459B1}"/>
    <cellStyle name="Comma 5 4 3 2" xfId="5216" xr:uid="{9BBDA84B-A322-4427-AE1A-9B5A880530C1}"/>
    <cellStyle name="Comma 5 4 3 2 2" xfId="7833" xr:uid="{52BD031E-61B3-4623-9FAB-1EFA5992A53D}"/>
    <cellStyle name="Comma 5 4 3 3" xfId="6525" xr:uid="{43482DA8-93B6-40F2-8163-D97F2E08CC8D}"/>
    <cellStyle name="Comma 5 4 4" xfId="4354" xr:uid="{FDF34999-B067-40D6-BD03-585AE1F7A0DE}"/>
    <cellStyle name="Comma 5 4 4 2" xfId="5681" xr:uid="{D4573BFB-8E32-4128-9E27-B2F440A82049}"/>
    <cellStyle name="Comma 5 4 4 2 2" xfId="8298" xr:uid="{F29491C2-F5BF-40DC-8208-9DFCC88C1597}"/>
    <cellStyle name="Comma 5 4 4 3" xfId="6990" xr:uid="{CE950BA1-FE42-4985-B54F-BD1AB5E1597E}"/>
    <cellStyle name="Comma 5 4 5" xfId="4744" xr:uid="{DEDA2B8D-0EF3-477A-A4A5-BF09F9731C68}"/>
    <cellStyle name="Comma 5 4 5 2" xfId="7361" xr:uid="{2E768B6F-D560-4E87-9426-9F1B1DF1C04F}"/>
    <cellStyle name="Comma 5 4 6" xfId="6053" xr:uid="{17BF4F2D-9020-4393-A044-F11A483468AF}"/>
    <cellStyle name="Comma 5 5" xfId="3538" xr:uid="{9CA2F56D-1D50-47EC-92E7-BED589E2846D}"/>
    <cellStyle name="Comma 5 5 2" xfId="4028" xr:uid="{EF3AFAEF-5346-4E3C-A05E-DCBB31166534}"/>
    <cellStyle name="Comma 5 5 2 2" xfId="5355" xr:uid="{E80F6851-B798-45AA-91FB-B0B139CA3028}"/>
    <cellStyle name="Comma 5 5 2 2 2" xfId="7972" xr:uid="{A909DC62-18D2-4718-ABC7-5A889B0E1D59}"/>
    <cellStyle name="Comma 5 5 2 3" xfId="6664" xr:uid="{90F68D51-8CCF-40C8-A7E5-DF9A7383FEAC}"/>
    <cellStyle name="Comma 5 5 3" xfId="4505" xr:uid="{D0B57871-B055-4F18-8D87-4184B8E907BE}"/>
    <cellStyle name="Comma 5 5 3 2" xfId="5814" xr:uid="{BA637AB4-B762-49F0-890C-7516A5F0378C}"/>
    <cellStyle name="Comma 5 5 3 2 2" xfId="8431" xr:uid="{BF3105B0-43A4-40DA-8846-75A5E415254F}"/>
    <cellStyle name="Comma 5 5 3 3" xfId="7123" xr:uid="{FD2D32EA-D9A4-4D3A-82E7-1876D0A89D8F}"/>
    <cellStyle name="Comma 5 5 4" xfId="4883" xr:uid="{7A7F3564-87D3-469F-A5D7-864268D0462C}"/>
    <cellStyle name="Comma 5 5 4 2" xfId="7500" xr:uid="{9392EE0E-38B2-40C8-B3C0-E3D23D572E62}"/>
    <cellStyle name="Comma 5 5 5" xfId="6192" xr:uid="{A330F597-A872-4F5D-864B-D6889B295031}"/>
    <cellStyle name="Comma 5 6" xfId="3799" xr:uid="{B250C896-A639-4888-B8C3-E2C78D3FB90C}"/>
    <cellStyle name="Comma 5 6 2" xfId="4550" xr:uid="{09AA6FA7-CD45-4A2E-9029-9CE1B001C431}"/>
    <cellStyle name="Comma 5 6 2 2" xfId="5859" xr:uid="{7A5465E8-B971-4522-93B7-2F9654504F78}"/>
    <cellStyle name="Comma 5 6 2 2 2" xfId="8476" xr:uid="{C946DF84-D114-4061-8C8D-B8D35EA223EF}"/>
    <cellStyle name="Comma 5 6 2 3" xfId="7168" xr:uid="{1A18BF81-54EE-4034-9F32-57608EDFEFF0}"/>
    <cellStyle name="Comma 5 6 3" xfId="5126" xr:uid="{12C706B7-E64F-4E29-B50A-DC10E18E76BE}"/>
    <cellStyle name="Comma 5 6 3 2" xfId="7743" xr:uid="{987DFDE9-4111-4D9C-99E6-7EA57EF7412C}"/>
    <cellStyle name="Comma 5 6 4" xfId="6435" xr:uid="{870176A7-1AFA-4BDD-B0C6-462B76394655}"/>
    <cellStyle name="Comma 5 7" xfId="4595" xr:uid="{BAC2BEC1-B2A3-4F28-9F56-4D3AE252FE8C}"/>
    <cellStyle name="Comma 5 7 2" xfId="5904" xr:uid="{C5633CC3-D827-44F0-A969-ED0A66969291}"/>
    <cellStyle name="Comma 5 7 2 2" xfId="8521" xr:uid="{55E0ACA2-C6C8-479B-A056-4F95B60938FC}"/>
    <cellStyle name="Comma 5 7 3" xfId="7213" xr:uid="{209D4418-130C-4D41-BCB6-B213502474E9}"/>
    <cellStyle name="Comma 5 8" xfId="4264" xr:uid="{EC0FD3ED-3AEF-48D7-985A-2CFA180E6C00}"/>
    <cellStyle name="Comma 5 8 2" xfId="5591" xr:uid="{C9F12D26-6B58-428A-A6F0-E2B103C5A28D}"/>
    <cellStyle name="Comma 5 8 2 2" xfId="8208" xr:uid="{3570ADFF-0B80-441A-A1E1-D1D914BEA774}"/>
    <cellStyle name="Comma 5 8 3" xfId="6900" xr:uid="{44145B0B-0130-4FD1-A96B-62CA2D6EC342}"/>
    <cellStyle name="Comma 5 9" xfId="4654" xr:uid="{55B9088A-E156-4086-B771-8C65F536B22C}"/>
    <cellStyle name="Comma 5 9 2" xfId="7271" xr:uid="{201079A3-818D-4A2D-A2FE-8AC9C8EA066B}"/>
    <cellStyle name="Comma 58 2" xfId="1739" xr:uid="{0A8BC880-0544-4B8B-85FA-3F064FCB882F}"/>
    <cellStyle name="Comma 6" xfId="3480" xr:uid="{2F647900-AECC-4EC3-B7E1-70600B07B3B9}"/>
    <cellStyle name="Comma 6 2" xfId="3727" xr:uid="{478A7263-B51A-4F65-99EC-CEC9C2D4F793}"/>
    <cellStyle name="Comma 6 2 2" xfId="4201" xr:uid="{77F0A922-1CC9-4D09-8A57-FAAE4D391CA8}"/>
    <cellStyle name="Comma 6 2 2 2" xfId="5528" xr:uid="{E0BFF9F9-298F-48EF-B606-31D5EB8EDAAB}"/>
    <cellStyle name="Comma 6 2 2 2 2" xfId="8145" xr:uid="{6913C605-65DC-4682-921F-3E4E57C71FB3}"/>
    <cellStyle name="Comma 6 2 2 3" xfId="6837" xr:uid="{E5F90136-67E0-494F-8E1E-DE721F40DF9A}"/>
    <cellStyle name="Comma 6 2 3" xfId="5056" xr:uid="{9FE37023-107D-496C-A97C-7629C68E85D0}"/>
    <cellStyle name="Comma 6 2 3 2" xfId="7673" xr:uid="{FC9D4136-5123-4090-95D9-7211362D1D17}"/>
    <cellStyle name="Comma 6 2 4" xfId="6365" xr:uid="{723E2A4D-A2F4-44E1-9477-84A64BE9800E}"/>
    <cellStyle name="Comma 6 3" xfId="3972" xr:uid="{AA689381-65B1-47B4-A564-1A3605ADD5DA}"/>
    <cellStyle name="Comma 6 3 2" xfId="5299" xr:uid="{269D61D3-C1C1-4AEC-A6B4-041AE18786CF}"/>
    <cellStyle name="Comma 6 3 2 2" xfId="7916" xr:uid="{07E4A978-26A7-4082-A615-DC5A4CC61B58}"/>
    <cellStyle name="Comma 6 3 3" xfId="6608" xr:uid="{DF7BCF5E-9F43-4662-B7B9-FBD582ECDE88}"/>
    <cellStyle name="Comma 6 4" xfId="4437" xr:uid="{2D11AEAB-D710-47C2-AFAC-112BDCF754E4}"/>
    <cellStyle name="Comma 6 4 2" xfId="5764" xr:uid="{AF9CF961-C0B7-4703-AC5E-85E6D5B4B065}"/>
    <cellStyle name="Comma 6 4 2 2" xfId="8381" xr:uid="{1A085773-D760-4152-BD0A-31958D8E9D77}"/>
    <cellStyle name="Comma 6 4 3" xfId="7073" xr:uid="{344DF4B0-301A-43E7-AE0F-8D15BB6F91F1}"/>
    <cellStyle name="Comma 6 5" xfId="4827" xr:uid="{5890C768-0210-4DCD-ABB3-F95B56030AF1}"/>
    <cellStyle name="Comma 6 5 2" xfId="7444" xr:uid="{D550F39A-0A21-44B3-AF2C-21B7C8315805}"/>
    <cellStyle name="Comma 6 6" xfId="6136" xr:uid="{94A8FC01-C2AB-46ED-A4EB-6CBAEF904EF9}"/>
    <cellStyle name="Comma 7" xfId="3489" xr:uid="{B85F0E73-3223-4595-8AAA-D12E56954A25}"/>
    <cellStyle name="Comma 8" xfId="3737" xr:uid="{0BE5ACB8-7A2C-41BF-AAE3-6976D131805D}"/>
    <cellStyle name="Comma 8 2" xfId="4211" xr:uid="{AF056876-2B40-4304-8B28-F04EC74E48D0}"/>
    <cellStyle name="Comma 8 2 2" xfId="5538" xr:uid="{348D0FFD-2B9D-4706-838B-B123D34CBCDA}"/>
    <cellStyle name="Comma 8 2 2 2" xfId="8155" xr:uid="{871609AB-ACA0-4122-A692-097C9B5F7281}"/>
    <cellStyle name="Comma 8 2 3" xfId="6847" xr:uid="{DEB6286C-8E6F-4A50-82DD-EB0F94ACBECE}"/>
    <cellStyle name="Comma 8 3" xfId="5066" xr:uid="{4BD0E994-7746-428A-A4E1-0C9FFB08BE7A}"/>
    <cellStyle name="Comma 8 3 2" xfId="7683" xr:uid="{69CE6FAE-5A99-4000-A449-1931D76EAAB0}"/>
    <cellStyle name="Comma 8 4" xfId="6375" xr:uid="{D3AAA02B-79F5-4EC5-8185-1B4C74CDC61C}"/>
    <cellStyle name="Comma 9" xfId="3744" xr:uid="{36761C9E-5FD1-4E2F-A165-FBB48124FC43}"/>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3" xr:uid="{F07ACFCD-CEAE-426D-8769-091CF2DB102E}"/>
    <cellStyle name="Currency 4 2 2" xfId="5540" xr:uid="{CEA6384E-7075-4AB1-AAB9-E8779256E1AB}"/>
    <cellStyle name="Currency 4 2 2 2" xfId="8157" xr:uid="{7272A95C-DF23-478A-AAEC-C7D12D962907}"/>
    <cellStyle name="Currency 4 2 3" xfId="6849" xr:uid="{8C1F9946-DB5F-44B1-A21C-023C283F745D}"/>
    <cellStyle name="Currency 4 3" xfId="5068" xr:uid="{6BA131FB-4FF8-4DB7-8DC8-178886130905}"/>
    <cellStyle name="Currency 4 3 2" xfId="7685" xr:uid="{54409562-1488-4851-97E5-949780C7B60E}"/>
    <cellStyle name="Currency 4 4" xfId="6377" xr:uid="{1BAC0889-9468-411B-BFA3-7A0738580D41}"/>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ecimal 2 (e.g. 1,000.00) 2" xfId="4469" xr:uid="{BFFCB129-5B75-479B-AA29-2EC0A6C3DB2F}"/>
    <cellStyle name="Double Underline" xfId="151" xr:uid="{A3470995-256A-4DF7-9A5E-7EFF05D979E0}"/>
    <cellStyle name="Double Underscore" xfId="152" xr:uid="{B8092D67-2CC6-479B-BE0D-9F92487F64FA}"/>
    <cellStyle name="Double Underscore 2" xfId="4470" xr:uid="{8763E6F4-833F-41A4-8EB8-524957473989}"/>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 000s (Convert to 000s) 2" xfId="4471" xr:uid="{DCB1B428-4872-4856-BC6D-7BE34BC50A2D}"/>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9" xr:uid="{CC7AE137-2BDB-4CAE-A3ED-31FB44B75A81}"/>
    <cellStyle name="Normal 10 3 2" xfId="5306" xr:uid="{9C08D632-8D01-4687-A2C5-8DE8FDFF0F89}"/>
    <cellStyle name="Normal 10 3 2 2" xfId="7923" xr:uid="{285876B0-E466-40CD-8EF4-398A0A100A79}"/>
    <cellStyle name="Normal 10 3 3" xfId="6615" xr:uid="{A9052379-0396-4F93-98D3-1265C7B34F35}"/>
    <cellStyle name="Normal 10 4" xfId="4834" xr:uid="{69964342-03F4-4B98-84BB-C7EDC7E0EA6C}"/>
    <cellStyle name="Normal 10 4 2" xfId="7451" xr:uid="{221EA195-83DC-4212-8E31-9EB78DC8263E}"/>
    <cellStyle name="Normal 10 5" xfId="6143" xr:uid="{76963C00-C815-4677-BD15-29EC6237D08C}"/>
    <cellStyle name="Normal 11" xfId="3736" xr:uid="{22FC7D92-58AD-4262-B9F8-B3AB13B9FC8F}"/>
    <cellStyle name="Normal 11 2" xfId="2256" xr:uid="{BD22F16C-3B46-41A3-8599-23E2D3BD8AAF}"/>
    <cellStyle name="Normal 11 3" xfId="4210" xr:uid="{75E3A6ED-5B91-453D-B4F6-C95B797454BC}"/>
    <cellStyle name="Normal 11 3 2" xfId="5537" xr:uid="{271AD3D4-406E-4DA4-A81A-FDDAC443B655}"/>
    <cellStyle name="Normal 11 3 2 2" xfId="8154" xr:uid="{B4A90325-FEC1-45E8-86E9-4E4D88704C9C}"/>
    <cellStyle name="Normal 11 3 3" xfId="6846" xr:uid="{D62C59F7-DF55-4CB5-942F-0CE0124C281D}"/>
    <cellStyle name="Normal 11 4" xfId="5065" xr:uid="{D025A20C-2660-4505-9CB1-DD13D0029FAB}"/>
    <cellStyle name="Normal 11 4 2" xfId="7682" xr:uid="{6D28734A-6055-4ECB-8BDE-BA58E1DD876F}"/>
    <cellStyle name="Normal 11 5" xfId="6374" xr:uid="{A5C92A92-F705-440D-AD6A-19FD094328B6}"/>
    <cellStyle name="Normal 12" xfId="3738" xr:uid="{C2596002-6726-4E71-AB9E-E912A4AB71C8}"/>
    <cellStyle name="Normal 12 2" xfId="4212" xr:uid="{9084843F-D9F8-4AB4-8367-14CC5D222DF0}"/>
    <cellStyle name="Normal 12 2 2" xfId="5539" xr:uid="{BC1B8EA1-3C70-4E59-A40F-58D49BD35996}"/>
    <cellStyle name="Normal 12 2 2 2" xfId="8156" xr:uid="{A5B7FA09-7037-470A-BEBB-930EA850390D}"/>
    <cellStyle name="Normal 12 2 3" xfId="6848" xr:uid="{5D9668B2-EE3F-489D-A009-3E05936144F9}"/>
    <cellStyle name="Normal 12 3" xfId="5067" xr:uid="{8A2F131A-3E28-4449-B570-DF825D193F73}"/>
    <cellStyle name="Normal 12 3 2" xfId="7684" xr:uid="{BCECA47C-B50A-4360-8FB7-131286B86C0E}"/>
    <cellStyle name="Normal 12 4" xfId="6376" xr:uid="{83152247-0866-4FF5-A163-494159BA577F}"/>
    <cellStyle name="Normal 13" xfId="3740" xr:uid="{2E155E72-2D7F-42EA-9740-DF83CC070FF9}"/>
    <cellStyle name="Normal 13 2" xfId="4214" xr:uid="{ADC70466-3400-4DCA-901D-19132AB41607}"/>
    <cellStyle name="Normal 13 2 2" xfId="5541" xr:uid="{F6AA13C9-562D-4C2A-8559-722AC558DB18}"/>
    <cellStyle name="Normal 13 2 2 2" xfId="8158" xr:uid="{C26B6F5C-4AB2-42F4-9C78-EB02BB376558}"/>
    <cellStyle name="Normal 13 2 3" xfId="6850" xr:uid="{B599266E-6ECE-41AD-A347-EA2C22AD5489}"/>
    <cellStyle name="Normal 13 3" xfId="5069" xr:uid="{0EE909F0-48DA-4918-A2F3-263AA5BF100F}"/>
    <cellStyle name="Normal 13 3 2" xfId="7686" xr:uid="{5897764C-1587-4AF6-80F2-AC056BCD5DD1}"/>
    <cellStyle name="Normal 13 4" xfId="6378" xr:uid="{BFBF0F06-23EA-4487-8370-D77109490C94}"/>
    <cellStyle name="Normal 14" xfId="3743" xr:uid="{F888A1F3-834F-41F0-99CE-6120576D03B4}"/>
    <cellStyle name="Normal 15" xfId="3742" xr:uid="{9C392F5C-40C8-4FD6-9F37-48C6E5A8C7A5}"/>
    <cellStyle name="Normal 15 2" xfId="5071" xr:uid="{C2C6D812-A212-4005-A32C-F05627B4A61F}"/>
    <cellStyle name="Normal 15 2 2" xfId="7688" xr:uid="{A011C611-FE4A-4C9C-965E-27E7DEF4E34D}"/>
    <cellStyle name="Normal 15 3" xfId="6380" xr:uid="{8984C05A-748E-4B12-A02D-B7F2BD0CA7B8}"/>
    <cellStyle name="Normal 16" xfId="4598" xr:uid="{058AA940-1011-4596-AB62-D0C53EC79F10}"/>
    <cellStyle name="Normal 16 2" xfId="7216" xr:uid="{D514B789-70E6-4AB8-B830-4271BE332F9D}"/>
    <cellStyle name="Normal 17" xfId="4597" xr:uid="{26EAEFF5-A1C2-441A-BAA6-5799661AA6C2}"/>
    <cellStyle name="Normal 17 2" xfId="7215" xr:uid="{CAB61E1E-0E3F-470D-8004-76871155D78F}"/>
    <cellStyle name="Normal 18" xfId="5907" xr:uid="{986E2CA3-B24E-4565-B9EE-F0B962E62A75}"/>
    <cellStyle name="Normal 19" xfId="5906" xr:uid="{BBA0A461-8EC8-428D-90CB-D78978B23D65}"/>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10" xfId="5945" xr:uid="{79964CB4-B14D-4D7D-8541-7653D661AA4D}"/>
    <cellStyle name="Normal 3 10 2" xfId="2896" xr:uid="{91A13123-307B-4BAB-9CD9-7B6663473517}"/>
    <cellStyle name="Normal 3 10 2 2" xfId="2997" xr:uid="{D7F9CB20-E8DF-4C83-BBE0-91131B002445}"/>
    <cellStyle name="Normal 3 10 2 2 2" xfId="3666" xr:uid="{B5873B34-9518-43E4-A169-83D0C7957EFE}"/>
    <cellStyle name="Normal 3 10 2 2 2 2" xfId="4140" xr:uid="{FB0AFCA1-E8F3-4E75-A39C-640A8A0D3CB3}"/>
    <cellStyle name="Normal 3 10 2 2 2 2 2" xfId="5467" xr:uid="{390C04F4-3602-4958-87DD-2C22FECD2EC1}"/>
    <cellStyle name="Normal 3 10 2 2 2 2 2 2" xfId="8084" xr:uid="{2D6A9DAC-2561-4352-A796-5363BC674AD9}"/>
    <cellStyle name="Normal 3 10 2 2 2 2 3" xfId="6776" xr:uid="{DE40BA73-F286-4D12-AC7B-D4240EB8F0F6}"/>
    <cellStyle name="Normal 3 10 2 2 2 3" xfId="4995" xr:uid="{03945F05-682B-4593-8DFA-83B2DB4356E7}"/>
    <cellStyle name="Normal 3 10 2 2 2 3 2" xfId="7612" xr:uid="{AFBD4B13-1AF9-4E32-9EF5-AFF8CBE65849}"/>
    <cellStyle name="Normal 3 10 2 2 2 4" xfId="6304" xr:uid="{94FE8372-75E1-4309-A488-234C66C83D36}"/>
    <cellStyle name="Normal 3 10 2 2 3" xfId="3911" xr:uid="{0FA6F7E1-1D99-4CAF-A117-B535C167742D}"/>
    <cellStyle name="Normal 3 10 2 2 3 2" xfId="5238" xr:uid="{77E6184C-5AAD-43A8-87AF-8DE816FA2FDA}"/>
    <cellStyle name="Normal 3 10 2 2 3 2 2" xfId="7855" xr:uid="{55CF810C-97BB-41EB-BAFA-055F281E85B1}"/>
    <cellStyle name="Normal 3 10 2 2 3 3" xfId="6547" xr:uid="{9F27A8B3-FA2C-4A8A-8780-4572068469F6}"/>
    <cellStyle name="Normal 3 10 2 2 4" xfId="4376" xr:uid="{7113F2B4-239A-404F-B6B5-BC4ADD1E1BBC}"/>
    <cellStyle name="Normal 3 10 2 2 4 2" xfId="5703" xr:uid="{3141F202-9AE1-4FC1-AC1B-4A06E4896102}"/>
    <cellStyle name="Normal 3 10 2 2 4 2 2" xfId="8320" xr:uid="{ACCD99AC-FE47-44EB-9B37-F80B9CF3DCF4}"/>
    <cellStyle name="Normal 3 10 2 2 4 3" xfId="7012" xr:uid="{09C6529A-C02E-43A7-80D6-2BC9DA53E918}"/>
    <cellStyle name="Normal 3 10 2 2 5" xfId="4766" xr:uid="{0FEEF8E9-B10C-4957-8960-AD48B09A8821}"/>
    <cellStyle name="Normal 3 10 2 2 5 2" xfId="7383" xr:uid="{8B3A540C-B11D-489B-B6D6-A0CE6A8684B0}"/>
    <cellStyle name="Normal 3 10 2 2 6" xfId="6075" xr:uid="{186BA4E5-9B53-46D7-86FB-2BB0483D9E2C}"/>
    <cellStyle name="Normal 3 10 2 3" xfId="3565" xr:uid="{02304A72-2AC1-4481-8B44-9DBF1C9C679E}"/>
    <cellStyle name="Normal 3 10 2 3 2" xfId="4055" xr:uid="{3BB9080D-AD9B-46EA-A7D1-70D7B418CD75}"/>
    <cellStyle name="Normal 3 10 2 3 2 2" xfId="5382" xr:uid="{0D611A55-A604-4734-BD7E-FD1E1CA74614}"/>
    <cellStyle name="Normal 3 10 2 3 2 2 2" xfId="7999" xr:uid="{28D311FA-13E5-4D4C-A1F0-2A76BCC6CF55}"/>
    <cellStyle name="Normal 3 10 2 3 2 3" xfId="6691" xr:uid="{2684B44B-8CC5-487F-8AB1-41586849E9F6}"/>
    <cellStyle name="Normal 3 10 2 3 3" xfId="4910" xr:uid="{D86A6A97-955D-4DB4-8ED5-039B6A8F190A}"/>
    <cellStyle name="Normal 3 10 2 3 3 2" xfId="7527" xr:uid="{7998DDC8-D82D-459C-A696-F4F7FEA311DC}"/>
    <cellStyle name="Normal 3 10 2 3 4" xfId="6219" xr:uid="{9535D382-741D-4BB8-8529-F9458E12A30C}"/>
    <cellStyle name="Normal 3 10 2 4" xfId="3826" xr:uid="{3F906B54-89D8-4E1B-8730-FCB4CEA1899C}"/>
    <cellStyle name="Normal 3 10 2 4 2" xfId="5153" xr:uid="{4429052B-9389-4B92-BC8C-A24427348141}"/>
    <cellStyle name="Normal 3 10 2 4 2 2" xfId="7770" xr:uid="{0C37927A-7DBB-4AF8-A5E7-553CDD436697}"/>
    <cellStyle name="Normal 3 10 2 4 3" xfId="6462" xr:uid="{5FB6D39B-FFC4-44AF-B250-CDA2104D2658}"/>
    <cellStyle name="Normal 3 10 2 5" xfId="4291" xr:uid="{B5053FD6-3AA5-4C4D-B925-0ED93561F961}"/>
    <cellStyle name="Normal 3 10 2 5 2" xfId="5618" xr:uid="{19524CEC-CED4-4F93-BC0A-090D59FA99C8}"/>
    <cellStyle name="Normal 3 10 2 5 2 2" xfId="8235" xr:uid="{D8F0D16F-EC24-4FE0-9A9C-67C896B3D70C}"/>
    <cellStyle name="Normal 3 10 2 5 3" xfId="6927" xr:uid="{1388F88E-5614-499B-95AF-9EE53B5E3CB3}"/>
    <cellStyle name="Normal 3 10 2 6" xfId="4681" xr:uid="{A1E5FBA0-5E71-4D0E-8E52-40CD5B6D199C}"/>
    <cellStyle name="Normal 3 10 2 6 2" xfId="7298" xr:uid="{D383B66D-17EE-42DD-AEB3-3AE08B2DAC6A}"/>
    <cellStyle name="Normal 3 10 2 7" xfId="5990" xr:uid="{E6F8E1A3-072F-46D9-8E17-BA046E590EB7}"/>
    <cellStyle name="Normal 3 10 3" xfId="3441" xr:uid="{5AD22851-273F-402C-B72C-A848480C2C01}"/>
    <cellStyle name="Normal 3 10 3 2" xfId="3706" xr:uid="{6396958C-2FEE-4741-9C04-0D953DBD4B2B}"/>
    <cellStyle name="Normal 3 10 3 2 2" xfId="4180" xr:uid="{326973ED-15E4-41EB-A860-2A7B5D538270}"/>
    <cellStyle name="Normal 3 10 3 2 2 2" xfId="5507" xr:uid="{96592DF5-A491-4EBB-A71E-EF3D3C9E2C52}"/>
    <cellStyle name="Normal 3 10 3 2 2 2 2" xfId="8124" xr:uid="{63F094A9-42B3-4052-81D4-91A37D368660}"/>
    <cellStyle name="Normal 3 10 3 2 2 3" xfId="6816" xr:uid="{47EC8A70-FD1C-4CA9-A73A-AA03599F20B6}"/>
    <cellStyle name="Normal 3 10 3 2 3" xfId="5035" xr:uid="{1C27B479-914A-4348-B660-6805F4B9D77C}"/>
    <cellStyle name="Normal 3 10 3 2 3 2" xfId="7652" xr:uid="{3C9B1AB1-B6D1-4B3A-9DA6-9040298AF275}"/>
    <cellStyle name="Normal 3 10 3 2 4" xfId="6344" xr:uid="{A5104C0E-245D-4880-B20D-7D83954A440E}"/>
    <cellStyle name="Normal 3 10 3 3" xfId="3951" xr:uid="{2169AEFD-853F-4034-9D76-B55F1A6B7F94}"/>
    <cellStyle name="Normal 3 10 3 3 2" xfId="5278" xr:uid="{4A86D6DB-F191-4B11-A9E8-C61DF10D450B}"/>
    <cellStyle name="Normal 3 10 3 3 2 2" xfId="7895" xr:uid="{669F8746-2169-4837-A01E-503C13E282C5}"/>
    <cellStyle name="Normal 3 10 3 3 3" xfId="6587" xr:uid="{066C54BC-E9EA-447F-9E2D-49A25CB27292}"/>
    <cellStyle name="Normal 3 10 3 4" xfId="4416" xr:uid="{64E8C16A-CC5C-487A-B50E-0A23B1403619}"/>
    <cellStyle name="Normal 3 10 3 4 2" xfId="5743" xr:uid="{1D2F67DE-5CE7-45DD-80CD-F3B21C47AA0D}"/>
    <cellStyle name="Normal 3 10 3 4 2 2" xfId="8360" xr:uid="{A37B6B5A-7970-4070-A84F-04311F4B67B0}"/>
    <cellStyle name="Normal 3 10 3 4 3" xfId="7052" xr:uid="{129E283F-6474-4629-A5A8-8018875AEB36}"/>
    <cellStyle name="Normal 3 10 3 5" xfId="4806" xr:uid="{D6436767-05CE-42F1-88C5-501E78F8779D}"/>
    <cellStyle name="Normal 3 10 3 5 2" xfId="7423" xr:uid="{03CB4264-72E3-452B-BF72-9CE0A81C270A}"/>
    <cellStyle name="Normal 3 10 3 6" xfId="6115" xr:uid="{EB96B668-DA75-4726-B803-1D79C71EA6B4}"/>
    <cellStyle name="Normal 3 10 4" xfId="2941" xr:uid="{462CDA6A-0C52-4C07-B947-2BC7D626CDC2}"/>
    <cellStyle name="Normal 3 10 4 2" xfId="3610" xr:uid="{6911D803-67A5-4D99-BFDD-EEA0E5856FFC}"/>
    <cellStyle name="Normal 3 10 4 2 2" xfId="4100" xr:uid="{E9140A7B-C14B-4D46-87DD-0BFBAA7B3C01}"/>
    <cellStyle name="Normal 3 10 4 2 2 2" xfId="5427" xr:uid="{47CCD8CD-BB5E-4DCD-A5D8-8DABBEB4FB53}"/>
    <cellStyle name="Normal 3 10 4 2 2 2 2" xfId="8044" xr:uid="{FE063E1C-9A53-45AA-AC5F-E52504665D83}"/>
    <cellStyle name="Normal 3 10 4 2 2 3" xfId="6736" xr:uid="{B482B3B2-9A07-4C9A-B4C7-6B42370E79C5}"/>
    <cellStyle name="Normal 3 10 4 2 3" xfId="4955" xr:uid="{6B886283-5803-48D3-B1F4-D357FB89CA38}"/>
    <cellStyle name="Normal 3 10 4 2 3 2" xfId="7572" xr:uid="{1F085547-D5BE-4077-A48A-A0396F1685E6}"/>
    <cellStyle name="Normal 3 10 4 2 4" xfId="6264" xr:uid="{238ABC13-D3AF-4DCD-9447-86661CDB8ECB}"/>
    <cellStyle name="Normal 3 10 4 3" xfId="3871" xr:uid="{0F3336F6-C70B-470A-B104-92540F0EE3A0}"/>
    <cellStyle name="Normal 3 10 4 3 2" xfId="5198" xr:uid="{7CA6D129-0996-4476-95C9-6884CA45006D}"/>
    <cellStyle name="Normal 3 10 4 3 2 2" xfId="7815" xr:uid="{27ED6575-D036-4696-ADDD-655B56E9162D}"/>
    <cellStyle name="Normal 3 10 4 3 3" xfId="6507" xr:uid="{AC9E5737-6CA7-4DD1-BBA7-C77AA7AE7512}"/>
    <cellStyle name="Normal 3 10 4 4" xfId="4336" xr:uid="{1B27B1D2-D566-4FE5-B79B-6E65ABA9BCB8}"/>
    <cellStyle name="Normal 3 10 4 4 2" xfId="5663" xr:uid="{F7969C44-5FEF-471B-AA17-DBECA982EB97}"/>
    <cellStyle name="Normal 3 10 4 4 2 2" xfId="8280" xr:uid="{89EA5430-BB4D-4F27-8AC9-AE7BD6A7D264}"/>
    <cellStyle name="Normal 3 10 4 4 3" xfId="6972" xr:uid="{A86F2961-6113-4CC3-85C5-656D9081082C}"/>
    <cellStyle name="Normal 3 10 4 5" xfId="4726" xr:uid="{C732896E-9CCA-4896-AA44-9146EBCDFE28}"/>
    <cellStyle name="Normal 3 10 4 5 2" xfId="7343" xr:uid="{CF6269D2-785E-4EAC-B756-767C9B58F8D7}"/>
    <cellStyle name="Normal 3 10 4 6" xfId="6035" xr:uid="{B6373BCB-BD1B-4DE6-9689-C92BA5814F02}"/>
    <cellStyle name="Normal 3 10 5" xfId="3520" xr:uid="{A7366CB9-D620-4BFE-85E8-7DDC3FFAF77F}"/>
    <cellStyle name="Normal 3 10 5 2" xfId="4010" xr:uid="{DDE1F43D-4441-47F4-9C02-3DB9E4369CC1}"/>
    <cellStyle name="Normal 3 10 5 2 2" xfId="5337" xr:uid="{BB5E6F98-4B9B-4320-9942-F964EF416063}"/>
    <cellStyle name="Normal 3 10 5 2 2 2" xfId="7954" xr:uid="{18DA1D0C-A230-4E06-BFEB-523DEE6F213E}"/>
    <cellStyle name="Normal 3 10 5 2 3" xfId="6646" xr:uid="{6FB13C49-4AB0-49B9-A718-4B24BF6F5AA4}"/>
    <cellStyle name="Normal 3 10 5 3" xfId="4487" xr:uid="{27D7ED24-D4BB-4671-946C-D3EB89CAF80D}"/>
    <cellStyle name="Normal 3 10 5 3 2" xfId="5796" xr:uid="{9792CD0E-6BE4-4E78-A054-E7D303B8B825}"/>
    <cellStyle name="Normal 3 10 5 3 2 2" xfId="8413" xr:uid="{59F2DF88-90B0-46D1-9461-14172E68ACB0}"/>
    <cellStyle name="Normal 3 10 5 3 3" xfId="7105" xr:uid="{AE5B96F6-B9A5-44D0-AC7A-7F2F3561FCB4}"/>
    <cellStyle name="Normal 3 10 5 4" xfId="4865" xr:uid="{52BB3213-2266-44F0-AB06-66C717479149}"/>
    <cellStyle name="Normal 3 10 5 4 2" xfId="7482" xr:uid="{075100A8-8109-4138-BE77-E89B0626FD9A}"/>
    <cellStyle name="Normal 3 10 5 5" xfId="6174" xr:uid="{76D75A16-A1E9-48F7-B7A5-02A140AAC4F9}"/>
    <cellStyle name="Normal 3 10 6" xfId="3781" xr:uid="{6DAE6FC9-054D-45DA-9F52-25128316BD96}"/>
    <cellStyle name="Normal 3 10 6 2" xfId="4532" xr:uid="{9FEE060C-CBF9-4017-92DD-A2D40B5A1BD7}"/>
    <cellStyle name="Normal 3 10 6 2 2" xfId="5841" xr:uid="{C42CDAA3-B8F6-4240-8E0E-0A01D61D2427}"/>
    <cellStyle name="Normal 3 10 6 2 2 2" xfId="8458" xr:uid="{84D8623B-AA31-4C72-A6A8-3D280D905951}"/>
    <cellStyle name="Normal 3 10 6 2 3" xfId="7150" xr:uid="{AE0721B4-F00A-4FC7-BB9A-D8F47A525D8B}"/>
    <cellStyle name="Normal 3 10 6 3" xfId="5108" xr:uid="{9FE0392F-1BE0-487A-A936-F913DFA6CFDF}"/>
    <cellStyle name="Normal 3 10 6 3 2" xfId="7725" xr:uid="{598793BF-2C5D-4457-B54C-7A4E13488A48}"/>
    <cellStyle name="Normal 3 10 6 4" xfId="6417" xr:uid="{76D35E3A-11D4-4167-8D73-CED6C47EB9B4}"/>
    <cellStyle name="Normal 3 10 7" xfId="4577" xr:uid="{21355373-9505-4F8B-A51C-D1004D55A2FB}"/>
    <cellStyle name="Normal 3 10 7 2" xfId="5886" xr:uid="{52908645-4B20-4B13-816F-363073FB707F}"/>
    <cellStyle name="Normal 3 10 7 2 2" xfId="8503" xr:uid="{C1900613-4077-4A37-91D2-5A9616105D86}"/>
    <cellStyle name="Normal 3 10 7 3" xfId="7195" xr:uid="{7135A9FF-EA5C-4C3E-8F98-2BD105BEE732}"/>
    <cellStyle name="Normal 3 10 8" xfId="4246" xr:uid="{FD0D140E-C62A-4CF3-B1F4-0370F0942A10}"/>
    <cellStyle name="Normal 3 10 8 2" xfId="5573" xr:uid="{564B258F-A7C2-45D5-8077-ED878A807B2B}"/>
    <cellStyle name="Normal 3 10 8 2 2" xfId="8190" xr:uid="{724299A7-7BB4-47D3-86DA-C03229CEDB42}"/>
    <cellStyle name="Normal 3 10 8 3" xfId="6882" xr:uid="{0E14EEB7-E661-4E72-9A81-27BC9F919A08}"/>
    <cellStyle name="Normal 3 10 9" xfId="4636" xr:uid="{4AAB64C5-2BCA-44E9-B368-88A23A4FE25D}"/>
    <cellStyle name="Normal 3 10 9 2" xfId="7253" xr:uid="{F9FD4EC7-851E-4D65-B862-40DE16D1E9C9}"/>
    <cellStyle name="Normal 3 11" xfId="2869" xr:uid="{51FAFCD3-8A22-4583-8376-457D01F5D88C}"/>
    <cellStyle name="Normal 3 11 10" xfId="5964" xr:uid="{24042FCD-73B0-4B7D-9C7F-8E555BE26827}"/>
    <cellStyle name="Normal 3 11 2" xfId="2915" xr:uid="{3946DB59-33F3-4513-A8BD-9E807940CDAB}"/>
    <cellStyle name="Normal 3 11 2 2" xfId="3016" xr:uid="{D1258D86-AA9B-4E17-8D98-CFA0474BA4CA}"/>
    <cellStyle name="Normal 3 11 2 2 2" xfId="3685" xr:uid="{3A3438E4-0AFD-45B9-ACAF-BE00E842960A}"/>
    <cellStyle name="Normal 3 11 2 2 2 2" xfId="4159" xr:uid="{4DA1414A-4315-49F6-8B4E-D6C04ED23959}"/>
    <cellStyle name="Normal 3 11 2 2 2 2 2" xfId="5486" xr:uid="{B59A5590-A7D1-4879-82F2-ED0F7EDF766B}"/>
    <cellStyle name="Normal 3 11 2 2 2 2 2 2" xfId="8103" xr:uid="{64546E79-9E1E-4E9C-A2B5-6399100F4ADF}"/>
    <cellStyle name="Normal 3 11 2 2 2 2 3" xfId="6795" xr:uid="{729DDEB5-FC8C-4394-A464-40D03C57F392}"/>
    <cellStyle name="Normal 3 11 2 2 2 3" xfId="5014" xr:uid="{784CAFB8-E79D-45C9-909C-75DF8D209790}"/>
    <cellStyle name="Normal 3 11 2 2 2 3 2" xfId="7631" xr:uid="{34B1071E-DE0D-47BB-A025-1B00714B62F3}"/>
    <cellStyle name="Normal 3 11 2 2 2 4" xfId="6323" xr:uid="{B66938CA-D49B-4334-9AE1-C18591FBC536}"/>
    <cellStyle name="Normal 3 11 2 2 3" xfId="3930" xr:uid="{BCCBD57D-BCD3-4E37-BBFF-B436856A9ECE}"/>
    <cellStyle name="Normal 3 11 2 2 3 2" xfId="5257" xr:uid="{A96EEE85-D9FE-45AB-9328-4B2BCBC80698}"/>
    <cellStyle name="Normal 3 11 2 2 3 2 2" xfId="7874" xr:uid="{08651A08-E58A-43B6-94BB-5C73BE8F279E}"/>
    <cellStyle name="Normal 3 11 2 2 3 3" xfId="6566" xr:uid="{C7820FEC-9407-4E94-99A8-AF8CCADE1B5F}"/>
    <cellStyle name="Normal 3 11 2 2 4" xfId="4395" xr:uid="{1D6DD9D7-3BA1-4796-BA09-8543C1E5D361}"/>
    <cellStyle name="Normal 3 11 2 2 4 2" xfId="5722" xr:uid="{E8C681AF-73A9-44DE-A87D-9353C91EA82E}"/>
    <cellStyle name="Normal 3 11 2 2 4 2 2" xfId="8339" xr:uid="{C7B84CA9-3F09-45FB-A34A-7BA0FDDF08E9}"/>
    <cellStyle name="Normal 3 11 2 2 4 3" xfId="7031" xr:uid="{44B6E20A-25A8-4A13-A797-29BDFA2F1CEA}"/>
    <cellStyle name="Normal 3 11 2 2 5" xfId="4785" xr:uid="{3255DBA4-7B1C-470F-A8A2-C1553A54DB8D}"/>
    <cellStyle name="Normal 3 11 2 2 5 2" xfId="7402" xr:uid="{60DB5FEC-608E-4206-B02E-C64AD0E2808A}"/>
    <cellStyle name="Normal 3 11 2 2 6" xfId="6094" xr:uid="{7A9FBD18-9F34-405F-8C9C-D6368B148BD7}"/>
    <cellStyle name="Normal 3 11 2 3" xfId="3584" xr:uid="{687EC46E-A000-4D42-80C4-AB6653969B40}"/>
    <cellStyle name="Normal 3 11 2 3 2" xfId="4074" xr:uid="{FD22680D-2DE5-4A9F-841E-24C3D9C024DD}"/>
    <cellStyle name="Normal 3 11 2 3 2 2" xfId="5401" xr:uid="{A33F51EB-F126-48F6-AE12-607FB86B734E}"/>
    <cellStyle name="Normal 3 11 2 3 2 2 2" xfId="8018" xr:uid="{D1E5E42A-2AD3-4AA7-AF93-BAA47C552167}"/>
    <cellStyle name="Normal 3 11 2 3 2 3" xfId="6710" xr:uid="{089520D1-DAF1-4DBA-8EE6-A14CD0E26C39}"/>
    <cellStyle name="Normal 3 11 2 3 3" xfId="4929" xr:uid="{865A9311-B160-4919-B348-945FDE7E3084}"/>
    <cellStyle name="Normal 3 11 2 3 3 2" xfId="7546" xr:uid="{FA73C679-EF52-4192-8C5E-CC4C3B0C4F96}"/>
    <cellStyle name="Normal 3 11 2 3 4" xfId="6238" xr:uid="{6F91BC5A-6D82-4B43-A0C3-AE305203AB29}"/>
    <cellStyle name="Normal 3 11 2 4" xfId="3845" xr:uid="{80DBBF9E-C40A-4893-B3AA-003E665E806E}"/>
    <cellStyle name="Normal 3 11 2 4 2" xfId="5172" xr:uid="{C640F9E5-DFBA-4A2A-B3A1-9A882B429A0F}"/>
    <cellStyle name="Normal 3 11 2 4 2 2" xfId="7789" xr:uid="{7700CC1F-1589-4096-AA2E-8301E2D3F232}"/>
    <cellStyle name="Normal 3 11 2 4 3" xfId="6481" xr:uid="{C3E630ED-CBFC-46E9-8DDE-EE79FBCEC986}"/>
    <cellStyle name="Normal 3 11 2 5" xfId="4310" xr:uid="{9868C3ED-F657-47F7-9E0B-AF1E48FDF9F7}"/>
    <cellStyle name="Normal 3 11 2 5 2" xfId="5637" xr:uid="{2C01CA6E-4BF8-4F34-A44A-812A64C04CBD}"/>
    <cellStyle name="Normal 3 11 2 5 2 2" xfId="8254" xr:uid="{E2A595AA-A762-432F-8E11-25D31BBC62EC}"/>
    <cellStyle name="Normal 3 11 2 5 3" xfId="6946" xr:uid="{3BE34C1C-5082-4D96-B167-9A3FC2EFAFB7}"/>
    <cellStyle name="Normal 3 11 2 6" xfId="4700" xr:uid="{719A25ED-ABBA-45AB-AFF7-52086E653867}"/>
    <cellStyle name="Normal 3 11 2 6 2" xfId="7317" xr:uid="{C640212B-AD5C-4696-9AD9-189BB10F46F2}"/>
    <cellStyle name="Normal 3 11 2 7" xfId="6009" xr:uid="{D8865054-FC81-4C8C-A497-764C896D49BA}"/>
    <cellStyle name="Normal 3 11 3" xfId="3460" xr:uid="{473FAF2A-6114-441A-921E-EE0D3A1E7E02}"/>
    <cellStyle name="Normal 3 11 3 2" xfId="3725" xr:uid="{FC14E282-5371-431C-A046-680CF234803C}"/>
    <cellStyle name="Normal 3 11 3 2 2" xfId="4199" xr:uid="{6CDD87FD-8750-4FDF-ABA0-F96E412ED6DF}"/>
    <cellStyle name="Normal 3 11 3 2 2 2" xfId="5526" xr:uid="{6B29EAD8-AD61-4874-AE3B-A05105638528}"/>
    <cellStyle name="Normal 3 11 3 2 2 2 2" xfId="8143" xr:uid="{38287C82-7124-4FF6-87B3-C624A0F0BEC7}"/>
    <cellStyle name="Normal 3 11 3 2 2 3" xfId="6835" xr:uid="{F4320958-2F29-4496-9C5E-FCBC0D168DF7}"/>
    <cellStyle name="Normal 3 11 3 2 3" xfId="5054" xr:uid="{7D5DA4D2-AE02-43BF-81C3-CB79A8A870A4}"/>
    <cellStyle name="Normal 3 11 3 2 3 2" xfId="7671" xr:uid="{EA50AA81-EEFD-4087-9D0F-BE06A063FB66}"/>
    <cellStyle name="Normal 3 11 3 2 4" xfId="6363" xr:uid="{C7575255-76F1-4BC4-B75F-DBB2235A7394}"/>
    <cellStyle name="Normal 3 11 3 3" xfId="3970" xr:uid="{BDB164DA-52A6-4485-AA39-56F02FACC0F6}"/>
    <cellStyle name="Normal 3 11 3 3 2" xfId="5297" xr:uid="{229ACE3B-1434-41F6-9260-544972C7F7CD}"/>
    <cellStyle name="Normal 3 11 3 3 2 2" xfId="7914" xr:uid="{66AFD8CD-BBFD-42AC-B20E-E09E360C68FB}"/>
    <cellStyle name="Normal 3 11 3 3 3" xfId="6606" xr:uid="{3B78C0DE-2E4A-442B-B101-3C62F43E93A5}"/>
    <cellStyle name="Normal 3 11 3 4" xfId="4435" xr:uid="{C9E7B541-6903-46AF-9269-580BA13334DD}"/>
    <cellStyle name="Normal 3 11 3 4 2" xfId="5762" xr:uid="{B8F3B621-92C4-4C39-98C6-CA47652A4BC1}"/>
    <cellStyle name="Normal 3 11 3 4 2 2" xfId="8379" xr:uid="{A6C0689F-1AA8-41AB-BCFC-3BCCEF6B8867}"/>
    <cellStyle name="Normal 3 11 3 4 3" xfId="7071" xr:uid="{9D314B2A-599D-4A37-A2CE-47A029A5389F}"/>
    <cellStyle name="Normal 3 11 3 5" xfId="4825" xr:uid="{F523A68F-F20B-4AD8-B60E-37DF818B4DDC}"/>
    <cellStyle name="Normal 3 11 3 5 2" xfId="7442" xr:uid="{13B43B01-801D-44C2-8226-E87B0526F56C}"/>
    <cellStyle name="Normal 3 11 3 6" xfId="6134" xr:uid="{52CCF3FC-66AB-436D-897C-4BC1B89C7918}"/>
    <cellStyle name="Normal 3 11 4" xfId="2960" xr:uid="{40DC0902-9D4C-42AA-8E56-D6A3EE61A3CF}"/>
    <cellStyle name="Normal 3 11 4 2" xfId="3629" xr:uid="{4A6DDF94-E641-429C-BE70-151C60D2BE02}"/>
    <cellStyle name="Normal 3 11 4 2 2" xfId="4119" xr:uid="{9A204ABD-7BB2-457C-BDA8-C90523AE1123}"/>
    <cellStyle name="Normal 3 11 4 2 2 2" xfId="5446" xr:uid="{0EE71C74-4BE6-413E-86AD-89898D3C0616}"/>
    <cellStyle name="Normal 3 11 4 2 2 2 2" xfId="8063" xr:uid="{5C7CD09B-FA7D-4035-B07C-C8813AFE75DA}"/>
    <cellStyle name="Normal 3 11 4 2 2 3" xfId="6755" xr:uid="{B8205815-9900-4AB5-837D-90074CA2C3F8}"/>
    <cellStyle name="Normal 3 11 4 2 3" xfId="4974" xr:uid="{FFB63CC4-D6EE-4BDA-941A-324C280DF28B}"/>
    <cellStyle name="Normal 3 11 4 2 3 2" xfId="7591" xr:uid="{F2AB8B80-6F40-4677-8B3F-F6941F52C047}"/>
    <cellStyle name="Normal 3 11 4 2 4" xfId="6283" xr:uid="{52A1368F-62A9-466F-86A2-7910DD83C3A9}"/>
    <cellStyle name="Normal 3 11 4 3" xfId="3890" xr:uid="{E1628792-71A7-477C-BD48-1DCAC37EE307}"/>
    <cellStyle name="Normal 3 11 4 3 2" xfId="5217" xr:uid="{0295770F-09C2-4303-BFFA-DC4AE6EBB0F3}"/>
    <cellStyle name="Normal 3 11 4 3 2 2" xfId="7834" xr:uid="{22DBD033-7E5F-4505-870F-CB2362DFD17D}"/>
    <cellStyle name="Normal 3 11 4 3 3" xfId="6526" xr:uid="{8F872BA9-C764-44C7-985A-E1A5157F9664}"/>
    <cellStyle name="Normal 3 11 4 4" xfId="4355" xr:uid="{0B82C0D5-A9F2-40FC-B03E-7F127508909C}"/>
    <cellStyle name="Normal 3 11 4 4 2" xfId="5682" xr:uid="{076B1E57-9605-4398-B400-C76932A1784F}"/>
    <cellStyle name="Normal 3 11 4 4 2 2" xfId="8299" xr:uid="{CE8CE273-E443-4DC7-9991-CEB1BEAF5A87}"/>
    <cellStyle name="Normal 3 11 4 4 3" xfId="6991" xr:uid="{C60B2224-03E2-4316-AA35-D3554F3DE88A}"/>
    <cellStyle name="Normal 3 11 4 5" xfId="4745" xr:uid="{7FAB9252-8ED9-4A29-A5E4-335FCA1A8778}"/>
    <cellStyle name="Normal 3 11 4 5 2" xfId="7362" xr:uid="{C9AFA90E-120B-47BC-A08C-649EE14D64CD}"/>
    <cellStyle name="Normal 3 11 4 6" xfId="6054" xr:uid="{1967F00F-AF9F-4330-A372-1E4FBE451CE1}"/>
    <cellStyle name="Normal 3 11 5" xfId="3539" xr:uid="{7623E7D9-61BB-49B8-BFD6-E35F56069002}"/>
    <cellStyle name="Normal 3 11 5 2" xfId="4029" xr:uid="{BC957932-D5BC-43B9-925E-3B0C208AFD34}"/>
    <cellStyle name="Normal 3 11 5 2 2" xfId="5356" xr:uid="{29A14AFA-FD74-4A1F-87B0-8BFEBB398985}"/>
    <cellStyle name="Normal 3 11 5 2 2 2" xfId="7973" xr:uid="{E8FBE1DD-8EF2-43DE-8C71-5091FEC9CEC6}"/>
    <cellStyle name="Normal 3 11 5 2 3" xfId="6665" xr:uid="{6ABD251B-558E-48EF-8E0D-39FC523E74BE}"/>
    <cellStyle name="Normal 3 11 5 3" xfId="4506" xr:uid="{D8710C12-0E02-45CF-B305-279249008152}"/>
    <cellStyle name="Normal 3 11 5 3 2" xfId="5815" xr:uid="{956FF957-2484-4E61-8B11-907A8C240C6B}"/>
    <cellStyle name="Normal 3 11 5 3 2 2" xfId="8432" xr:uid="{B0E358AD-9DF7-4A85-A6F9-6769AC3C1F4A}"/>
    <cellStyle name="Normal 3 11 5 3 3" xfId="7124" xr:uid="{53A508B8-1D7F-4D12-8B61-EC92BC871DD6}"/>
    <cellStyle name="Normal 3 11 5 4" xfId="4884" xr:uid="{70038367-C671-4DF7-AFEF-8655D90BF0E2}"/>
    <cellStyle name="Normal 3 11 5 4 2" xfId="7501" xr:uid="{C72A1525-477D-4B69-99E9-6A802F28391D}"/>
    <cellStyle name="Normal 3 11 5 5" xfId="6193" xr:uid="{55987FFF-EF60-4978-B7D5-87E45CD4CA7C}"/>
    <cellStyle name="Normal 3 11 6" xfId="3800" xr:uid="{85D339DC-2884-4ED5-B28F-31CCCE72B695}"/>
    <cellStyle name="Normal 3 11 6 2" xfId="4551" xr:uid="{0F5E30FD-967C-4F46-B591-CDEFBF771A9D}"/>
    <cellStyle name="Normal 3 11 6 2 2" xfId="5860" xr:uid="{D71E78A7-8F8C-478C-847A-FD1296EAE35F}"/>
    <cellStyle name="Normal 3 11 6 2 2 2" xfId="8477" xr:uid="{E5FF6199-516A-46AF-A747-5CF0F9EED7A2}"/>
    <cellStyle name="Normal 3 11 6 2 3" xfId="7169" xr:uid="{19EEB906-0302-4F19-A589-C591A10633E5}"/>
    <cellStyle name="Normal 3 11 6 3" xfId="5127" xr:uid="{90696115-A786-474E-81DB-CD731DE92328}"/>
    <cellStyle name="Normal 3 11 6 3 2" xfId="7744" xr:uid="{BBA4E36B-A3DF-4107-A0DA-786226A678DC}"/>
    <cellStyle name="Normal 3 11 6 4" xfId="6436" xr:uid="{BE84946E-FE08-4569-BA01-A02C1A5AB536}"/>
    <cellStyle name="Normal 3 11 7" xfId="4596" xr:uid="{6C976D8C-E944-4BE6-B78F-9231452E3224}"/>
    <cellStyle name="Normal 3 11 7 2" xfId="5905" xr:uid="{2AAD0C38-4499-4A37-B6A9-52F57BC097BB}"/>
    <cellStyle name="Normal 3 11 7 2 2" xfId="8522" xr:uid="{6CC3EBF6-1B05-4BDF-AB02-B81ED0CB208A}"/>
    <cellStyle name="Normal 3 11 7 3" xfId="7214" xr:uid="{F7405711-C1FE-422B-AF07-D1879FF417D5}"/>
    <cellStyle name="Normal 3 11 8" xfId="4265" xr:uid="{A1213ACF-5756-4AE2-97C4-39BE214E1218}"/>
    <cellStyle name="Normal 3 11 8 2" xfId="5592" xr:uid="{394A880F-F5C1-4AF1-A0DB-361E45AF8EB5}"/>
    <cellStyle name="Normal 3 11 8 2 2" xfId="8209" xr:uid="{8309A555-D27E-4A07-A051-89529335E1C4}"/>
    <cellStyle name="Normal 3 11 8 3" xfId="6901" xr:uid="{30568D6F-41FA-4842-88CC-26BEF66F6151}"/>
    <cellStyle name="Normal 3 11 9" xfId="4655" xr:uid="{C80A6D01-ABF8-4AA9-ADEC-0EDDCBE0D922}"/>
    <cellStyle name="Normal 3 11 9 2" xfId="7272" xr:uid="{8B95749F-52DD-42BC-BF5A-55E99734FE49}"/>
    <cellStyle name="Normal 3 12" xfId="30" xr:uid="{CE7437FF-0DB7-410E-9D29-AFC41BAB1D47}"/>
    <cellStyle name="Normal 3 12 2" xfId="2876" xr:uid="{89019A92-E6D6-4AF1-A636-0C9530E78615}"/>
    <cellStyle name="Normal 3 12 2 2" xfId="3545" xr:uid="{2C114EFA-BAE4-4E13-8DEA-0CB8A46AFCC2}"/>
    <cellStyle name="Normal 3 12 2 2 2" xfId="4035" xr:uid="{98F079DF-31E8-4BE2-83BE-EFA6E27CE1DB}"/>
    <cellStyle name="Normal 3 12 2 2 2 2" xfId="5362" xr:uid="{FE53C5CE-C68F-42C7-9DE7-CDA0581B945A}"/>
    <cellStyle name="Normal 3 12 2 2 2 2 2" xfId="7979" xr:uid="{B3A96F9A-C951-4B8C-A78F-24FB640627B8}"/>
    <cellStyle name="Normal 3 12 2 2 2 3" xfId="6671" xr:uid="{07BD2F7D-4D09-4F4F-9AC1-65D2D0D96750}"/>
    <cellStyle name="Normal 3 12 2 2 3" xfId="4890" xr:uid="{87C7B765-131D-4FF5-A374-BA4C76A6876A}"/>
    <cellStyle name="Normal 3 12 2 2 3 2" xfId="7507" xr:uid="{45A6147A-4CE1-4A91-AE18-06B7E37CEBF0}"/>
    <cellStyle name="Normal 3 12 2 2 4" xfId="6199" xr:uid="{039390E2-279D-40E8-B1A9-EEB25317B724}"/>
    <cellStyle name="Normal 3 12 2 3" xfId="3806" xr:uid="{D755BE96-6941-4654-B966-2C5018AE49E3}"/>
    <cellStyle name="Normal 3 12 2 3 2" xfId="5133" xr:uid="{8C25DB27-2F22-4495-9805-CF6AEB96E241}"/>
    <cellStyle name="Normal 3 12 2 3 2 2" xfId="7750" xr:uid="{71728FBC-D9A4-4217-A348-16BB5D7BBDE6}"/>
    <cellStyle name="Normal 3 12 2 3 3" xfId="6442" xr:uid="{9B84A52F-4995-452F-9238-198448F88E81}"/>
    <cellStyle name="Normal 3 12 2 4" xfId="4271" xr:uid="{E2CB2373-9D62-49BB-A3BE-A1D1905AA01E}"/>
    <cellStyle name="Normal 3 12 2 4 2" xfId="5598" xr:uid="{619DA1F4-3DA5-440F-B6D4-ED08320CEBDD}"/>
    <cellStyle name="Normal 3 12 2 4 2 2" xfId="8215" xr:uid="{D34EAF31-7E66-4AA8-A95A-FDB234B11C32}"/>
    <cellStyle name="Normal 3 12 2 4 3" xfId="6907" xr:uid="{ECAEC436-37CB-4559-968C-5409C82E800F}"/>
    <cellStyle name="Normal 3 12 2 5" xfId="4661" xr:uid="{321850D4-9294-46F9-874E-A50609E668B8}"/>
    <cellStyle name="Normal 3 12 2 5 2" xfId="7278" xr:uid="{AFD0C8B2-9231-4F93-8E57-4391E89A2B54}"/>
    <cellStyle name="Normal 3 12 2 6" xfId="5970" xr:uid="{CA93C44D-9757-45EE-A513-3CCF1A0403D8}"/>
    <cellStyle name="Normal 3 12 3" xfId="2921" xr:uid="{72794F26-51F0-4D55-886D-1D1D5505C926}"/>
    <cellStyle name="Normal 3 12 3 2" xfId="3590" xr:uid="{2DFDE289-0A01-4BD9-B890-08D3D58BB688}"/>
    <cellStyle name="Normal 3 12 3 2 2" xfId="4080" xr:uid="{E50B22E6-672A-4414-83B6-F8F37566465E}"/>
    <cellStyle name="Normal 3 12 3 2 2 2" xfId="5407" xr:uid="{9950FA6E-E372-4C83-80D3-95BD99233445}"/>
    <cellStyle name="Normal 3 12 3 2 2 2 2" xfId="8024" xr:uid="{43740156-32BA-488A-B24A-5B362FCD4F85}"/>
    <cellStyle name="Normal 3 12 3 2 2 3" xfId="6716" xr:uid="{1E3BC591-9A2C-4FFC-ACC1-F7FA7B6C1C3C}"/>
    <cellStyle name="Normal 3 12 3 2 3" xfId="4935" xr:uid="{58C0895E-3B78-457C-BA89-2712B30EE8B6}"/>
    <cellStyle name="Normal 3 12 3 2 3 2" xfId="7552" xr:uid="{D146D726-BAE9-45B9-9DC0-3825B157DC06}"/>
    <cellStyle name="Normal 3 12 3 2 4" xfId="6244" xr:uid="{338E61C5-1785-4845-B4FA-4CCB6A56505F}"/>
    <cellStyle name="Normal 3 12 3 3" xfId="3851" xr:uid="{318125DE-055D-4646-8042-694A10F78C04}"/>
    <cellStyle name="Normal 3 12 3 3 2" xfId="5178" xr:uid="{15CBA670-8A54-4749-A490-BC36F0B63B31}"/>
    <cellStyle name="Normal 3 12 3 3 2 2" xfId="7795" xr:uid="{42AF64BE-423E-42A7-BC2B-909869153D74}"/>
    <cellStyle name="Normal 3 12 3 3 3" xfId="6487" xr:uid="{468ED054-CA13-4323-B9F3-32E5EAEC8052}"/>
    <cellStyle name="Normal 3 12 3 4" xfId="4316" xr:uid="{CF5B6380-949D-4050-ACB9-1A8B31DB926B}"/>
    <cellStyle name="Normal 3 12 3 4 2" xfId="5643" xr:uid="{9FA90F8E-6766-4F97-AE25-B34E0C015E2C}"/>
    <cellStyle name="Normal 3 12 3 4 2 2" xfId="8260" xr:uid="{9F4A99E3-8CC7-4FE1-975C-4C05C9ACDE05}"/>
    <cellStyle name="Normal 3 12 3 4 3" xfId="6952" xr:uid="{46408AC6-0ED1-4D8A-AEE0-9DEAFDC56C13}"/>
    <cellStyle name="Normal 3 12 3 5" xfId="4706" xr:uid="{18742576-AF36-4A8A-B860-CE4A185E95C8}"/>
    <cellStyle name="Normal 3 12 3 5 2" xfId="7323" xr:uid="{E7118127-8864-4726-AA2F-78D2372917BD}"/>
    <cellStyle name="Normal 3 12 3 6" xfId="6015" xr:uid="{8F81EAE6-B494-4B2C-BFF4-0E039719D9ED}"/>
    <cellStyle name="Normal 3 12 4" xfId="3500" xr:uid="{C5A3EFFA-2CF0-491B-BC77-0561BEB79347}"/>
    <cellStyle name="Normal 3 12 4 2" xfId="3990" xr:uid="{E4A4FC25-D354-4F60-B090-2630DDC4F833}"/>
    <cellStyle name="Normal 3 12 4 2 2" xfId="5317" xr:uid="{C14BA9C2-567E-4834-8335-E87870B5B679}"/>
    <cellStyle name="Normal 3 12 4 2 2 2" xfId="7934" xr:uid="{8DD6B10E-EC00-40BE-86D4-593A90DC4561}"/>
    <cellStyle name="Normal 3 12 4 2 3" xfId="6626" xr:uid="{D29EE8BE-DD90-42AE-9726-C706B3D72BAF}"/>
    <cellStyle name="Normal 3 12 4 3" xfId="4449" xr:uid="{9E6C524E-170B-4614-8B49-CA4E7DA56B66}"/>
    <cellStyle name="Normal 3 12 4 3 2" xfId="5776" xr:uid="{CB36DC7F-B4E7-48DA-8569-933564CB4B70}"/>
    <cellStyle name="Normal 3 12 4 3 2 2" xfId="8393" xr:uid="{EB964B0C-41A1-49EB-A9E9-05151F356F1D}"/>
    <cellStyle name="Normal 3 12 4 3 3" xfId="7085" xr:uid="{AEA58186-66FF-499B-B714-25F71189091B}"/>
    <cellStyle name="Normal 3 12 4 4" xfId="4845" xr:uid="{37E93AF4-08EB-4F6C-8DFA-6B9BA45B0AFB}"/>
    <cellStyle name="Normal 3 12 4 4 2" xfId="7462" xr:uid="{B1C2D8FB-83ED-4B5C-BCBC-8C1A12714543}"/>
    <cellStyle name="Normal 3 12 4 5" xfId="6154" xr:uid="{6EB1FDBA-2588-45E5-A8F9-211CACD5A9B9}"/>
    <cellStyle name="Normal 3 12 5" xfId="3761" xr:uid="{64420FBE-2A76-426B-AB2E-53CBB2F2E6B0}"/>
    <cellStyle name="Normal 3 12 5 2" xfId="4512" xr:uid="{902CF98C-3918-494B-8134-A12E2D893877}"/>
    <cellStyle name="Normal 3 12 5 2 2" xfId="5821" xr:uid="{FB14156A-DD75-42E0-AFCD-2678789A52E9}"/>
    <cellStyle name="Normal 3 12 5 2 2 2" xfId="8438" xr:uid="{D2542098-194E-4B69-9A22-3BA6DFA614AF}"/>
    <cellStyle name="Normal 3 12 5 2 3" xfId="7130" xr:uid="{B41CF3E2-C791-4BE4-8AE0-5261F3E7D9E4}"/>
    <cellStyle name="Normal 3 12 5 3" xfId="5088" xr:uid="{4CA8BA21-AE26-43FA-94C9-AD224804A212}"/>
    <cellStyle name="Normal 3 12 5 3 2" xfId="7705" xr:uid="{B6F71828-E44B-4BDC-8C9A-96F755EBC510}"/>
    <cellStyle name="Normal 3 12 5 4" xfId="6397" xr:uid="{3B6F6285-3879-4600-8251-66EE33572C4A}"/>
    <cellStyle name="Normal 3 12 6" xfId="4557" xr:uid="{D4C91D77-E789-4FD2-8B95-8BE5CBEA5C06}"/>
    <cellStyle name="Normal 3 12 6 2" xfId="5866" xr:uid="{57687AEB-927C-44E6-A472-7A3C9CA6383A}"/>
    <cellStyle name="Normal 3 12 6 2 2" xfId="8483" xr:uid="{6A207AEC-A28F-44F2-8F45-272696899ED1}"/>
    <cellStyle name="Normal 3 12 6 3" xfId="7175" xr:uid="{05740CCD-3D32-4A1B-B768-F3639F9C92B5}"/>
    <cellStyle name="Normal 3 12 7" xfId="4226" xr:uid="{227AC1C5-A912-4BDA-9676-49C0CA29087B}"/>
    <cellStyle name="Normal 3 12 7 2" xfId="5553" xr:uid="{6F315906-7B3C-4275-9A3A-4F576347BCC2}"/>
    <cellStyle name="Normal 3 12 7 2 2" xfId="8170" xr:uid="{21A196CE-C4E1-4780-B10F-012095BE6BDE}"/>
    <cellStyle name="Normal 3 12 7 3" xfId="6862" xr:uid="{8E537966-9020-4E9E-A451-6F56893BF4F5}"/>
    <cellStyle name="Normal 3 12 8" xfId="4616" xr:uid="{E4CCC02E-E8F0-45CF-9095-5D6DDA11B107}"/>
    <cellStyle name="Normal 3 12 8 2" xfId="7233" xr:uid="{9733AB08-1BF7-46E4-AD44-3D75186EB8A8}"/>
    <cellStyle name="Normal 3 12 9" xfId="5925" xr:uid="{33D8F051-4F91-4626-A813-1AE722144D30}"/>
    <cellStyle name="Normal 3 13" xfId="25" xr:uid="{5222AD7C-95CC-4035-B9B7-EAF5571229F0}"/>
    <cellStyle name="Normal 3 13 2" xfId="2961" xr:uid="{E4AE2F3C-F6EF-467F-BE76-66448912965B}"/>
    <cellStyle name="Normal 3 13 2 2" xfId="3630" xr:uid="{0C4C316D-B335-4DE8-B4BA-6BCF12C3253F}"/>
    <cellStyle name="Normal 3 13 2 2 2" xfId="4120" xr:uid="{8F2F6378-46A1-4201-8057-1AF870F5B399}"/>
    <cellStyle name="Normal 3 13 2 2 2 2" xfId="5447" xr:uid="{A59B2180-346C-4C63-8DC7-517EF5D46A8B}"/>
    <cellStyle name="Normal 3 13 2 2 2 2 2" xfId="8064" xr:uid="{3944C806-94C6-4A07-8097-38316B403232}"/>
    <cellStyle name="Normal 3 13 2 2 2 3" xfId="6756" xr:uid="{44AFD886-71AA-483F-A287-0663C94A542B}"/>
    <cellStyle name="Normal 3 13 2 2 3" xfId="4975" xr:uid="{CDA997A4-1DEA-4AB7-98B7-DF911429F7B1}"/>
    <cellStyle name="Normal 3 13 2 2 3 2" xfId="7592" xr:uid="{FE27AAE0-DF56-430C-A46F-48D0502BF45E}"/>
    <cellStyle name="Normal 3 13 2 2 4" xfId="6284" xr:uid="{9B8D08E9-9B62-400D-A543-FEF49CF99045}"/>
    <cellStyle name="Normal 3 13 2 3" xfId="3891" xr:uid="{4CE38DB0-15D2-455A-9318-799B4555E198}"/>
    <cellStyle name="Normal 3 13 2 3 2" xfId="5218" xr:uid="{65AC44B8-A5EE-408D-8A5A-9E265A9E2FF4}"/>
    <cellStyle name="Normal 3 13 2 3 2 2" xfId="7835" xr:uid="{142ED382-B57E-4D32-904C-9FDEFBDB2CBD}"/>
    <cellStyle name="Normal 3 13 2 3 3" xfId="6527" xr:uid="{E0F19396-AF2E-4D2B-BCB7-67B8ECC4AAC3}"/>
    <cellStyle name="Normal 3 13 2 4" xfId="4356" xr:uid="{00EDDE28-E3A0-4215-80D9-E9D02BEB512A}"/>
    <cellStyle name="Normal 3 13 2 4 2" xfId="5683" xr:uid="{A5BD83E1-B94E-4A27-82A4-4317F407F31F}"/>
    <cellStyle name="Normal 3 13 2 4 2 2" xfId="8300" xr:uid="{34101970-B05F-49E3-BACE-42E742CC4536}"/>
    <cellStyle name="Normal 3 13 2 4 3" xfId="6992" xr:uid="{F5836496-38E4-4B91-9ADE-77F4663D5278}"/>
    <cellStyle name="Normal 3 13 2 5" xfId="4746" xr:uid="{00FE15AB-2816-47AE-ADE7-D94D776D0BB3}"/>
    <cellStyle name="Normal 3 13 2 5 2" xfId="7363" xr:uid="{8B65ED4D-2754-409E-96A9-39FC97B71FA8}"/>
    <cellStyle name="Normal 3 13 2 6" xfId="6055" xr:uid="{95E274C3-16DE-4514-BC17-61006341917D}"/>
    <cellStyle name="Normal 3 13 3" xfId="3495" xr:uid="{5C90E67B-BE9E-4A09-BE46-8EA2C0777640}"/>
    <cellStyle name="Normal 3 13 3 2" xfId="3985" xr:uid="{9781FB63-09AC-4F8E-9FA0-E50D403F16D7}"/>
    <cellStyle name="Normal 3 13 3 2 2" xfId="5312" xr:uid="{0D0873AD-3811-4355-9062-375398AC5022}"/>
    <cellStyle name="Normal 3 13 3 2 2 2" xfId="7929" xr:uid="{FCE2BF87-DF64-47E0-BB7D-667FA3FF26E1}"/>
    <cellStyle name="Normal 3 13 3 2 3" xfId="6621" xr:uid="{958AB025-D159-4AD4-BE2E-52A8A77572C5}"/>
    <cellStyle name="Normal 3 13 3 3" xfId="4840" xr:uid="{C5A68F65-D4E8-4597-A2E5-B63C469A7009}"/>
    <cellStyle name="Normal 3 13 3 3 2" xfId="7457" xr:uid="{91E7D9C0-CBB0-47CD-AF64-7D4EC5BA1FE5}"/>
    <cellStyle name="Normal 3 13 3 4" xfId="6149" xr:uid="{F4B09D19-CD98-4468-9077-EB425791EEAA}"/>
    <cellStyle name="Normal 3 13 4" xfId="3756" xr:uid="{24F73047-CF04-4EE6-83C4-BB07C1A760B4}"/>
    <cellStyle name="Normal 3 13 4 2" xfId="5083" xr:uid="{5F23AB23-1FDB-4DBC-AB71-AA4E2B78A7B5}"/>
    <cellStyle name="Normal 3 13 4 2 2" xfId="7700" xr:uid="{98A5E89A-B45C-433B-A1DC-373D45B0D383}"/>
    <cellStyle name="Normal 3 13 4 3" xfId="6392" xr:uid="{5F3C7A02-7E77-454F-A4F0-FC1976732F07}"/>
    <cellStyle name="Normal 3 13 5" xfId="4221" xr:uid="{9BB03722-AD0B-49E1-8FC2-8E3C91EA448D}"/>
    <cellStyle name="Normal 3 13 5 2" xfId="5548" xr:uid="{94838B7B-AC33-4858-8B77-2222BE5F5030}"/>
    <cellStyle name="Normal 3 13 5 2 2" xfId="8165" xr:uid="{443DEBEE-7DB1-4119-9B4C-B298781A7DDB}"/>
    <cellStyle name="Normal 3 13 5 3" xfId="6857" xr:uid="{E2AA6808-F60C-45EC-8527-AFBACE5EAD0E}"/>
    <cellStyle name="Normal 3 13 6" xfId="4611" xr:uid="{C3A60443-440A-4C0E-9788-1B39469A81B6}"/>
    <cellStyle name="Normal 3 13 6 2" xfId="7228" xr:uid="{99335D80-2282-4716-9740-948DCF6DB22F}"/>
    <cellStyle name="Normal 3 13 7" xfId="5920" xr:uid="{82F3CEE6-C0B5-44A2-97A8-8940B5882270}"/>
    <cellStyle name="Normal 3 14" xfId="2871" xr:uid="{9BC96785-724F-4771-B0E8-0873FA9C0C9E}"/>
    <cellStyle name="Normal 3 14 2" xfId="3017" xr:uid="{7B9A33BF-D1B1-4F8F-B587-EDE13C531914}"/>
    <cellStyle name="Normal 3 14 2 2" xfId="3686" xr:uid="{3055CFB1-19FD-4A7B-8F7F-ED8BEEB24848}"/>
    <cellStyle name="Normal 3 14 2 2 2" xfId="4160" xr:uid="{16710D85-5DC8-4558-9639-9D79A548E6CE}"/>
    <cellStyle name="Normal 3 14 2 2 2 2" xfId="5487" xr:uid="{E9E1BFD1-76CC-4597-B0A5-7A6BE8E5243A}"/>
    <cellStyle name="Normal 3 14 2 2 2 2 2" xfId="8104" xr:uid="{A99BB169-AE0E-4886-8DC9-A36DFF6FBE9E}"/>
    <cellStyle name="Normal 3 14 2 2 2 3" xfId="6796" xr:uid="{A8CFE3B4-EB2C-4381-A705-82FD0467525D}"/>
    <cellStyle name="Normal 3 14 2 2 3" xfId="5015" xr:uid="{985ED004-68AA-4CC4-96E7-B82DEEBA0FFF}"/>
    <cellStyle name="Normal 3 14 2 2 3 2" xfId="7632" xr:uid="{E1ADB3D1-B5F1-4E9E-B181-3E9092D7118D}"/>
    <cellStyle name="Normal 3 14 2 2 4" xfId="6324" xr:uid="{3989EC2C-4118-4C42-A526-C10CA865CF29}"/>
    <cellStyle name="Normal 3 14 2 3" xfId="3931" xr:uid="{FC735437-2D89-4830-B8B2-99C9F06B9D59}"/>
    <cellStyle name="Normal 3 14 2 3 2" xfId="5258" xr:uid="{11A2995E-358C-4156-97AD-B846024A1951}"/>
    <cellStyle name="Normal 3 14 2 3 2 2" xfId="7875" xr:uid="{00EAD9FD-E9D8-4BCE-809F-C853963142F0}"/>
    <cellStyle name="Normal 3 14 2 3 3" xfId="6567" xr:uid="{24604D8D-0A98-4911-9213-BEA1D37B0D6B}"/>
    <cellStyle name="Normal 3 14 2 4" xfId="4396" xr:uid="{2F38A434-0589-4AD5-BD10-77E490B9A58A}"/>
    <cellStyle name="Normal 3 14 2 4 2" xfId="5723" xr:uid="{4DEFB8E6-81CD-45F2-8D97-E33A54D93B4B}"/>
    <cellStyle name="Normal 3 14 2 4 2 2" xfId="8340" xr:uid="{37862EB9-9749-468E-9F15-121ECAEB1308}"/>
    <cellStyle name="Normal 3 14 2 4 3" xfId="7032" xr:uid="{23AC0CB5-C718-4EC1-9C30-A8FACFF2449F}"/>
    <cellStyle name="Normal 3 14 2 5" xfId="4786" xr:uid="{E15A61F0-091C-4406-8C44-48421B7671CF}"/>
    <cellStyle name="Normal 3 14 2 5 2" xfId="7403" xr:uid="{2E1AA5A3-1572-4448-AECE-9C06CB8E12E3}"/>
    <cellStyle name="Normal 3 14 2 6" xfId="6095" xr:uid="{E89DC2EB-7421-4B65-AEDE-431E135082C5}"/>
    <cellStyle name="Normal 3 14 3" xfId="3540" xr:uid="{1FEF3577-6A9F-44CE-B975-AD63EEAC2406}"/>
    <cellStyle name="Normal 3 14 3 2" xfId="4030" xr:uid="{CE8A121E-939C-451A-BE11-D2CE839AD3A9}"/>
    <cellStyle name="Normal 3 14 3 2 2" xfId="5357" xr:uid="{1A0E7F25-974D-42E2-9484-9166DD8A5E09}"/>
    <cellStyle name="Normal 3 14 3 2 2 2" xfId="7974" xr:uid="{F5F1A819-2EFB-470F-B0E9-66057077859D}"/>
    <cellStyle name="Normal 3 14 3 2 3" xfId="6666" xr:uid="{64F5EA04-4129-435C-BEF5-11E1AC6E370B}"/>
    <cellStyle name="Normal 3 14 3 3" xfId="4885" xr:uid="{1A9B9B2B-C0D9-44BF-B927-01100EA4DD5F}"/>
    <cellStyle name="Normal 3 14 3 3 2" xfId="7502" xr:uid="{869BCF81-3149-474D-9AA9-19765B4DE4CD}"/>
    <cellStyle name="Normal 3 14 3 4" xfId="6194" xr:uid="{1494BB09-2A5F-4F8D-AA4C-585715BC36CE}"/>
    <cellStyle name="Normal 3 14 4" xfId="3801" xr:uid="{4D99557A-9E33-4F43-9A23-A5AC1148A051}"/>
    <cellStyle name="Normal 3 14 4 2" xfId="5128" xr:uid="{E8462739-F558-4639-A2D1-F7F6CCC2A7F3}"/>
    <cellStyle name="Normal 3 14 4 2 2" xfId="7745" xr:uid="{07D0DC10-E2AB-49B0-836B-1ADFB006823B}"/>
    <cellStyle name="Normal 3 14 4 3" xfId="6437" xr:uid="{5F7CCD71-A3E0-496E-8178-4631055F2F77}"/>
    <cellStyle name="Normal 3 14 5" xfId="4266" xr:uid="{9AEFB86F-FB9F-4AFE-859B-1215CAC4E1D9}"/>
    <cellStyle name="Normal 3 14 5 2" xfId="5593" xr:uid="{48B45294-BF1C-4370-8EE6-2712836643C9}"/>
    <cellStyle name="Normal 3 14 5 2 2" xfId="8210" xr:uid="{2B9AF1F2-6397-4A11-985A-AC1A4BD7AAF3}"/>
    <cellStyle name="Normal 3 14 5 3" xfId="6902" xr:uid="{A19AF61E-F843-40E9-9419-F50595231803}"/>
    <cellStyle name="Normal 3 14 6" xfId="4656" xr:uid="{18051A30-02D4-4718-8A15-5636667683CA}"/>
    <cellStyle name="Normal 3 14 6 2" xfId="7273" xr:uid="{0A0B2BD0-4E4A-4AC8-B642-CBE0C37FB82F}"/>
    <cellStyle name="Normal 3 14 7" xfId="5965" xr:uid="{AB4BDEB0-F996-4223-9AB5-14571ACB22D9}"/>
    <cellStyle name="Normal 3 15" xfId="3481" xr:uid="{93AD2539-2E2D-421F-AF08-E422C8555185}"/>
    <cellStyle name="Normal 3 15 2" xfId="3728" xr:uid="{9FBEFE11-E946-4BC0-8C71-4846E3B94257}"/>
    <cellStyle name="Normal 3 15 2 2" xfId="4202" xr:uid="{51BA3C4A-4360-4107-9DB5-5C9511B06463}"/>
    <cellStyle name="Normal 3 15 2 2 2" xfId="5529" xr:uid="{613B7C64-8E1E-412D-87AE-DFA045FBB6B2}"/>
    <cellStyle name="Normal 3 15 2 2 2 2" xfId="8146" xr:uid="{1B564B49-EEC2-47EE-8AB3-1297E0CDB338}"/>
    <cellStyle name="Normal 3 15 2 2 3" xfId="6838" xr:uid="{419FE738-9542-4C92-A1C6-2D98AEBE1680}"/>
    <cellStyle name="Normal 3 15 2 3" xfId="5057" xr:uid="{C8AF207F-AA6D-4AF9-9138-19F9308A3D11}"/>
    <cellStyle name="Normal 3 15 2 3 2" xfId="7674" xr:uid="{FE59C2A2-9554-4E5A-9DF7-46A3B2FDB988}"/>
    <cellStyle name="Normal 3 15 2 4" xfId="6366" xr:uid="{B8850049-A8FF-42B0-97DE-72594CCFF75B}"/>
    <cellStyle name="Normal 3 15 3" xfId="3973" xr:uid="{FD75DE15-BEC2-42E6-9862-E47BCD632614}"/>
    <cellStyle name="Normal 3 15 3 2" xfId="5300" xr:uid="{ACC2A121-06AF-4EEA-A2E8-0C89740C26DF}"/>
    <cellStyle name="Normal 3 15 3 2 2" xfId="7917" xr:uid="{809A616A-B0DD-4B3B-8BDF-A29012CE91B7}"/>
    <cellStyle name="Normal 3 15 3 3" xfId="6609" xr:uid="{CAD8810E-E31E-43F0-8C2D-C73202F51601}"/>
    <cellStyle name="Normal 3 15 4" xfId="4438" xr:uid="{50AD44E9-2C72-4CE8-9DEE-577F66D9B41B}"/>
    <cellStyle name="Normal 3 15 4 2" xfId="5765" xr:uid="{0FBD79BB-4597-49BA-9E28-51BD8929613E}"/>
    <cellStyle name="Normal 3 15 4 2 2" xfId="8382" xr:uid="{42E5ECC5-173B-4DDD-9DD1-101CE257FA4A}"/>
    <cellStyle name="Normal 3 15 4 3" xfId="7074" xr:uid="{F1BC9102-5009-45BC-9ACD-7E71B2CEFB48}"/>
    <cellStyle name="Normal 3 15 5" xfId="4828" xr:uid="{2D00B339-0ACF-4475-8FBA-2EB34B0D3AD9}"/>
    <cellStyle name="Normal 3 15 5 2" xfId="7445" xr:uid="{B28C50D4-BF60-45E7-9770-1767DBB275FC}"/>
    <cellStyle name="Normal 3 15 6" xfId="6137" xr:uid="{FE77B0B0-B138-49F9-8AAF-C339D736D6F8}"/>
    <cellStyle name="Normal 3 16" xfId="3482" xr:uid="{DA5E3B33-0D5D-4015-BC69-CAD4D66474EE}"/>
    <cellStyle name="Normal 3 16 2" xfId="3729" xr:uid="{A14504B8-2B59-45DC-A5B5-3F8CB6B56A7A}"/>
    <cellStyle name="Normal 3 16 2 2" xfId="4203" xr:uid="{2167AF2A-0CDE-459D-801B-A251EB4279DA}"/>
    <cellStyle name="Normal 3 16 2 2 2" xfId="5530" xr:uid="{9B84FE2E-81A3-4D3A-BE36-B7AE9DC407AA}"/>
    <cellStyle name="Normal 3 16 2 2 2 2" xfId="8147" xr:uid="{686B4770-BEE4-460D-9294-CDA71C3B37DE}"/>
    <cellStyle name="Normal 3 16 2 2 3" xfId="6839" xr:uid="{BE44E5C3-2954-4423-B2E2-E29F31448793}"/>
    <cellStyle name="Normal 3 16 2 3" xfId="5058" xr:uid="{2700EA99-8DE6-41C9-9FB5-A7445D727BC7}"/>
    <cellStyle name="Normal 3 16 2 3 2" xfId="7675" xr:uid="{9781D686-47A7-4601-8E5D-7D4DC9C84EAA}"/>
    <cellStyle name="Normal 3 16 2 4" xfId="6367" xr:uid="{1AFD8E21-4D06-446A-B81D-3501277F7D9C}"/>
    <cellStyle name="Normal 3 16 3" xfId="3974" xr:uid="{5F6847C1-C8A3-4C9C-B020-B461C4D4608F}"/>
    <cellStyle name="Normal 3 16 3 2" xfId="5301" xr:uid="{80A4B1CD-7E44-44C4-8A27-647DBBEBE20D}"/>
    <cellStyle name="Normal 3 16 3 2 2" xfId="7918" xr:uid="{FFA18872-3618-4D23-B741-11F7DD09CEA5}"/>
    <cellStyle name="Normal 3 16 3 3" xfId="6610" xr:uid="{F90C3D04-41B8-4934-B35F-5FB3C6A93E7A}"/>
    <cellStyle name="Normal 3 16 4" xfId="4439" xr:uid="{40F7A229-D07F-4084-A3BD-B37122B9BE89}"/>
    <cellStyle name="Normal 3 16 4 2" xfId="5766" xr:uid="{D637A0EE-1BEE-4B52-9708-320B2473D62A}"/>
    <cellStyle name="Normal 3 16 4 2 2" xfId="8383" xr:uid="{DB9EE5CE-1F17-455A-B23E-39D15AF66D19}"/>
    <cellStyle name="Normal 3 16 4 3" xfId="7075" xr:uid="{A1C715C0-8FC9-4A27-845B-2FC3DCE2F4A0}"/>
    <cellStyle name="Normal 3 16 5" xfId="4829" xr:uid="{6331128F-DB8C-4E08-A328-27B82D1D5E15}"/>
    <cellStyle name="Normal 3 16 5 2" xfId="7446" xr:uid="{BD3C95B0-7E61-4D59-B049-C68A74D233EC}"/>
    <cellStyle name="Normal 3 16 6" xfId="6138" xr:uid="{284358B6-1A0E-4A17-B793-71C25F8AC10C}"/>
    <cellStyle name="Normal 3 17" xfId="2916" xr:uid="{E1470D30-0968-4AB4-86AA-CE8CC35963C2}"/>
    <cellStyle name="Normal 3 17 2" xfId="3585" xr:uid="{254563E4-644F-4A09-AC36-FBE4DD950CA6}"/>
    <cellStyle name="Normal 3 17 2 2" xfId="4075" xr:uid="{BC6D4EC9-0A89-49F1-8961-E0CBAF523741}"/>
    <cellStyle name="Normal 3 17 2 2 2" xfId="5402" xr:uid="{E4C65A18-253E-4619-9DC1-0EB75C49FB96}"/>
    <cellStyle name="Normal 3 17 2 2 2 2" xfId="8019" xr:uid="{7BCE3A05-A323-472A-8D3C-175B6E4AB056}"/>
    <cellStyle name="Normal 3 17 2 2 3" xfId="6711" xr:uid="{7E9468C7-A3A0-4FAB-8082-C5C6C491665B}"/>
    <cellStyle name="Normal 3 17 2 3" xfId="4930" xr:uid="{BB194C81-AB29-48A9-AC40-C7017F58EE3E}"/>
    <cellStyle name="Normal 3 17 2 3 2" xfId="7547" xr:uid="{ECF67FE6-ED7F-49D4-A2B6-15C94B700C8F}"/>
    <cellStyle name="Normal 3 17 2 4" xfId="6239" xr:uid="{75B946C0-821C-45A3-B584-3F750E00D2F9}"/>
    <cellStyle name="Normal 3 17 3" xfId="3846" xr:uid="{AD52C6D5-2BAA-4252-B79F-8B478DA8DC2B}"/>
    <cellStyle name="Normal 3 17 3 2" xfId="5173" xr:uid="{D8836203-45DA-4D40-97F8-93F7328DAF48}"/>
    <cellStyle name="Normal 3 17 3 2 2" xfId="7790" xr:uid="{9BC237C2-857C-4DA5-A64A-C1A4FDCE0107}"/>
    <cellStyle name="Normal 3 17 3 3" xfId="6482" xr:uid="{BCEBB6B5-796C-412C-A957-3028D62B9ECE}"/>
    <cellStyle name="Normal 3 17 4" xfId="4311" xr:uid="{1FA88475-B755-4D4E-A515-C818A80EDC8F}"/>
    <cellStyle name="Normal 3 17 4 2" xfId="5638" xr:uid="{230A9DE7-2969-4D65-9531-F0687F395D38}"/>
    <cellStyle name="Normal 3 17 4 2 2" xfId="8255" xr:uid="{57626231-E64B-4B32-AB1E-C3B8644CD210}"/>
    <cellStyle name="Normal 3 17 4 3" xfId="6947" xr:uid="{07DC13D2-728B-4E23-A4DE-C715D64EF3F6}"/>
    <cellStyle name="Normal 3 17 5" xfId="4701" xr:uid="{53280DF6-9E72-4E0D-BAB8-3ED8884B5726}"/>
    <cellStyle name="Normal 3 17 5 2" xfId="7318" xr:uid="{E37260B4-EDDE-43E4-8D88-C8DAADD61503}"/>
    <cellStyle name="Normal 3 17 6" xfId="6010" xr:uid="{0D12A112-8685-4223-9A9C-EF774D53CAAF}"/>
    <cellStyle name="Normal 3 18" xfId="3490" xr:uid="{5BF230E3-1F3B-4052-A93C-A945A2CA2145}"/>
    <cellStyle name="Normal 3 18 2" xfId="3980" xr:uid="{530B4CAF-2354-4B2E-8CCA-F8D686390ECF}"/>
    <cellStyle name="Normal 3 18 2 2" xfId="5307" xr:uid="{FB100193-13F5-4CC0-977A-B71B1C0CC5CA}"/>
    <cellStyle name="Normal 3 18 2 2 2" xfId="7924" xr:uid="{B2CFDAD8-33FD-4C1E-A807-80508936199F}"/>
    <cellStyle name="Normal 3 18 2 3" xfId="6616" xr:uid="{26556BC1-E078-4331-9E49-C61844603D38}"/>
    <cellStyle name="Normal 3 18 3" xfId="4444" xr:uid="{C526116E-8910-4EE2-8BB5-0832B034CF3F}"/>
    <cellStyle name="Normal 3 18 3 2" xfId="5771" xr:uid="{B77FB3D2-15CA-4BE5-8DD7-95A11A18ABBC}"/>
    <cellStyle name="Normal 3 18 3 2 2" xfId="8388" xr:uid="{13BDBCED-4D19-4325-9E15-5B0DA31B6646}"/>
    <cellStyle name="Normal 3 18 3 3" xfId="7080" xr:uid="{E539EACC-4D43-4B6E-9FF6-B9693EB33225}"/>
    <cellStyle name="Normal 3 18 4" xfId="4835" xr:uid="{DC90C91F-D188-4D04-9FA8-B1CBBED59849}"/>
    <cellStyle name="Normal 3 18 4 2" xfId="7452" xr:uid="{0360B819-F7C3-4AE6-9826-BA25D3121D2F}"/>
    <cellStyle name="Normal 3 18 5" xfId="6144" xr:uid="{E44282DA-9EA1-4801-9765-63A6B2BA84A8}"/>
    <cellStyle name="Normal 3 19" xfId="20" xr:uid="{01FAD78A-0759-4848-9D6B-26241B42F2ED}"/>
    <cellStyle name="Normal 3 19 2" xfId="3751" xr:uid="{03299078-9E8A-46AB-BC0A-BBD3E7AA65B8}"/>
    <cellStyle name="Normal 3 19 2 2" xfId="5078" xr:uid="{22EC7FAA-22B2-445B-B528-4C6397A37FF8}"/>
    <cellStyle name="Normal 3 19 2 2 2" xfId="7695" xr:uid="{735EC56F-3089-49C4-838E-3E65BEF09915}"/>
    <cellStyle name="Normal 3 19 2 3" xfId="6387" xr:uid="{FEC34B12-4E87-47B4-A4CB-7AF6299DA79E}"/>
    <cellStyle name="Normal 3 19 3" xfId="4507" xr:uid="{3A23FD0C-9E0C-4AC1-B418-B0ABB4EEFE1B}"/>
    <cellStyle name="Normal 3 19 3 2" xfId="5816" xr:uid="{37D7BEB6-B74B-441D-91FF-16682DBCD23B}"/>
    <cellStyle name="Normal 3 19 3 2 2" xfId="8433" xr:uid="{171A2986-5731-4645-BB16-7B7C07E65B1A}"/>
    <cellStyle name="Normal 3 19 3 3" xfId="7125" xr:uid="{8D715CBA-0590-4BB0-8258-C4A1F84E3E9A}"/>
    <cellStyle name="Normal 3 19 4" xfId="4606" xr:uid="{86774397-B1F1-4102-980B-0A74018C799D}"/>
    <cellStyle name="Normal 3 19 4 2" xfId="7223" xr:uid="{121151FF-C5DA-49B2-A1B6-F8B27B136B65}"/>
    <cellStyle name="Normal 3 19 5" xfId="5915" xr:uid="{B2E477F1-6F0A-49D8-954F-3B88F3BACBA8}"/>
    <cellStyle name="Normal 3 2" xfId="14" xr:uid="{00000000-0005-0000-0000-000006000000}"/>
    <cellStyle name="Normal 3 2 10" xfId="3483" xr:uid="{204754A9-C5C4-49E8-B53E-3445CB1B94B3}"/>
    <cellStyle name="Normal 3 2 10 2" xfId="3730" xr:uid="{10FB8932-2484-4AEC-B949-990BE1A824BE}"/>
    <cellStyle name="Normal 3 2 10 2 2" xfId="4204" xr:uid="{E9EA16AC-31B3-4480-B078-8B659D3AC210}"/>
    <cellStyle name="Normal 3 2 10 2 2 2" xfId="5531" xr:uid="{AFE989B7-6AE5-49DE-9BAE-57C55AE75D11}"/>
    <cellStyle name="Normal 3 2 10 2 2 2 2" xfId="8148" xr:uid="{E7B8EBA9-DA1B-4F54-A514-A69414C82087}"/>
    <cellStyle name="Normal 3 2 10 2 2 3" xfId="6840" xr:uid="{FDCF1B8A-08A6-41E3-B7BE-1F24D5280A70}"/>
    <cellStyle name="Normal 3 2 10 2 3" xfId="5059" xr:uid="{1F6F3C1F-8492-4683-BFDA-32052F9C238D}"/>
    <cellStyle name="Normal 3 2 10 2 3 2" xfId="7676" xr:uid="{87671E2B-7C2F-4F6D-A4F1-4EFE93D6B5A9}"/>
    <cellStyle name="Normal 3 2 10 2 4" xfId="6368" xr:uid="{7E3CCA3F-D321-4D80-91B3-3F1601540398}"/>
    <cellStyle name="Normal 3 2 10 3" xfId="3975" xr:uid="{9AA84B67-C775-419F-8DD8-B697BF05D648}"/>
    <cellStyle name="Normal 3 2 10 3 2" xfId="5302" xr:uid="{16254C5F-55EB-4B08-80E1-D097F24E5300}"/>
    <cellStyle name="Normal 3 2 10 3 2 2" xfId="7919" xr:uid="{71554AAD-E410-4BA8-9B74-217BF1B8076B}"/>
    <cellStyle name="Normal 3 2 10 3 3" xfId="6611" xr:uid="{79225364-C640-4333-A82C-DEC410AD339B}"/>
    <cellStyle name="Normal 3 2 10 4" xfId="4440" xr:uid="{9728B2CE-96B0-4533-AC72-9A5BF3556200}"/>
    <cellStyle name="Normal 3 2 10 4 2" xfId="5767" xr:uid="{A329BDF1-333A-4D62-8268-5B315E578D12}"/>
    <cellStyle name="Normal 3 2 10 4 2 2" xfId="8384" xr:uid="{79EE2E0A-537A-4886-90DA-37A6B44B9751}"/>
    <cellStyle name="Normal 3 2 10 4 3" xfId="7076" xr:uid="{7AC73E20-FFEB-4B25-8AC8-EBD7EDA7AD43}"/>
    <cellStyle name="Normal 3 2 10 5" xfId="4830" xr:uid="{3764C77C-CCAA-488C-9913-53B06CA71F95}"/>
    <cellStyle name="Normal 3 2 10 5 2" xfId="7447" xr:uid="{561065C7-4BBE-43DD-A6C1-3715C1556AE5}"/>
    <cellStyle name="Normal 3 2 10 6" xfId="6139" xr:uid="{921D5EAD-B11A-4CD3-932C-2B37609D8F8D}"/>
    <cellStyle name="Normal 3 2 11" xfId="2917" xr:uid="{E35462F0-8F70-4525-96D0-17696167AD10}"/>
    <cellStyle name="Normal 3 2 11 2" xfId="3586" xr:uid="{4932E65F-F071-4A37-B3CE-70FD45154E58}"/>
    <cellStyle name="Normal 3 2 11 2 2" xfId="4076" xr:uid="{26D06FC5-35B6-483D-B113-B637514A9009}"/>
    <cellStyle name="Normal 3 2 11 2 2 2" xfId="5403" xr:uid="{77CB7E1C-9F13-4922-AABD-53F50D9D4370}"/>
    <cellStyle name="Normal 3 2 11 2 2 2 2" xfId="8020" xr:uid="{ED320BB8-957B-4988-BE52-2BBE0C6B1BC8}"/>
    <cellStyle name="Normal 3 2 11 2 2 3" xfId="6712" xr:uid="{4AD8A267-94D4-41FB-B376-D4C4C5CFBBD5}"/>
    <cellStyle name="Normal 3 2 11 2 3" xfId="4931" xr:uid="{53FC0296-A8D6-4029-A438-60D3382D1AFA}"/>
    <cellStyle name="Normal 3 2 11 2 3 2" xfId="7548" xr:uid="{FD9FDFF2-ECAC-49EC-80CE-B121DBA734B2}"/>
    <cellStyle name="Normal 3 2 11 2 4" xfId="6240" xr:uid="{66984449-B47E-4202-997F-601A8F360F78}"/>
    <cellStyle name="Normal 3 2 11 3" xfId="3847" xr:uid="{4511297C-C0CD-4D1D-B02D-ED1E884A8DA5}"/>
    <cellStyle name="Normal 3 2 11 3 2" xfId="5174" xr:uid="{71B20C67-9424-40BE-90BA-B8DF2A57A82F}"/>
    <cellStyle name="Normal 3 2 11 3 2 2" xfId="7791" xr:uid="{99FE4056-9F78-4FF5-90D5-932D7B27F4D9}"/>
    <cellStyle name="Normal 3 2 11 3 3" xfId="6483" xr:uid="{00DF33A0-980A-4849-85FE-047612C4D5D4}"/>
    <cellStyle name="Normal 3 2 11 4" xfId="4312" xr:uid="{0341EDCF-CDD8-4D4A-92C7-4EFF6360C53B}"/>
    <cellStyle name="Normal 3 2 11 4 2" xfId="5639" xr:uid="{6D9DAA90-1186-4332-9965-FC9EA891870D}"/>
    <cellStyle name="Normal 3 2 11 4 2 2" xfId="8256" xr:uid="{C584019E-3E21-474F-B55C-E2A9B1FE80FA}"/>
    <cellStyle name="Normal 3 2 11 4 3" xfId="6948" xr:uid="{6F272FFE-8D59-4442-9CEE-15EC058C4C83}"/>
    <cellStyle name="Normal 3 2 11 5" xfId="4702" xr:uid="{4151EC59-7B04-40CE-8668-0D1726D53B5B}"/>
    <cellStyle name="Normal 3 2 11 5 2" xfId="7319" xr:uid="{8981FBEE-432F-469B-8644-BDAC3540D3DC}"/>
    <cellStyle name="Normal 3 2 11 6" xfId="6011" xr:uid="{9A4AF8C9-9089-4554-B142-E1B302890283}"/>
    <cellStyle name="Normal 3 2 12" xfId="3491" xr:uid="{E6FA6BF8-52AA-49A2-95E3-BF658A677DAB}"/>
    <cellStyle name="Normal 3 2 12 2" xfId="3981" xr:uid="{ECD6D0CA-A953-4133-A4C9-2F1CCF1081B8}"/>
    <cellStyle name="Normal 3 2 12 2 2" xfId="5308" xr:uid="{C4191847-9790-4E23-8415-7B98BB83A88A}"/>
    <cellStyle name="Normal 3 2 12 2 2 2" xfId="7925" xr:uid="{166E2F59-2CA6-47FE-9188-3A587580BC6B}"/>
    <cellStyle name="Normal 3 2 12 2 3" xfId="6617" xr:uid="{41901865-0561-4368-A76B-8F11A10ED50C}"/>
    <cellStyle name="Normal 3 2 12 3" xfId="4445" xr:uid="{11EA1E3B-7319-42A5-9E24-38500C983EF7}"/>
    <cellStyle name="Normal 3 2 12 3 2" xfId="5772" xr:uid="{2A5F0BAF-AB3B-4345-B750-3B9D4F91B538}"/>
    <cellStyle name="Normal 3 2 12 3 2 2" xfId="8389" xr:uid="{99D98D58-BCBD-4312-84C8-6558988805B3}"/>
    <cellStyle name="Normal 3 2 12 3 3" xfId="7081" xr:uid="{542368AB-7CD1-460A-905B-B50AC23F413B}"/>
    <cellStyle name="Normal 3 2 12 4" xfId="4836" xr:uid="{E6B3C97F-95A4-4F35-A4E6-1AF3C3E6512A}"/>
    <cellStyle name="Normal 3 2 12 4 2" xfId="7453" xr:uid="{3CBD537B-E3A8-44C4-B59F-2CFB4DF35A56}"/>
    <cellStyle name="Normal 3 2 12 5" xfId="6145" xr:uid="{4C309475-6C4C-4920-B2D9-8D6ABAEF204C}"/>
    <cellStyle name="Normal 3 2 13" xfId="21" xr:uid="{25DBC5BC-7E32-4E3B-A20B-D4888C99BA99}"/>
    <cellStyle name="Normal 3 2 13 2" xfId="3752" xr:uid="{CB5CDB42-0FBF-4036-8C5A-18CFE722A5F3}"/>
    <cellStyle name="Normal 3 2 13 2 2" xfId="5079" xr:uid="{493DF6B8-B071-4658-B3E3-FA0E367DB1D8}"/>
    <cellStyle name="Normal 3 2 13 2 2 2" xfId="7696" xr:uid="{CBA5703D-4F24-44B9-98A1-1FAABDD9AA06}"/>
    <cellStyle name="Normal 3 2 13 2 3" xfId="6388" xr:uid="{BF8F2507-0133-4346-AE6C-46EC71BC0E38}"/>
    <cellStyle name="Normal 3 2 13 3" xfId="4508" xr:uid="{C0C5AC6E-918A-4442-9429-14BA4DE65B76}"/>
    <cellStyle name="Normal 3 2 13 3 2" xfId="5817" xr:uid="{A13D09DA-A445-4ECC-A100-DE4E403B83A0}"/>
    <cellStyle name="Normal 3 2 13 3 2 2" xfId="8434" xr:uid="{D2799BA3-BB4E-4C38-B95B-6A81A8B5199A}"/>
    <cellStyle name="Normal 3 2 13 3 3" xfId="7126" xr:uid="{30E1E432-A147-4513-AEBD-EF2D600884CE}"/>
    <cellStyle name="Normal 3 2 13 4" xfId="4607" xr:uid="{0514AB92-18DB-4965-A195-58AC3FA31839}"/>
    <cellStyle name="Normal 3 2 13 4 2" xfId="7224" xr:uid="{7EED2A06-1DC6-4575-ACD6-EEE7601DDF8F}"/>
    <cellStyle name="Normal 3 2 13 5" xfId="5916" xr:uid="{09AE27C7-4C32-47F7-BE40-A975A758EC1B}"/>
    <cellStyle name="Normal 3 2 14" xfId="3746" xr:uid="{000EF339-2904-4539-841B-5FA5BB7072CC}"/>
    <cellStyle name="Normal 3 2 14 2" xfId="4553" xr:uid="{45F998D6-2895-45BB-A039-92A97032A8FB}"/>
    <cellStyle name="Normal 3 2 14 2 2" xfId="5862" xr:uid="{C0FA38B2-8300-4123-B2B9-78CC132D4800}"/>
    <cellStyle name="Normal 3 2 14 2 2 2" xfId="8479" xr:uid="{EC9B7BF2-E4BD-46D1-BC43-57534E351E18}"/>
    <cellStyle name="Normal 3 2 14 2 3" xfId="7171" xr:uid="{0A790C11-749B-4516-A4B4-D7639A2BC79F}"/>
    <cellStyle name="Normal 3 2 14 3" xfId="5073" xr:uid="{0FD6D737-3FBC-4B5C-A1AF-9A58425D4CA3}"/>
    <cellStyle name="Normal 3 2 14 3 2" xfId="7690" xr:uid="{ABFAB826-9DAA-42C2-BC79-E659A5967786}"/>
    <cellStyle name="Normal 3 2 14 4" xfId="6382" xr:uid="{F96CE442-6412-4149-9359-D465A10852F5}"/>
    <cellStyle name="Normal 3 2 15" xfId="4217" xr:uid="{75F0FDF5-0426-4A71-9EE5-81681C1DFCDE}"/>
    <cellStyle name="Normal 3 2 15 2" xfId="5544" xr:uid="{DED06AB0-CD2D-4608-A566-EF5B8B1700E1}"/>
    <cellStyle name="Normal 3 2 15 2 2" xfId="8161" xr:uid="{9DBE74D7-3932-476A-B9C9-8A2AC95D9C98}"/>
    <cellStyle name="Normal 3 2 15 3" xfId="6853" xr:uid="{EA96AB01-0FA7-48AB-A02D-EB28F1D98E01}"/>
    <cellStyle name="Normal 3 2 16" xfId="4601" xr:uid="{F9DD9798-F697-486E-A542-E818FAFED0AA}"/>
    <cellStyle name="Normal 3 2 16 2" xfId="7218" xr:uid="{276D895F-056F-4174-800E-4FBDE008A881}"/>
    <cellStyle name="Normal 3 2 17" xfId="5910" xr:uid="{C811A593-67C2-4746-98BA-D45685DF2EDD}"/>
    <cellStyle name="Normal 3 2 2" xfId="18" xr:uid="{00000000-0005-0000-0000-000007000000}"/>
    <cellStyle name="Normal 3 2 2 10" xfId="4220" xr:uid="{628B8B8E-4020-4C12-B061-E9C9846E04BE}"/>
    <cellStyle name="Normal 3 2 2 10 2" xfId="5547" xr:uid="{4240C1C6-9A64-42EB-BB91-E19579AA3A57}"/>
    <cellStyle name="Normal 3 2 2 10 2 2" xfId="8164" xr:uid="{2D1BC535-6BE7-4C4E-85E6-84CF7AA661A6}"/>
    <cellStyle name="Normal 3 2 2 10 3" xfId="6856" xr:uid="{F1BB9663-26FE-4847-B9F4-A9CA8286FF6D}"/>
    <cellStyle name="Normal 3 2 2 11" xfId="4604" xr:uid="{9E3B5C43-F1DB-4EC4-9614-E916C59012A7}"/>
    <cellStyle name="Normal 3 2 2 11 2" xfId="7221" xr:uid="{7F782F38-F5FE-403D-9458-450C5137BBFA}"/>
    <cellStyle name="Normal 3 2 2 12" xfId="5913" xr:uid="{F85D6EBB-0C39-4CAA-8B0A-818D5907A241}"/>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7" xr:uid="{48CB2940-478D-4C7A-9C0C-12EB3CD95515}"/>
    <cellStyle name="Normal 3 2 2 3 2 2 2 2" xfId="5534" xr:uid="{C60866A3-79F4-4A33-9841-03B604CAF6A0}"/>
    <cellStyle name="Normal 3 2 2 3 2 2 2 2 2" xfId="8151" xr:uid="{4B35CAB1-37B0-4076-A9E1-E5B65F5D5596}"/>
    <cellStyle name="Normal 3 2 2 3 2 2 2 3" xfId="6843" xr:uid="{87F4CBA6-8A26-4682-A4F3-07FEB23CEE19}"/>
    <cellStyle name="Normal 3 2 2 3 2 2 3" xfId="5062" xr:uid="{1F4A3C50-7577-4D90-8B9F-023476E1FD95}"/>
    <cellStyle name="Normal 3 2 2 3 2 2 3 2" xfId="7679" xr:uid="{C1A4C2AB-EDC9-4BB4-AEEB-C5F282B1EB89}"/>
    <cellStyle name="Normal 3 2 2 3 2 2 4" xfId="6371" xr:uid="{9F95C52B-9BCA-4436-9E3D-7146E3E4121F}"/>
    <cellStyle name="Normal 3 2 2 3 2 3" xfId="3978" xr:uid="{46FEA52C-2741-4F5A-84DE-571BC78C3249}"/>
    <cellStyle name="Normal 3 2 2 3 2 3 2" xfId="5305" xr:uid="{81C59800-A85D-492F-A426-9D6605044929}"/>
    <cellStyle name="Normal 3 2 2 3 2 3 2 2" xfId="7922" xr:uid="{E37F4248-EACD-46CD-8EED-C9DCE40EE13D}"/>
    <cellStyle name="Normal 3 2 2 3 2 3 3" xfId="6614" xr:uid="{80B0D7C5-53C8-469E-8244-466A328911BC}"/>
    <cellStyle name="Normal 3 2 2 3 2 4" xfId="4443" xr:uid="{091AA3CC-3CCF-40E7-99B2-28E8571A23B9}"/>
    <cellStyle name="Normal 3 2 2 3 2 4 2" xfId="5770" xr:uid="{4EBFBC9B-7A85-44EB-ACC5-0835851EC8B7}"/>
    <cellStyle name="Normal 3 2 2 3 2 4 2 2" xfId="8387" xr:uid="{930B4BD2-1161-4007-A980-122EABAA8924}"/>
    <cellStyle name="Normal 3 2 2 3 2 4 3" xfId="7079" xr:uid="{CAC1BA3C-65D0-419C-ABD4-4948DE511B6D}"/>
    <cellStyle name="Normal 3 2 2 3 2 5" xfId="4833" xr:uid="{B99A6EF8-43A1-4E1A-A700-3801E513AAE8}"/>
    <cellStyle name="Normal 3 2 2 3 2 5 2" xfId="7450" xr:uid="{2B0A1DFF-0012-4671-9BAA-CD37401502CF}"/>
    <cellStyle name="Normal 3 2 2 3 2 6" xfId="6142" xr:uid="{FFB09B2E-0C7D-4CDA-BA62-2092E5A3AEAB}"/>
    <cellStyle name="Normal 3 2 2 3 3" xfId="3499" xr:uid="{D87B35BA-D399-4133-B262-4A0EED1F1321}"/>
    <cellStyle name="Normal 3 2 2 3 3 2" xfId="3989" xr:uid="{A073B45E-911F-43B0-918F-DF0545A36DE2}"/>
    <cellStyle name="Normal 3 2 2 3 3 2 2" xfId="5316" xr:uid="{E8E65138-56A0-480C-8542-216AFC70A51D}"/>
    <cellStyle name="Normal 3 2 2 3 3 2 2 2" xfId="7933" xr:uid="{6AA8EF9C-B64A-4346-9F05-302606667EC0}"/>
    <cellStyle name="Normal 3 2 2 3 3 2 3" xfId="6625" xr:uid="{8394D850-E7EC-4ACF-8F4C-A0B53AA57F3B}"/>
    <cellStyle name="Normal 3 2 2 3 3 3" xfId="4844" xr:uid="{9C9EE260-341E-45C0-BE47-DE2E16F6A7BA}"/>
    <cellStyle name="Normal 3 2 2 3 3 3 2" xfId="7461" xr:uid="{D5AA61C2-0422-4BE2-A810-75EF50F5CF60}"/>
    <cellStyle name="Normal 3 2 2 3 3 4" xfId="6153" xr:uid="{3A6A2B26-3DA6-47AD-AE71-0F350C0141CC}"/>
    <cellStyle name="Normal 3 2 2 3 4" xfId="3760" xr:uid="{1377FF53-FDAF-4EC7-BC99-81466B72337C}"/>
    <cellStyle name="Normal 3 2 2 3 4 2" xfId="5087" xr:uid="{ACEE7BFC-A7F6-4794-9783-284557C99C4B}"/>
    <cellStyle name="Normal 3 2 2 3 4 2 2" xfId="7704" xr:uid="{A7DAF159-0CB8-4099-8E76-9602B5EB2334}"/>
    <cellStyle name="Normal 3 2 2 3 4 3" xfId="6396" xr:uid="{D2E52049-239C-4BB5-840B-5C9180DF831B}"/>
    <cellStyle name="Normal 3 2 2 3 5" xfId="4225" xr:uid="{1D15E948-9AD7-42EC-8EAC-A3C887291C82}"/>
    <cellStyle name="Normal 3 2 2 3 5 2" xfId="5552" xr:uid="{709AADB5-DBC1-4412-B7A6-5521559EF183}"/>
    <cellStyle name="Normal 3 2 2 3 5 2 2" xfId="8169" xr:uid="{40FDCBFD-9B22-4A59-80B8-BED7FD310639}"/>
    <cellStyle name="Normal 3 2 2 3 5 3" xfId="6861" xr:uid="{B5970B10-009B-46F6-924C-73B2196849CF}"/>
    <cellStyle name="Normal 3 2 2 3 6" xfId="4615" xr:uid="{CB517324-1F29-4779-9581-1C9D769616F8}"/>
    <cellStyle name="Normal 3 2 2 3 6 2" xfId="7232" xr:uid="{78B66019-2291-429B-9830-56C5487CB56E}"/>
    <cellStyle name="Normal 3 2 2 3 7" xfId="5924" xr:uid="{6F1C4BB3-61ED-46D3-AFF1-2E9107085BDF}"/>
    <cellStyle name="Normal 3 2 2 4" xfId="2875" xr:uid="{602BD524-FA18-41D2-A125-18B8D1D6943E}"/>
    <cellStyle name="Normal 3 2 2 4 2" xfId="3544" xr:uid="{98E9EC8A-0583-4C6D-A165-2B499227DFF9}"/>
    <cellStyle name="Normal 3 2 2 4 2 2" xfId="4034" xr:uid="{792A4841-2D08-4F87-A514-978E447CB301}"/>
    <cellStyle name="Normal 3 2 2 4 2 2 2" xfId="5361" xr:uid="{F07C66A2-C587-40D8-A02B-157E07880B10}"/>
    <cellStyle name="Normal 3 2 2 4 2 2 2 2" xfId="7978" xr:uid="{F383A095-17DB-4C6C-B0C4-2272906DEEF5}"/>
    <cellStyle name="Normal 3 2 2 4 2 2 3" xfId="6670" xr:uid="{618AE973-C143-4387-9382-7850514EBF97}"/>
    <cellStyle name="Normal 3 2 2 4 2 3" xfId="4889" xr:uid="{E361C01F-62C9-4779-B19F-8408E07A093F}"/>
    <cellStyle name="Normal 3 2 2 4 2 3 2" xfId="7506" xr:uid="{BD07A5CE-3FED-4CA4-8D5C-0CF95503A9D7}"/>
    <cellStyle name="Normal 3 2 2 4 2 4" xfId="6198" xr:uid="{04478B9C-63E5-42AF-8AB0-8044F6E2BFD2}"/>
    <cellStyle name="Normal 3 2 2 4 3" xfId="3805" xr:uid="{F4D53953-E76E-4310-9CFB-832B22854D77}"/>
    <cellStyle name="Normal 3 2 2 4 3 2" xfId="5132" xr:uid="{3DF62145-C56D-447F-9825-01F3E74ACBE0}"/>
    <cellStyle name="Normal 3 2 2 4 3 2 2" xfId="7749" xr:uid="{DBC7DFE3-860F-4FB8-8FE8-5AB53E31A40E}"/>
    <cellStyle name="Normal 3 2 2 4 3 3" xfId="6441" xr:uid="{F1DA77A9-E685-4E3E-8D2A-0D881509590D}"/>
    <cellStyle name="Normal 3 2 2 4 4" xfId="4270" xr:uid="{C1343857-5B43-4045-9D83-E986073970C9}"/>
    <cellStyle name="Normal 3 2 2 4 4 2" xfId="5597" xr:uid="{075A5C72-0C5E-4DCD-A6A4-E4D4B6BC6F4B}"/>
    <cellStyle name="Normal 3 2 2 4 4 2 2" xfId="8214" xr:uid="{B156C792-5951-4813-9C65-E2F4A32AC6F5}"/>
    <cellStyle name="Normal 3 2 2 4 4 3" xfId="6906" xr:uid="{FDC83387-95D3-46B8-8741-A40EE5C4A5D3}"/>
    <cellStyle name="Normal 3 2 2 4 5" xfId="4660" xr:uid="{40726761-BC19-4E2D-A7E5-DA564AD5F307}"/>
    <cellStyle name="Normal 3 2 2 4 5 2" xfId="7277" xr:uid="{992BD189-67E7-42A3-BB6E-7862DB8480F9}"/>
    <cellStyle name="Normal 3 2 2 4 6" xfId="5969" xr:uid="{980BA430-DCFF-406D-886C-4DEED08A7E90}"/>
    <cellStyle name="Normal 3 2 2 5" xfId="2920" xr:uid="{DF30F75E-C3A9-47A4-A54D-4259E8EB977F}"/>
    <cellStyle name="Normal 3 2 2 5 2" xfId="3589" xr:uid="{0E657184-C9AE-427D-B917-7A0928B66E88}"/>
    <cellStyle name="Normal 3 2 2 5 2 2" xfId="4079" xr:uid="{050A8AEC-1594-4121-8FDA-CF412B2F7433}"/>
    <cellStyle name="Normal 3 2 2 5 2 2 2" xfId="5406" xr:uid="{638A819C-BB82-4C44-9805-51E551BD0CF7}"/>
    <cellStyle name="Normal 3 2 2 5 2 2 2 2" xfId="8023" xr:uid="{9C5E430C-80C8-4A1C-A51E-9CE789A87527}"/>
    <cellStyle name="Normal 3 2 2 5 2 2 3" xfId="6715" xr:uid="{996F3E03-27D3-407C-BF3A-72D5267F6290}"/>
    <cellStyle name="Normal 3 2 2 5 2 3" xfId="4934" xr:uid="{3C8B1A9F-2324-4D3B-BDFF-B079FDAB9ABE}"/>
    <cellStyle name="Normal 3 2 2 5 2 3 2" xfId="7551" xr:uid="{F0B4A1B2-E289-4692-894C-7B5B2A12449B}"/>
    <cellStyle name="Normal 3 2 2 5 2 4" xfId="6243" xr:uid="{977A9AAA-106E-4C18-8E16-8590791E8E2E}"/>
    <cellStyle name="Normal 3 2 2 5 3" xfId="3850" xr:uid="{E9FF7111-A541-411A-AD91-B475053623D1}"/>
    <cellStyle name="Normal 3 2 2 5 3 2" xfId="5177" xr:uid="{F2A141DA-EBF2-4483-B9F5-953EA51638C0}"/>
    <cellStyle name="Normal 3 2 2 5 3 2 2" xfId="7794" xr:uid="{C28D7774-D8F9-4F11-92DF-44E058E39B4B}"/>
    <cellStyle name="Normal 3 2 2 5 3 3" xfId="6486" xr:uid="{85534499-04F6-44B3-ADA9-DDBEFBDBD5A0}"/>
    <cellStyle name="Normal 3 2 2 5 4" xfId="4315" xr:uid="{27D8340A-91EF-441D-975E-161FC2F23903}"/>
    <cellStyle name="Normal 3 2 2 5 4 2" xfId="5642" xr:uid="{39BFB404-7DD7-4655-99B0-2FEBB3AF1A68}"/>
    <cellStyle name="Normal 3 2 2 5 4 2 2" xfId="8259" xr:uid="{383C4384-2D03-47BD-86AF-74AEE8A0608B}"/>
    <cellStyle name="Normal 3 2 2 5 4 3" xfId="6951" xr:uid="{02771B44-3BB4-4775-BB01-AA9A171717E5}"/>
    <cellStyle name="Normal 3 2 2 5 5" xfId="4705" xr:uid="{395C6118-A6E4-40F6-BBD4-8BA34C65363F}"/>
    <cellStyle name="Normal 3 2 2 5 5 2" xfId="7322" xr:uid="{9C138E81-FFFA-4C55-BFEA-9275A7A3F7D9}"/>
    <cellStyle name="Normal 3 2 2 5 6" xfId="6014" xr:uid="{DB83AC54-E36A-46B2-A4CF-23FF00BF026B}"/>
    <cellStyle name="Normal 3 2 2 6" xfId="3494" xr:uid="{62B6D280-2B34-43A6-A094-7F89EDC62849}"/>
    <cellStyle name="Normal 3 2 2 6 2" xfId="3984" xr:uid="{1EEB23F2-EC90-4EA1-9FB1-3B0F715B465B}"/>
    <cellStyle name="Normal 3 2 2 6 2 2" xfId="5311" xr:uid="{FB1A378A-41BC-4A9B-B12A-316893B382CB}"/>
    <cellStyle name="Normal 3 2 2 6 2 2 2" xfId="7928" xr:uid="{DC564DFD-0791-480D-BCA9-42E7E7C76E98}"/>
    <cellStyle name="Normal 3 2 2 6 2 3" xfId="6620" xr:uid="{68DD7498-A99C-4B1F-A79C-FB29F0A41188}"/>
    <cellStyle name="Normal 3 2 2 6 3" xfId="4448" xr:uid="{9CE55A90-C338-41C7-B3FD-D22C0329CE1F}"/>
    <cellStyle name="Normal 3 2 2 6 3 2" xfId="5775" xr:uid="{74426446-5A4B-46E8-B590-12F26C70B511}"/>
    <cellStyle name="Normal 3 2 2 6 3 2 2" xfId="8392" xr:uid="{FE9D76D2-BA6B-4616-B35E-72869D1F7913}"/>
    <cellStyle name="Normal 3 2 2 6 3 3" xfId="7084" xr:uid="{792B8D77-C4FD-4A0D-BE21-CFDD20CEDE6B}"/>
    <cellStyle name="Normal 3 2 2 6 4" xfId="4839" xr:uid="{60791AEE-E48F-4BA4-AC57-66215F23DDEF}"/>
    <cellStyle name="Normal 3 2 2 6 4 2" xfId="7456" xr:uid="{C2AB4ED0-3C61-4EFC-B442-8F5D07237DFB}"/>
    <cellStyle name="Normal 3 2 2 6 5" xfId="6148" xr:uid="{C939637D-7B5D-45CB-92F5-53C301538EEA}"/>
    <cellStyle name="Normal 3 2 2 7" xfId="3734" xr:uid="{279AF43C-9DF2-4779-988B-7998645A2B19}"/>
    <cellStyle name="Normal 3 2 2 7 2" xfId="4208" xr:uid="{FCF0D054-9C4B-4681-89CC-13883369F0E6}"/>
    <cellStyle name="Normal 3 2 2 7 2 2" xfId="5535" xr:uid="{44FDA796-CB41-4A86-826B-63F015B95249}"/>
    <cellStyle name="Normal 3 2 2 7 2 2 2" xfId="8152" xr:uid="{05F2D26B-BF60-4FCC-B0CD-C1E9590CD489}"/>
    <cellStyle name="Normal 3 2 2 7 2 3" xfId="6844" xr:uid="{1E489B8E-CF17-412E-8CF0-114B5DF0C9E7}"/>
    <cellStyle name="Normal 3 2 2 7 3" xfId="4511" xr:uid="{C08BB767-1D0A-424C-A907-A63CADA69036}"/>
    <cellStyle name="Normal 3 2 2 7 3 2" xfId="5820" xr:uid="{F37265E7-E087-49AF-8540-D1FCCB6F0309}"/>
    <cellStyle name="Normal 3 2 2 7 3 2 2" xfId="8437" xr:uid="{7D6F64C1-9C28-41D9-924C-1D9CB383746B}"/>
    <cellStyle name="Normal 3 2 2 7 3 3" xfId="7129" xr:uid="{29DF04C6-58AD-4C87-8823-EFA6F0A45F6E}"/>
    <cellStyle name="Normal 3 2 2 7 4" xfId="5063" xr:uid="{707263D3-AB6D-4067-A9BF-9F70B200FE9B}"/>
    <cellStyle name="Normal 3 2 2 7 4 2" xfId="7680" xr:uid="{CDA79330-06AA-48A5-ACF5-C2D0948F7D1C}"/>
    <cellStyle name="Normal 3 2 2 7 5" xfId="6372" xr:uid="{AD6DDF2B-97B7-473D-AD86-873BD4F3331F}"/>
    <cellStyle name="Normal 3 2 2 8" xfId="24" xr:uid="{2C4572D3-A4B4-4D01-8834-280B8EF696AF}"/>
    <cellStyle name="Normal 3 2 2 8 2" xfId="3755" xr:uid="{ECE26BB6-8760-46CF-B5A8-F950D8A48E57}"/>
    <cellStyle name="Normal 3 2 2 8 2 2" xfId="5082" xr:uid="{9B7A529B-0F49-423F-AB51-93D4D95785BC}"/>
    <cellStyle name="Normal 3 2 2 8 2 2 2" xfId="7699" xr:uid="{62D55330-B8AA-40A2-8536-C0BB48F80838}"/>
    <cellStyle name="Normal 3 2 2 8 2 3" xfId="6391" xr:uid="{0856FB75-8125-4804-9652-8EF4780260C5}"/>
    <cellStyle name="Normal 3 2 2 8 3" xfId="4556" xr:uid="{8ABCD344-4B06-4640-9FA8-25DC8F268485}"/>
    <cellStyle name="Normal 3 2 2 8 3 2" xfId="5865" xr:uid="{6FBEE9C9-0786-4445-97A8-8246155D6865}"/>
    <cellStyle name="Normal 3 2 2 8 3 2 2" xfId="8482" xr:uid="{A268AF4A-FE15-48CF-AB14-96CB9E4282A6}"/>
    <cellStyle name="Normal 3 2 2 8 3 3" xfId="7174" xr:uid="{46B68F3E-E451-44E0-AE47-169C654E446A}"/>
    <cellStyle name="Normal 3 2 2 8 4" xfId="4610" xr:uid="{8929263B-CE9B-4117-87B2-06A5AC811F91}"/>
    <cellStyle name="Normal 3 2 2 8 4 2" xfId="7227" xr:uid="{339933BE-6494-4D1F-8DB6-0BEDFDC00698}"/>
    <cellStyle name="Normal 3 2 2 8 5" xfId="5919" xr:uid="{0D447520-B692-4A14-B6F8-1E1B88CB9ADA}"/>
    <cellStyle name="Normal 3 2 2 9" xfId="3749" xr:uid="{15C805DE-F7D5-4EB4-9F23-FA2950F22FAF}"/>
    <cellStyle name="Normal 3 2 2 9 2" xfId="5076" xr:uid="{D755E1E6-4724-41EC-ACE5-6A1DCFB6E7A7}"/>
    <cellStyle name="Normal 3 2 2 9 2 2" xfId="7693" xr:uid="{76FB7B8B-8AE6-4A1A-B806-AD9EF0697596}"/>
    <cellStyle name="Normal 3 2 2 9 3" xfId="6385" xr:uid="{EE4D62E3-B7D9-4B3B-B003-EB2EC23DD867}"/>
    <cellStyle name="Normal 3 2 3" xfId="2535" xr:uid="{95187325-093D-47CE-907E-5AA18B8A0FA8}"/>
    <cellStyle name="Normal 3 2 3 10" xfId="4629" xr:uid="{4514B47C-4937-4A1A-BDF9-0C3CC43ADE61}"/>
    <cellStyle name="Normal 3 2 3 10 2" xfId="7246" xr:uid="{1E5EB23C-86F1-44E7-ACB6-2A11D402077C}"/>
    <cellStyle name="Normal 3 2 3 11" xfId="5938" xr:uid="{1BCFF5DD-4875-487A-A330-79EBFC2143B2}"/>
    <cellStyle name="Normal 3 2 3 2" xfId="2859" xr:uid="{91CCD7DB-86A4-4283-9892-B2FF5E481914}"/>
    <cellStyle name="Normal 3 2 3 2 10" xfId="5955" xr:uid="{50B0F44E-5F97-45E1-9CAD-B9DC51C43ACD}"/>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50" xr:uid="{F885D534-4001-4E76-9842-9B8554D29A39}"/>
    <cellStyle name="Normal 3 2 3 2 2 2 2 2 2" xfId="5477" xr:uid="{B305A875-1853-4E6A-8FC6-CF00CC3AD79D}"/>
    <cellStyle name="Normal 3 2 3 2 2 2 2 2 2 2" xfId="8094" xr:uid="{87C7249F-E7E1-43AC-BF83-5D482B51A9D4}"/>
    <cellStyle name="Normal 3 2 3 2 2 2 2 2 3" xfId="6786" xr:uid="{EFDF6A8A-1DED-4FAB-B8A7-FFE99E46D2F4}"/>
    <cellStyle name="Normal 3 2 3 2 2 2 2 3" xfId="5005" xr:uid="{4B7BA57D-A5C2-4365-9681-532D7DCA681F}"/>
    <cellStyle name="Normal 3 2 3 2 2 2 2 3 2" xfId="7622" xr:uid="{D3554E54-252A-4791-BB86-A93A9B06C35B}"/>
    <cellStyle name="Normal 3 2 3 2 2 2 2 4" xfId="6314" xr:uid="{7AC04165-8471-4BA8-A374-C46D2315A806}"/>
    <cellStyle name="Normal 3 2 3 2 2 2 3" xfId="3921" xr:uid="{70034DAB-DC1E-45EB-BE0D-A952DA1A980A}"/>
    <cellStyle name="Normal 3 2 3 2 2 2 3 2" xfId="5248" xr:uid="{59488F4B-7313-4223-9B5B-6A695CBC5FFF}"/>
    <cellStyle name="Normal 3 2 3 2 2 2 3 2 2" xfId="7865" xr:uid="{4471093A-422D-4BE7-9A34-C2B9680AEC32}"/>
    <cellStyle name="Normal 3 2 3 2 2 2 3 3" xfId="6557" xr:uid="{141F998A-4421-40A9-ABFD-00087A763F2C}"/>
    <cellStyle name="Normal 3 2 3 2 2 2 4" xfId="4386" xr:uid="{80513EB0-2B51-4BE9-B743-449BFD46C563}"/>
    <cellStyle name="Normal 3 2 3 2 2 2 4 2" xfId="5713" xr:uid="{FFB4CB97-C00F-4E4A-BF76-261DB1416F7D}"/>
    <cellStyle name="Normal 3 2 3 2 2 2 4 2 2" xfId="8330" xr:uid="{C2EAD2D3-5268-4A1A-AFE0-A19DA8A9EC13}"/>
    <cellStyle name="Normal 3 2 3 2 2 2 4 3" xfId="7022" xr:uid="{4E9CCD42-224B-466E-B8F0-CBF65E6ED1AD}"/>
    <cellStyle name="Normal 3 2 3 2 2 2 5" xfId="4776" xr:uid="{A3BDDA24-410A-4D3B-8120-DEFDC3DC59FF}"/>
    <cellStyle name="Normal 3 2 3 2 2 2 5 2" xfId="7393" xr:uid="{0CFC3F96-67AB-4C2C-BFCF-CE7600A4F89E}"/>
    <cellStyle name="Normal 3 2 3 2 2 2 6" xfId="6085" xr:uid="{417A04C5-3732-4706-AD5B-F9729D6EA269}"/>
    <cellStyle name="Normal 3 2 3 2 2 3" xfId="3575" xr:uid="{1985A5BE-3165-4989-B82A-74CBFD2444C0}"/>
    <cellStyle name="Normal 3 2 3 2 2 3 2" xfId="4065" xr:uid="{74B6151E-6314-4AF2-B399-4076B8E698E5}"/>
    <cellStyle name="Normal 3 2 3 2 2 3 2 2" xfId="5392" xr:uid="{A67F9796-81A4-46B0-A807-88C6290C9C26}"/>
    <cellStyle name="Normal 3 2 3 2 2 3 2 2 2" xfId="8009" xr:uid="{3E164174-0009-422B-B4FC-A24DC7C3B758}"/>
    <cellStyle name="Normal 3 2 3 2 2 3 2 3" xfId="6701" xr:uid="{8421157F-AE3A-4401-8A7E-D9FFA8D0F407}"/>
    <cellStyle name="Normal 3 2 3 2 2 3 3" xfId="4920" xr:uid="{DA4A9D10-0075-4D9F-BF65-036D25361471}"/>
    <cellStyle name="Normal 3 2 3 2 2 3 3 2" xfId="7537" xr:uid="{4D0B0BA3-DBBF-4C5D-8086-52774088132D}"/>
    <cellStyle name="Normal 3 2 3 2 2 3 4" xfId="6229" xr:uid="{7E197A9F-5B91-48F5-A0EF-5D3676FBB358}"/>
    <cellStyle name="Normal 3 2 3 2 2 4" xfId="3836" xr:uid="{5D029E23-C348-4694-8CEC-361433707417}"/>
    <cellStyle name="Normal 3 2 3 2 2 4 2" xfId="5163" xr:uid="{7F5C5ECD-A3CB-42D3-9853-14D7A54A65E5}"/>
    <cellStyle name="Normal 3 2 3 2 2 4 2 2" xfId="7780" xr:uid="{4F5C0099-0833-4A5B-89A8-B54AE2A5B755}"/>
    <cellStyle name="Normal 3 2 3 2 2 4 3" xfId="6472" xr:uid="{E888F64C-5252-43EB-8CA2-E5918461CD79}"/>
    <cellStyle name="Normal 3 2 3 2 2 5" xfId="4301" xr:uid="{82416615-4F63-4EE4-8EE9-77027CEC1B4A}"/>
    <cellStyle name="Normal 3 2 3 2 2 5 2" xfId="5628" xr:uid="{3127C845-5BF3-4F29-8C63-2218419D2CC3}"/>
    <cellStyle name="Normal 3 2 3 2 2 5 2 2" xfId="8245" xr:uid="{15ED6618-F75E-4A9A-B9E2-92BF9E5825CE}"/>
    <cellStyle name="Normal 3 2 3 2 2 5 3" xfId="6937" xr:uid="{F1CCAB0F-5608-4B70-8F4A-6899DB8C93EB}"/>
    <cellStyle name="Normal 3 2 3 2 2 6" xfId="4691" xr:uid="{DE33F940-8B2C-480B-975A-615131A0ECEF}"/>
    <cellStyle name="Normal 3 2 3 2 2 6 2" xfId="7308" xr:uid="{4066F693-5A40-4D52-80F6-B178FE2AD7F6}"/>
    <cellStyle name="Normal 3 2 3 2 2 7" xfId="6000" xr:uid="{4932659A-40FC-4A87-98A7-6540D4D48011}"/>
    <cellStyle name="Normal 3 2 3 2 3" xfId="3451" xr:uid="{4F1E9D89-0262-4E12-AE4A-DBFB2899C668}"/>
    <cellStyle name="Normal 3 2 3 2 3 2" xfId="3716" xr:uid="{28CF2699-DE0A-43AB-A7EE-64EFA4C5DCE4}"/>
    <cellStyle name="Normal 3 2 3 2 3 2 2" xfId="4190" xr:uid="{76EBFCB0-5795-4B41-BB69-C328AB33F435}"/>
    <cellStyle name="Normal 3 2 3 2 3 2 2 2" xfId="5517" xr:uid="{685E93D6-BE17-4203-A1D7-CD8F1C86CF71}"/>
    <cellStyle name="Normal 3 2 3 2 3 2 2 2 2" xfId="8134" xr:uid="{B8F56D86-823F-4D5D-BB74-E45486C88660}"/>
    <cellStyle name="Normal 3 2 3 2 3 2 2 3" xfId="6826" xr:uid="{DC1CB5E1-39ED-4C4A-86FD-12557588F1A2}"/>
    <cellStyle name="Normal 3 2 3 2 3 2 3" xfId="5045" xr:uid="{733D3543-CB2D-417F-B8CC-03FB76541D86}"/>
    <cellStyle name="Normal 3 2 3 2 3 2 3 2" xfId="7662" xr:uid="{90448923-980B-45C0-AF9B-32E388B0B368}"/>
    <cellStyle name="Normal 3 2 3 2 3 2 4" xfId="6354" xr:uid="{6FDD9A63-1F39-4421-A6CE-8F772A34BFE8}"/>
    <cellStyle name="Normal 3 2 3 2 3 3" xfId="3961" xr:uid="{4B3A9946-28BD-4D2C-BD42-0ABB402868A0}"/>
    <cellStyle name="Normal 3 2 3 2 3 3 2" xfId="5288" xr:uid="{B520B212-EBF7-4B58-919A-7E430370DD13}"/>
    <cellStyle name="Normal 3 2 3 2 3 3 2 2" xfId="7905" xr:uid="{6866924B-E0EA-4860-98F0-17EA6D4BABFE}"/>
    <cellStyle name="Normal 3 2 3 2 3 3 3" xfId="6597" xr:uid="{8868BE06-8B49-4E9A-AD93-DD2191F82330}"/>
    <cellStyle name="Normal 3 2 3 2 3 4" xfId="4426" xr:uid="{D2C04F31-1D0C-4264-B7C0-4ECC278F1073}"/>
    <cellStyle name="Normal 3 2 3 2 3 4 2" xfId="5753" xr:uid="{984A09E5-E346-4932-A074-FB79D0FC4EF1}"/>
    <cellStyle name="Normal 3 2 3 2 3 4 2 2" xfId="8370" xr:uid="{ED740154-C1D7-466E-A73F-E574846AA50B}"/>
    <cellStyle name="Normal 3 2 3 2 3 4 3" xfId="7062" xr:uid="{BB76DB96-5C2A-426E-BEC9-78FA5311B803}"/>
    <cellStyle name="Normal 3 2 3 2 3 5" xfId="4816" xr:uid="{5062E90B-E574-4B9C-8594-3D0589E72140}"/>
    <cellStyle name="Normal 3 2 3 2 3 5 2" xfId="7433" xr:uid="{7503DCE9-4D9A-488C-81CE-0FF46848B230}"/>
    <cellStyle name="Normal 3 2 3 2 3 6" xfId="6125" xr:uid="{36B79A0B-DAFC-4F24-BC41-6BE27FE15CD9}"/>
    <cellStyle name="Normal 3 2 3 2 4" xfId="2951" xr:uid="{96B1A600-5B80-4469-ACC6-3C100661DD30}"/>
    <cellStyle name="Normal 3 2 3 2 4 2" xfId="3620" xr:uid="{38BA8692-4DAF-4099-A8FA-E58975284D66}"/>
    <cellStyle name="Normal 3 2 3 2 4 2 2" xfId="4110" xr:uid="{A434BBD1-7DD4-4835-B961-323A4AC074AE}"/>
    <cellStyle name="Normal 3 2 3 2 4 2 2 2" xfId="5437" xr:uid="{F1DB2EA2-0DF9-4942-93CA-B8244C14E9B5}"/>
    <cellStyle name="Normal 3 2 3 2 4 2 2 2 2" xfId="8054" xr:uid="{EA2F54FD-4E61-4827-93ED-F2958803C973}"/>
    <cellStyle name="Normal 3 2 3 2 4 2 2 3" xfId="6746" xr:uid="{D7038CE3-ED04-4218-B996-314B236E69E1}"/>
    <cellStyle name="Normal 3 2 3 2 4 2 3" xfId="4965" xr:uid="{83228FB5-4DB2-45FC-A07D-581DC2435B0B}"/>
    <cellStyle name="Normal 3 2 3 2 4 2 3 2" xfId="7582" xr:uid="{22224329-2BC8-48C1-8461-633901A45256}"/>
    <cellStyle name="Normal 3 2 3 2 4 2 4" xfId="6274" xr:uid="{20E9B0BE-3F7C-4E0C-BCEC-377DC6DEBC03}"/>
    <cellStyle name="Normal 3 2 3 2 4 3" xfId="3881" xr:uid="{A34E5F72-6247-462E-AD44-202140EBB055}"/>
    <cellStyle name="Normal 3 2 3 2 4 3 2" xfId="5208" xr:uid="{EC017E4C-56EC-4C2A-8C8D-0532DD146BE1}"/>
    <cellStyle name="Normal 3 2 3 2 4 3 2 2" xfId="7825" xr:uid="{E4887F24-636A-46A6-89DF-409B7548A15C}"/>
    <cellStyle name="Normal 3 2 3 2 4 3 3" xfId="6517" xr:uid="{17D92AAC-C569-4E67-B6B5-A8D9B1492488}"/>
    <cellStyle name="Normal 3 2 3 2 4 4" xfId="4346" xr:uid="{67DF265F-A817-4868-A679-484E85CAE398}"/>
    <cellStyle name="Normal 3 2 3 2 4 4 2" xfId="5673" xr:uid="{AA74A5C5-6B1F-47AF-8EC9-6F959A754BB0}"/>
    <cellStyle name="Normal 3 2 3 2 4 4 2 2" xfId="8290" xr:uid="{D533C021-FECD-46C3-A753-89D22ABA0B9F}"/>
    <cellStyle name="Normal 3 2 3 2 4 4 3" xfId="6982" xr:uid="{48C50069-ACF6-41AD-836C-8EE178EE8805}"/>
    <cellStyle name="Normal 3 2 3 2 4 5" xfId="4736" xr:uid="{0415C2E7-2C24-4526-8CB6-171A03F8646D}"/>
    <cellStyle name="Normal 3 2 3 2 4 5 2" xfId="7353" xr:uid="{8902AB2D-523B-4FB7-8398-495CFF712A89}"/>
    <cellStyle name="Normal 3 2 3 2 4 6" xfId="6045" xr:uid="{F3C14B4A-F027-43A7-9262-54412983095A}"/>
    <cellStyle name="Normal 3 2 3 2 5" xfId="3530" xr:uid="{D14F1F0B-62E8-4685-B659-9922CB85EC7B}"/>
    <cellStyle name="Normal 3 2 3 2 5 2" xfId="4020" xr:uid="{EEA2B2E8-883A-4F39-B5CA-D485382B0DE2}"/>
    <cellStyle name="Normal 3 2 3 2 5 2 2" xfId="5347" xr:uid="{D4912F24-D3BB-4AF1-9CD5-376A443D5E51}"/>
    <cellStyle name="Normal 3 2 3 2 5 2 2 2" xfId="7964" xr:uid="{9118C243-5FB5-4D41-9634-6A44B74549B4}"/>
    <cellStyle name="Normal 3 2 3 2 5 2 3" xfId="6656" xr:uid="{DF8C7682-BAA2-4B4E-AB62-F74EDC435538}"/>
    <cellStyle name="Normal 3 2 3 2 5 3" xfId="4497" xr:uid="{BA3583AB-DC8D-4A78-9739-6E1CAEF2A1A3}"/>
    <cellStyle name="Normal 3 2 3 2 5 3 2" xfId="5806" xr:uid="{B9F48F6D-3497-44D0-AB02-AA2F91B768AB}"/>
    <cellStyle name="Normal 3 2 3 2 5 3 2 2" xfId="8423" xr:uid="{F3A7BC84-82E3-4908-9404-2E16EB1ABEA4}"/>
    <cellStyle name="Normal 3 2 3 2 5 3 3" xfId="7115" xr:uid="{1986A473-57DB-4C70-B11B-7B8583B5F000}"/>
    <cellStyle name="Normal 3 2 3 2 5 4" xfId="4875" xr:uid="{C77978D9-5989-4A40-A954-63C6E2541818}"/>
    <cellStyle name="Normal 3 2 3 2 5 4 2" xfId="7492" xr:uid="{196D2917-E63A-4EAF-9456-12623054A86E}"/>
    <cellStyle name="Normal 3 2 3 2 5 5" xfId="6184" xr:uid="{30BAAE07-F057-435C-AA0D-A1A9B039E1AD}"/>
    <cellStyle name="Normal 3 2 3 2 6" xfId="3791" xr:uid="{014C6386-E40F-40AB-86FE-0A012C0491FD}"/>
    <cellStyle name="Normal 3 2 3 2 6 2" xfId="4542" xr:uid="{9CF937E9-9828-43FA-A685-FFE72F1EDE31}"/>
    <cellStyle name="Normal 3 2 3 2 6 2 2" xfId="5851" xr:uid="{9D0B64D1-C0EE-49E4-911C-D83C1DD938C4}"/>
    <cellStyle name="Normal 3 2 3 2 6 2 2 2" xfId="8468" xr:uid="{C447A624-C960-41B0-97FA-5E7D8E2F421B}"/>
    <cellStyle name="Normal 3 2 3 2 6 2 3" xfId="7160" xr:uid="{2E2E2601-0DE0-418D-9F9F-6D5389F6A60A}"/>
    <cellStyle name="Normal 3 2 3 2 6 3" xfId="5118" xr:uid="{32DC2397-C862-4F66-A417-F0C6663CDA61}"/>
    <cellStyle name="Normal 3 2 3 2 6 3 2" xfId="7735" xr:uid="{C6FFA068-0C1F-4CD3-B015-288A783EC60A}"/>
    <cellStyle name="Normal 3 2 3 2 6 4" xfId="6427" xr:uid="{946B558C-B9A3-46AA-AC40-4C86700DBED6}"/>
    <cellStyle name="Normal 3 2 3 2 7" xfId="4587" xr:uid="{F0C31835-3E3A-40CD-975E-B8A41BAE4F7E}"/>
    <cellStyle name="Normal 3 2 3 2 7 2" xfId="5896" xr:uid="{41FA8E2B-A3DC-4838-9EA7-591DF60B5CB7}"/>
    <cellStyle name="Normal 3 2 3 2 7 2 2" xfId="8513" xr:uid="{A5F29693-DFC5-4DD7-82BE-6665FAEFD380}"/>
    <cellStyle name="Normal 3 2 3 2 7 3" xfId="7205" xr:uid="{FFF4E8D8-7693-492D-A9AF-2967A707EF64}"/>
    <cellStyle name="Normal 3 2 3 2 8" xfId="4256" xr:uid="{ABA12048-59C8-4A9F-A0C1-04AAE8D05C6A}"/>
    <cellStyle name="Normal 3 2 3 2 8 2" xfId="5583" xr:uid="{579C2C24-67CC-4C78-98F3-DA060D9F4670}"/>
    <cellStyle name="Normal 3 2 3 2 8 2 2" xfId="8200" xr:uid="{F5F4B482-9B9E-4E93-AC4B-DD0771771AB4}"/>
    <cellStyle name="Normal 3 2 3 2 8 3" xfId="6892" xr:uid="{2B674321-97C2-42C2-8C29-15AD427B674F}"/>
    <cellStyle name="Normal 3 2 3 2 9" xfId="4646" xr:uid="{9CC91A9D-F2DA-4A3B-BCA2-A3374367422E}"/>
    <cellStyle name="Normal 3 2 3 2 9 2" xfId="7263" xr:uid="{C6C10F2A-105C-416A-B821-EB75FD1B4660}"/>
    <cellStyle name="Normal 3 2 3 3" xfId="2889" xr:uid="{4F6148E4-AF14-434E-8B11-1532018A0CE5}"/>
    <cellStyle name="Normal 3 2 3 3 2" xfId="2990" xr:uid="{81BA056D-8D84-4131-B030-7009F8A713E3}"/>
    <cellStyle name="Normal 3 2 3 3 2 2" xfId="3659" xr:uid="{930BD4F0-C881-4A49-9220-B9792DBB7318}"/>
    <cellStyle name="Normal 3 2 3 3 2 2 2" xfId="4133" xr:uid="{73527737-96B3-455E-B755-37BE22D66ED4}"/>
    <cellStyle name="Normal 3 2 3 3 2 2 2 2" xfId="5460" xr:uid="{5CB1B90D-85C0-4F37-BB5F-D3C3F3BD315C}"/>
    <cellStyle name="Normal 3 2 3 3 2 2 2 2 2" xfId="8077" xr:uid="{8C038205-8C50-4B21-8143-747DAB974E17}"/>
    <cellStyle name="Normal 3 2 3 3 2 2 2 3" xfId="6769" xr:uid="{33C7F924-1EC1-4361-8716-5CD7A4B3FAAB}"/>
    <cellStyle name="Normal 3 2 3 3 2 2 3" xfId="4988" xr:uid="{1D29AC8C-D287-430E-98DB-860F56A98F0B}"/>
    <cellStyle name="Normal 3 2 3 3 2 2 3 2" xfId="7605" xr:uid="{003C9B5F-D54B-463F-BADB-47475097D869}"/>
    <cellStyle name="Normal 3 2 3 3 2 2 4" xfId="6297" xr:uid="{1CCEC469-9AB6-452E-A0E7-0A33B9F3FFE8}"/>
    <cellStyle name="Normal 3 2 3 3 2 3" xfId="3904" xr:uid="{C2B0D49D-6EFE-45AE-8ED5-B52C5980FC19}"/>
    <cellStyle name="Normal 3 2 3 3 2 3 2" xfId="5231" xr:uid="{9453A3AA-A85F-442A-9BBF-D27FE6BD5C11}"/>
    <cellStyle name="Normal 3 2 3 3 2 3 2 2" xfId="7848" xr:uid="{34C3D39B-E341-400A-BD3C-FA10D6AB165F}"/>
    <cellStyle name="Normal 3 2 3 3 2 3 3" xfId="6540" xr:uid="{1F10C272-9021-4E09-A60E-FF30D9B12110}"/>
    <cellStyle name="Normal 3 2 3 3 2 4" xfId="4369" xr:uid="{5EA7A6A3-BE26-409C-9E67-A30A055A7C33}"/>
    <cellStyle name="Normal 3 2 3 3 2 4 2" xfId="5696" xr:uid="{8EA0EC63-E9DA-4F9F-BD17-B83CEC8880B0}"/>
    <cellStyle name="Normal 3 2 3 3 2 4 2 2" xfId="8313" xr:uid="{1D4FC266-3914-46CC-9BEB-B6D9EC58EAA2}"/>
    <cellStyle name="Normal 3 2 3 3 2 4 3" xfId="7005" xr:uid="{F252FD5D-9C8B-4237-914F-8C5452663190}"/>
    <cellStyle name="Normal 3 2 3 3 2 5" xfId="4759" xr:uid="{4110602B-ED70-4FD3-B83E-43696D95394F}"/>
    <cellStyle name="Normal 3 2 3 3 2 5 2" xfId="7376" xr:uid="{5D4E7085-14F7-47A2-AC85-D0261A55C3E7}"/>
    <cellStyle name="Normal 3 2 3 3 2 6" xfId="6068" xr:uid="{382B4931-4BBA-4F43-BE5D-4785FE99721E}"/>
    <cellStyle name="Normal 3 2 3 3 3" xfId="3558" xr:uid="{3BE8AF4C-F0B1-406D-A3AC-34892377E476}"/>
    <cellStyle name="Normal 3 2 3 3 3 2" xfId="4048" xr:uid="{A949700B-545E-494D-81BF-C61CBDACFC90}"/>
    <cellStyle name="Normal 3 2 3 3 3 2 2" xfId="5375" xr:uid="{B6B3C9E5-0571-4D75-B2E7-BEE5F7ADA609}"/>
    <cellStyle name="Normal 3 2 3 3 3 2 2 2" xfId="7992" xr:uid="{BA5119B7-9EC3-4FD8-9697-51BB34E9A7C3}"/>
    <cellStyle name="Normal 3 2 3 3 3 2 3" xfId="6684" xr:uid="{8BBE08C4-E940-416A-A017-4AC81BA075C7}"/>
    <cellStyle name="Normal 3 2 3 3 3 3" xfId="4903" xr:uid="{5309F6E4-DFD8-432D-AA2C-0917B94928A7}"/>
    <cellStyle name="Normal 3 2 3 3 3 3 2" xfId="7520" xr:uid="{25425481-1C02-47F7-A04A-196464FEBCB3}"/>
    <cellStyle name="Normal 3 2 3 3 3 4" xfId="6212" xr:uid="{C3B8C879-9BC5-4F51-8972-EE60C8424B0C}"/>
    <cellStyle name="Normal 3 2 3 3 4" xfId="3819" xr:uid="{25541CC1-D1F1-4509-970A-FCE4CA1C6D6E}"/>
    <cellStyle name="Normal 3 2 3 3 4 2" xfId="5146" xr:uid="{4224CB6F-D60E-499F-93D0-AAFEC867FD7D}"/>
    <cellStyle name="Normal 3 2 3 3 4 2 2" xfId="7763" xr:uid="{DA1C6D6C-0C50-4533-BAE1-DEE20C5B91C8}"/>
    <cellStyle name="Normal 3 2 3 3 4 3" xfId="6455" xr:uid="{82DAF0A7-5DDD-40E2-8DB5-4CD4B544F957}"/>
    <cellStyle name="Normal 3 2 3 3 5" xfId="4284" xr:uid="{692BBFA7-A372-4EC6-A3D6-7EC29C0741C8}"/>
    <cellStyle name="Normal 3 2 3 3 5 2" xfId="5611" xr:uid="{07C5DBE3-ABE9-41BE-AC6F-6D26B8C8097D}"/>
    <cellStyle name="Normal 3 2 3 3 5 2 2" xfId="8228" xr:uid="{7FC1D157-69CC-4BE9-82C5-87C9A6EC4861}"/>
    <cellStyle name="Normal 3 2 3 3 5 3" xfId="6920" xr:uid="{33AF5D61-2215-4B6E-9786-FD69E5B2E122}"/>
    <cellStyle name="Normal 3 2 3 3 6" xfId="4674" xr:uid="{87D6E22A-8A68-442E-B6FD-0A7A642D4C01}"/>
    <cellStyle name="Normal 3 2 3 3 6 2" xfId="7291" xr:uid="{18B949E6-3A4C-4193-B927-338EEA55CB33}"/>
    <cellStyle name="Normal 3 2 3 3 7" xfId="5983" xr:uid="{4670F50C-C269-4F2E-AC6F-BD000CC8E32D}"/>
    <cellStyle name="Normal 3 2 3 4" xfId="3433" xr:uid="{3574DC78-43D8-4F4C-B987-9DF72AD96737}"/>
    <cellStyle name="Normal 3 2 3 4 2" xfId="3699" xr:uid="{75F26E6B-3602-403D-A829-0FB94AA11660}"/>
    <cellStyle name="Normal 3 2 3 4 2 2" xfId="4173" xr:uid="{96AF0C72-BAA9-4E5F-88DD-F72C88D63FD9}"/>
    <cellStyle name="Normal 3 2 3 4 2 2 2" xfId="5500" xr:uid="{F9333753-912D-4EBA-87B4-6840FE5F9556}"/>
    <cellStyle name="Normal 3 2 3 4 2 2 2 2" xfId="8117" xr:uid="{31B50B82-B956-4725-B298-C41FB7FB3FEB}"/>
    <cellStyle name="Normal 3 2 3 4 2 2 3" xfId="6809" xr:uid="{2D6B4388-2A2D-492E-84BB-8730D3E42807}"/>
    <cellStyle name="Normal 3 2 3 4 2 3" xfId="5028" xr:uid="{788CABE0-88C9-4FEE-BFAC-6602D48A6AD9}"/>
    <cellStyle name="Normal 3 2 3 4 2 3 2" xfId="7645" xr:uid="{ED33D1CE-8717-4BC1-8D2F-4DD59953129B}"/>
    <cellStyle name="Normal 3 2 3 4 2 4" xfId="6337" xr:uid="{14B1CC9B-B3C8-44BE-991E-D57CC70B9F25}"/>
    <cellStyle name="Normal 3 2 3 4 3" xfId="3944" xr:uid="{812FBA61-5A07-489E-9057-0CE8F6459716}"/>
    <cellStyle name="Normal 3 2 3 4 3 2" xfId="5271" xr:uid="{48ABD728-69E1-4E40-B562-C775AC2A727C}"/>
    <cellStyle name="Normal 3 2 3 4 3 2 2" xfId="7888" xr:uid="{23E0F8AA-3117-434D-9F91-57661E055AC9}"/>
    <cellStyle name="Normal 3 2 3 4 3 3" xfId="6580" xr:uid="{3E41F560-8579-4A4D-A6EA-9C6D41E9111A}"/>
    <cellStyle name="Normal 3 2 3 4 4" xfId="4409" xr:uid="{32020C33-3D93-4165-9F5E-594AEE32390C}"/>
    <cellStyle name="Normal 3 2 3 4 4 2" xfId="5736" xr:uid="{47691219-B5A0-448A-BDDD-9F52BA379A17}"/>
    <cellStyle name="Normal 3 2 3 4 4 2 2" xfId="8353" xr:uid="{D258BD9C-2B43-4242-8E71-9EBEC4BFE5AB}"/>
    <cellStyle name="Normal 3 2 3 4 4 3" xfId="7045" xr:uid="{70708FB9-4A35-4DCB-B2A9-B87DF535F22F}"/>
    <cellStyle name="Normal 3 2 3 4 5" xfId="4799" xr:uid="{D4640F9F-4E3B-4B4D-AE40-1793AF81D9B1}"/>
    <cellStyle name="Normal 3 2 3 4 5 2" xfId="7416" xr:uid="{F27B280A-9ECF-419F-B8C3-87857984D6CE}"/>
    <cellStyle name="Normal 3 2 3 4 6" xfId="6108" xr:uid="{902ABBC3-4B6D-4328-BC4E-628519FCD374}"/>
    <cellStyle name="Normal 3 2 3 5" xfId="2934" xr:uid="{BB4426AC-2E73-406E-B9D3-F75990E4C9B8}"/>
    <cellStyle name="Normal 3 2 3 5 2" xfId="3603" xr:uid="{0C0905AB-CCFE-4156-99F4-D614F937B5BF}"/>
    <cellStyle name="Normal 3 2 3 5 2 2" xfId="4093" xr:uid="{5331098F-EF61-42AF-ADAD-5B12ECD27995}"/>
    <cellStyle name="Normal 3 2 3 5 2 2 2" xfId="5420" xr:uid="{15401B8D-3CFB-4808-8AA3-3829E93816F2}"/>
    <cellStyle name="Normal 3 2 3 5 2 2 2 2" xfId="8037" xr:uid="{D1A7BB51-64C0-4C08-9405-7094B85CD5E3}"/>
    <cellStyle name="Normal 3 2 3 5 2 2 3" xfId="6729" xr:uid="{AA12365A-267A-414C-A5CB-4E510EBF7196}"/>
    <cellStyle name="Normal 3 2 3 5 2 3" xfId="4948" xr:uid="{BE9FEE6E-4FDE-4CE2-B34E-2C6CFB70BCF5}"/>
    <cellStyle name="Normal 3 2 3 5 2 3 2" xfId="7565" xr:uid="{C0210222-B206-4928-9BB6-6A5F2B27178A}"/>
    <cellStyle name="Normal 3 2 3 5 2 4" xfId="6257" xr:uid="{316898F8-B9A6-4B9E-A03B-AEB0422722A0}"/>
    <cellStyle name="Normal 3 2 3 5 3" xfId="3864" xr:uid="{C2D60FA8-F9D1-4E22-9002-978102F3AEB4}"/>
    <cellStyle name="Normal 3 2 3 5 3 2" xfId="5191" xr:uid="{AC7BB944-933E-447F-A253-C64A8E5A7C21}"/>
    <cellStyle name="Normal 3 2 3 5 3 2 2" xfId="7808" xr:uid="{78EE2A6D-A0D0-4E29-81E9-CCDB4D123C66}"/>
    <cellStyle name="Normal 3 2 3 5 3 3" xfId="6500" xr:uid="{1CD5884A-D0EF-47B1-BC61-1C46172FDFD2}"/>
    <cellStyle name="Normal 3 2 3 5 4" xfId="4329" xr:uid="{BDD202DC-B3BD-41FE-9FD0-ECC89FBF7D00}"/>
    <cellStyle name="Normal 3 2 3 5 4 2" xfId="5656" xr:uid="{F7792375-63A6-4BB5-984F-3647C80CEBB5}"/>
    <cellStyle name="Normal 3 2 3 5 4 2 2" xfId="8273" xr:uid="{DCBB1B34-645A-42A2-B843-1EF44254DCB3}"/>
    <cellStyle name="Normal 3 2 3 5 4 3" xfId="6965" xr:uid="{FC9A5BC4-25AD-40B7-AACF-7124FB8173D4}"/>
    <cellStyle name="Normal 3 2 3 5 5" xfId="4719" xr:uid="{A048FE95-6A22-4C20-B721-FE1912D906F4}"/>
    <cellStyle name="Normal 3 2 3 5 5 2" xfId="7336" xr:uid="{9A79FB92-3352-4A32-BB99-D509514721B6}"/>
    <cellStyle name="Normal 3 2 3 5 6" xfId="6028" xr:uid="{4C026105-9526-4FE3-B378-098FCE28939D}"/>
    <cellStyle name="Normal 3 2 3 6" xfId="3513" xr:uid="{0FA0B881-11DB-45DF-9804-648C3EFF6988}"/>
    <cellStyle name="Normal 3 2 3 6 2" xfId="4003" xr:uid="{B82A6D29-CE72-4D17-804E-DC8185339868}"/>
    <cellStyle name="Normal 3 2 3 6 2 2" xfId="5330" xr:uid="{895C42B9-3E95-4965-8502-2EAD3B98767C}"/>
    <cellStyle name="Normal 3 2 3 6 2 2 2" xfId="7947" xr:uid="{7924CF10-CA4B-4C12-8BA9-70CCFCA46BAA}"/>
    <cellStyle name="Normal 3 2 3 6 2 3" xfId="6639" xr:uid="{ACCB6134-3BE5-4923-B78D-84C39D9D1AF8}"/>
    <cellStyle name="Normal 3 2 3 6 3" xfId="4479" xr:uid="{C7A9E5FE-5FE2-42AA-872A-5871B554ED14}"/>
    <cellStyle name="Normal 3 2 3 6 3 2" xfId="5789" xr:uid="{58418B27-DEF8-4E70-9C6D-69776420C0C7}"/>
    <cellStyle name="Normal 3 2 3 6 3 2 2" xfId="8406" xr:uid="{F1198270-BA51-4CFD-B780-E7757C0D0D74}"/>
    <cellStyle name="Normal 3 2 3 6 3 3" xfId="7098" xr:uid="{AFC29F03-62A0-455F-B6BF-90FADEE939A9}"/>
    <cellStyle name="Normal 3 2 3 6 4" xfId="4858" xr:uid="{BA2BDF4E-6382-4BC0-98B5-F338DF107FB8}"/>
    <cellStyle name="Normal 3 2 3 6 4 2" xfId="7475" xr:uid="{3766F52E-0EA5-494E-B6CA-A4E1823BFFA0}"/>
    <cellStyle name="Normal 3 2 3 6 5" xfId="6167" xr:uid="{0B0C8CA4-A411-4642-BDD1-98684785203B}"/>
    <cellStyle name="Normal 3 2 3 7" xfId="3774" xr:uid="{AF68DA62-4DEF-4666-AE10-50049DCE2EF3}"/>
    <cellStyle name="Normal 3 2 3 7 2" xfId="4525" xr:uid="{4031F8EE-3C4B-45CC-8487-909E4FEDFC12}"/>
    <cellStyle name="Normal 3 2 3 7 2 2" xfId="5834" xr:uid="{BA4BF2B4-D998-432F-99C3-5C6D425D138A}"/>
    <cellStyle name="Normal 3 2 3 7 2 2 2" xfId="8451" xr:uid="{C9E690D7-5BE7-4CC2-B705-E6908A7A5DFF}"/>
    <cellStyle name="Normal 3 2 3 7 2 3" xfId="7143" xr:uid="{5DB96D20-8EA7-4AA8-AFE5-B0963D3D581C}"/>
    <cellStyle name="Normal 3 2 3 7 3" xfId="5101" xr:uid="{17A9D468-D5AC-423F-92F7-004F435260BE}"/>
    <cellStyle name="Normal 3 2 3 7 3 2" xfId="7718" xr:uid="{379402AE-F0B7-4037-A170-B1760A4648AD}"/>
    <cellStyle name="Normal 3 2 3 7 4" xfId="6410" xr:uid="{EC6504B3-8956-40FD-85B1-C7E58A6E470E}"/>
    <cellStyle name="Normal 3 2 3 8" xfId="4570" xr:uid="{E67EF8A9-8626-40C3-9028-6B5AB57ED01C}"/>
    <cellStyle name="Normal 3 2 3 8 2" xfId="5879" xr:uid="{7FDB07CC-565E-46FB-9AD9-E8AB898A3668}"/>
    <cellStyle name="Normal 3 2 3 8 2 2" xfId="8496" xr:uid="{3F0B7E0F-B739-402F-BC03-277FEAA15D95}"/>
    <cellStyle name="Normal 3 2 3 8 3" xfId="7188" xr:uid="{EB346037-BF5D-41E9-A5F6-82D10E7F49F7}"/>
    <cellStyle name="Normal 3 2 3 9" xfId="4239" xr:uid="{62C9062E-59C5-4366-BF90-E65C2B916E28}"/>
    <cellStyle name="Normal 3 2 3 9 2" xfId="5566" xr:uid="{4BFB4559-0A29-44B1-8B90-5615F9EBB1C2}"/>
    <cellStyle name="Normal 3 2 3 9 2 2" xfId="8183" xr:uid="{76757BA3-28B3-43B2-91A8-924C1FE289FF}"/>
    <cellStyle name="Normal 3 2 3 9 3" xfId="6875" xr:uid="{BD958D3D-288E-40C6-814B-7B17EB71F02E}"/>
    <cellStyle name="Normal 3 2 4" xfId="41" xr:uid="{B0F1650B-CAE7-48BA-A01B-C716A114CB49}"/>
    <cellStyle name="Normal 3 2 4 10" xfId="4623" xr:uid="{A5E30A63-1898-4427-B81D-D863B30D7A50}"/>
    <cellStyle name="Normal 3 2 4 10 2" xfId="7240" xr:uid="{679FF88A-C210-479F-B1F8-689E5A4EECA9}"/>
    <cellStyle name="Normal 3 2 4 11" xfId="5932" xr:uid="{39F1BD26-786D-462A-A5AF-3D7F33D6281F}"/>
    <cellStyle name="Normal 3 2 4 2" xfId="2853" xr:uid="{EEA67E37-8E72-4C6C-BC4A-1537DBDCAFF9}"/>
    <cellStyle name="Normal 3 2 4 2 10" xfId="5949" xr:uid="{C530AADF-2EB9-4F3B-AE7E-CE2C8948EBE6}"/>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4" xr:uid="{57F6FAF0-2D97-4C9B-A252-FD1B53D1B608}"/>
    <cellStyle name="Normal 3 2 4 2 2 2 2 2 2" xfId="5471" xr:uid="{176CFE02-5889-4920-A027-7505EC3E4AF4}"/>
    <cellStyle name="Normal 3 2 4 2 2 2 2 2 2 2" xfId="8088" xr:uid="{F4EE4559-B3FB-4E87-A3D2-ED5FA91568CA}"/>
    <cellStyle name="Normal 3 2 4 2 2 2 2 2 3" xfId="6780" xr:uid="{BCB37EBA-7DF2-4532-B55C-F04C63B380D5}"/>
    <cellStyle name="Normal 3 2 4 2 2 2 2 3" xfId="4999" xr:uid="{36BCD999-45CF-4857-9CE2-3970F74CF4BA}"/>
    <cellStyle name="Normal 3 2 4 2 2 2 2 3 2" xfId="7616" xr:uid="{B8B38A9D-54A4-479F-A236-4CA499150851}"/>
    <cellStyle name="Normal 3 2 4 2 2 2 2 4" xfId="6308" xr:uid="{89776D07-221E-4545-B54A-EEC1ECFBB61F}"/>
    <cellStyle name="Normal 3 2 4 2 2 2 3" xfId="3915" xr:uid="{88700DE2-3448-4908-91EC-BD1C02F7E644}"/>
    <cellStyle name="Normal 3 2 4 2 2 2 3 2" xfId="5242" xr:uid="{3CF83726-5065-4A9B-86F9-C234CC39FACA}"/>
    <cellStyle name="Normal 3 2 4 2 2 2 3 2 2" xfId="7859" xr:uid="{060A3AA1-8AB6-4590-B583-3908BB85DCCD}"/>
    <cellStyle name="Normal 3 2 4 2 2 2 3 3" xfId="6551" xr:uid="{3A4B1BEE-C49B-427B-B3BF-67A1733C93FB}"/>
    <cellStyle name="Normal 3 2 4 2 2 2 4" xfId="4380" xr:uid="{3CE78955-7AF5-4A3E-86C9-58BEBCFB7558}"/>
    <cellStyle name="Normal 3 2 4 2 2 2 4 2" xfId="5707" xr:uid="{2AA77670-455A-49E0-8C34-2B930540F5C6}"/>
    <cellStyle name="Normal 3 2 4 2 2 2 4 2 2" xfId="8324" xr:uid="{3FE7913A-B2E8-4744-923C-FB7301DC94DE}"/>
    <cellStyle name="Normal 3 2 4 2 2 2 4 3" xfId="7016" xr:uid="{D993D29B-2563-4FCB-8605-40AB1465A3F5}"/>
    <cellStyle name="Normal 3 2 4 2 2 2 5" xfId="4770" xr:uid="{B9A8A5E8-93BA-47D2-BFFC-B180D657A55C}"/>
    <cellStyle name="Normal 3 2 4 2 2 2 5 2" xfId="7387" xr:uid="{B593C867-3E7E-4A27-9476-E27ADD1F07FD}"/>
    <cellStyle name="Normal 3 2 4 2 2 2 6" xfId="6079" xr:uid="{3C27841E-2168-460D-A103-18A697F492B0}"/>
    <cellStyle name="Normal 3 2 4 2 2 3" xfId="3569" xr:uid="{8BBD2548-1249-420D-BEA5-8369882A6348}"/>
    <cellStyle name="Normal 3 2 4 2 2 3 2" xfId="4059" xr:uid="{B5932778-59F7-4818-B17E-6BC4B1150F57}"/>
    <cellStyle name="Normal 3 2 4 2 2 3 2 2" xfId="5386" xr:uid="{228FC3C8-C890-44B0-85D8-4C5E3008A258}"/>
    <cellStyle name="Normal 3 2 4 2 2 3 2 2 2" xfId="8003" xr:uid="{B7BDAF22-D446-4073-945E-01F5CABD80F6}"/>
    <cellStyle name="Normal 3 2 4 2 2 3 2 3" xfId="6695" xr:uid="{E53CAB0D-D1DE-4406-BCD5-119C4FE39ED5}"/>
    <cellStyle name="Normal 3 2 4 2 2 3 3" xfId="4914" xr:uid="{2E5E63FC-3344-43B9-8461-C499CAA84333}"/>
    <cellStyle name="Normal 3 2 4 2 2 3 3 2" xfId="7531" xr:uid="{05F20B95-9584-4D9C-B420-78AE46CCBE32}"/>
    <cellStyle name="Normal 3 2 4 2 2 3 4" xfId="6223" xr:uid="{01E12320-71C6-4355-A428-CD4A59A2CD10}"/>
    <cellStyle name="Normal 3 2 4 2 2 4" xfId="3830" xr:uid="{C6F64200-6F43-417A-9FA3-9773529E014C}"/>
    <cellStyle name="Normal 3 2 4 2 2 4 2" xfId="5157" xr:uid="{92BCE5D0-5283-441D-B83A-2AB0367CBFE5}"/>
    <cellStyle name="Normal 3 2 4 2 2 4 2 2" xfId="7774" xr:uid="{9B5A7FDF-995D-40D1-8C31-2410F6A49DA4}"/>
    <cellStyle name="Normal 3 2 4 2 2 4 3" xfId="6466" xr:uid="{6087AFA3-4952-477F-ADDE-DF41BAF5D5E5}"/>
    <cellStyle name="Normal 3 2 4 2 2 5" xfId="4295" xr:uid="{45029899-1F71-48B3-A172-2CBB9E9B9F50}"/>
    <cellStyle name="Normal 3 2 4 2 2 5 2" xfId="5622" xr:uid="{52658C45-7BB8-46CB-83CB-7271BA9F66E1}"/>
    <cellStyle name="Normal 3 2 4 2 2 5 2 2" xfId="8239" xr:uid="{72C9BA1B-9B33-4C6E-A672-DFDEE28AA3FA}"/>
    <cellStyle name="Normal 3 2 4 2 2 5 3" xfId="6931" xr:uid="{412DBC2A-5C4D-41DF-95A0-8AD87F9F6901}"/>
    <cellStyle name="Normal 3 2 4 2 2 6" xfId="4685" xr:uid="{D6FCCCC1-4578-425D-9777-B8C6844F714B}"/>
    <cellStyle name="Normal 3 2 4 2 2 6 2" xfId="7302" xr:uid="{F9094ECB-92CF-4644-BD97-9CF29C0CA6C3}"/>
    <cellStyle name="Normal 3 2 4 2 2 7" xfId="5994" xr:uid="{5A4AE0BB-F999-43AD-9242-6A08916469DB}"/>
    <cellStyle name="Normal 3 2 4 2 3" xfId="3445" xr:uid="{544EA63F-37BF-4A41-BD5A-CB44364A216D}"/>
    <cellStyle name="Normal 3 2 4 2 3 2" xfId="3710" xr:uid="{C137A5B7-D39E-444F-97E0-26F86D67BFFE}"/>
    <cellStyle name="Normal 3 2 4 2 3 2 2" xfId="4184" xr:uid="{C149A308-5E82-492C-9B93-87FC8972202F}"/>
    <cellStyle name="Normal 3 2 4 2 3 2 2 2" xfId="5511" xr:uid="{F92F50B2-C905-44EF-9F9C-C68897E602BE}"/>
    <cellStyle name="Normal 3 2 4 2 3 2 2 2 2" xfId="8128" xr:uid="{62B8EB87-56F1-43E3-AED2-6349BD7FDCCB}"/>
    <cellStyle name="Normal 3 2 4 2 3 2 2 3" xfId="6820" xr:uid="{E602E0CD-3C1F-4530-B513-B9BAEC62BFED}"/>
    <cellStyle name="Normal 3 2 4 2 3 2 3" xfId="5039" xr:uid="{2B3C6A77-612B-4617-AE6A-6BD23644A39A}"/>
    <cellStyle name="Normal 3 2 4 2 3 2 3 2" xfId="7656" xr:uid="{27C29FE3-F087-4D71-AFC2-496512D7906A}"/>
    <cellStyle name="Normal 3 2 4 2 3 2 4" xfId="6348" xr:uid="{8FA67AA6-4BA1-4153-B5C1-9950F3B2E200}"/>
    <cellStyle name="Normal 3 2 4 2 3 3" xfId="3955" xr:uid="{5FA9C523-D35C-45A6-9377-8C57E48E9BDC}"/>
    <cellStyle name="Normal 3 2 4 2 3 3 2" xfId="5282" xr:uid="{E32A0936-0D17-4F4A-B2D1-D2FF5B52A3C1}"/>
    <cellStyle name="Normal 3 2 4 2 3 3 2 2" xfId="7899" xr:uid="{40DDB9EA-6EC4-46B1-A45D-A7577DE27993}"/>
    <cellStyle name="Normal 3 2 4 2 3 3 3" xfId="6591" xr:uid="{B6BF8A61-0547-49C3-A6E2-5D39524554BA}"/>
    <cellStyle name="Normal 3 2 4 2 3 4" xfId="4420" xr:uid="{3EC8F0E2-F991-4C48-B682-DD5F678C5521}"/>
    <cellStyle name="Normal 3 2 4 2 3 4 2" xfId="5747" xr:uid="{4652A19D-3F2C-498C-91D5-3E7E623CFEF3}"/>
    <cellStyle name="Normal 3 2 4 2 3 4 2 2" xfId="8364" xr:uid="{4EA56574-3006-4E9B-8871-EC340270EAC5}"/>
    <cellStyle name="Normal 3 2 4 2 3 4 3" xfId="7056" xr:uid="{593D3E57-0263-4D7C-95F6-E7C79757E77E}"/>
    <cellStyle name="Normal 3 2 4 2 3 5" xfId="4810" xr:uid="{80E9052D-A9F9-43D7-AAAD-7C5BE71AA0DD}"/>
    <cellStyle name="Normal 3 2 4 2 3 5 2" xfId="7427" xr:uid="{C41F204E-A26F-4FCB-AF7E-62B8F2246F08}"/>
    <cellStyle name="Normal 3 2 4 2 3 6" xfId="6119" xr:uid="{445ECF91-0AF5-4FA3-B648-7CBB930958CD}"/>
    <cellStyle name="Normal 3 2 4 2 4" xfId="2945" xr:uid="{AC6DAD2F-D880-477C-8BA0-CD49D5412566}"/>
    <cellStyle name="Normal 3 2 4 2 4 2" xfId="3614" xr:uid="{992F29CC-FBCE-4791-A790-AC0DA26DF4BE}"/>
    <cellStyle name="Normal 3 2 4 2 4 2 2" xfId="4104" xr:uid="{8174C9C8-A070-41A3-9905-4B8FBDDE7428}"/>
    <cellStyle name="Normal 3 2 4 2 4 2 2 2" xfId="5431" xr:uid="{D61AF145-207D-42D2-870D-3FDCFB2670F1}"/>
    <cellStyle name="Normal 3 2 4 2 4 2 2 2 2" xfId="8048" xr:uid="{86E9E460-3DD8-4F4D-8FFA-B8BEADE53865}"/>
    <cellStyle name="Normal 3 2 4 2 4 2 2 3" xfId="6740" xr:uid="{896CB92C-7499-4A54-80E7-8BCA6B656A39}"/>
    <cellStyle name="Normal 3 2 4 2 4 2 3" xfId="4959" xr:uid="{ECDCF959-4E85-4EE1-BE85-B2CCA2A259AA}"/>
    <cellStyle name="Normal 3 2 4 2 4 2 3 2" xfId="7576" xr:uid="{25B6ECE8-ED6E-49AE-B0EB-6A255BA5C78E}"/>
    <cellStyle name="Normal 3 2 4 2 4 2 4" xfId="6268" xr:uid="{E4AFC951-BB02-43D5-A252-EA504F82F4C5}"/>
    <cellStyle name="Normal 3 2 4 2 4 3" xfId="3875" xr:uid="{654DF937-6511-44EE-94FD-D2A96B99D381}"/>
    <cellStyle name="Normal 3 2 4 2 4 3 2" xfId="5202" xr:uid="{9E71369F-EC2D-455E-A529-B9B9DD6A72CD}"/>
    <cellStyle name="Normal 3 2 4 2 4 3 2 2" xfId="7819" xr:uid="{852DFEAF-D835-4162-8C82-65D80F59A7D4}"/>
    <cellStyle name="Normal 3 2 4 2 4 3 3" xfId="6511" xr:uid="{E8275345-C1CD-4265-8AAC-58FDBF3A4870}"/>
    <cellStyle name="Normal 3 2 4 2 4 4" xfId="4340" xr:uid="{7082FAAF-8360-466E-998F-0F403130E9EE}"/>
    <cellStyle name="Normal 3 2 4 2 4 4 2" xfId="5667" xr:uid="{2168CA0F-0D79-4342-AE8D-BD0855017433}"/>
    <cellStyle name="Normal 3 2 4 2 4 4 2 2" xfId="8284" xr:uid="{95DE8103-B874-4C1B-A70E-519DD862535D}"/>
    <cellStyle name="Normal 3 2 4 2 4 4 3" xfId="6976" xr:uid="{E580D997-8563-42EC-A60A-61A42817BEBB}"/>
    <cellStyle name="Normal 3 2 4 2 4 5" xfId="4730" xr:uid="{6B6EBDE8-39A6-49C3-AF0C-37AE5A53C585}"/>
    <cellStyle name="Normal 3 2 4 2 4 5 2" xfId="7347" xr:uid="{7AD26B3C-CAEC-425F-AB68-88C58AA1B853}"/>
    <cellStyle name="Normal 3 2 4 2 4 6" xfId="6039" xr:uid="{1DDBF15A-3926-47C7-9976-BF22842EA9DF}"/>
    <cellStyle name="Normal 3 2 4 2 5" xfId="3524" xr:uid="{1E239A57-4609-4E42-A12C-46BC178D6D1E}"/>
    <cellStyle name="Normal 3 2 4 2 5 2" xfId="4014" xr:uid="{460C7529-A4FD-4CEA-961E-A5A1CBDF5D92}"/>
    <cellStyle name="Normal 3 2 4 2 5 2 2" xfId="5341" xr:uid="{9EAABCAF-C051-4A6E-98F9-9CF9F5E9241D}"/>
    <cellStyle name="Normal 3 2 4 2 5 2 2 2" xfId="7958" xr:uid="{29A53E0C-6EEC-4AE3-9AEF-29AB8F811BBB}"/>
    <cellStyle name="Normal 3 2 4 2 5 2 3" xfId="6650" xr:uid="{3241E989-C99A-437E-B4B8-D6C2D035986C}"/>
    <cellStyle name="Normal 3 2 4 2 5 3" xfId="4491" xr:uid="{F8AB8FAF-D0F3-4EF9-B323-D3FFEC146F71}"/>
    <cellStyle name="Normal 3 2 4 2 5 3 2" xfId="5800" xr:uid="{3BFA2994-0E8C-4017-B9E6-E387FC992730}"/>
    <cellStyle name="Normal 3 2 4 2 5 3 2 2" xfId="8417" xr:uid="{8F950B00-AACF-4A8E-BDFC-3A1A5B630233}"/>
    <cellStyle name="Normal 3 2 4 2 5 3 3" xfId="7109" xr:uid="{082B8367-7F37-42F0-BA4F-D659575181EE}"/>
    <cellStyle name="Normal 3 2 4 2 5 4" xfId="4869" xr:uid="{10DB0F5D-9216-4FC1-8656-18985B30640D}"/>
    <cellStyle name="Normal 3 2 4 2 5 4 2" xfId="7486" xr:uid="{3073F303-3629-4E5D-9853-4A8E6342594C}"/>
    <cellStyle name="Normal 3 2 4 2 5 5" xfId="6178" xr:uid="{2947DD77-B900-4B1E-82D5-E5B4B47D16ED}"/>
    <cellStyle name="Normal 3 2 4 2 6" xfId="3785" xr:uid="{D50079CD-F949-46FA-8B0D-88FAC0477268}"/>
    <cellStyle name="Normal 3 2 4 2 6 2" xfId="4536" xr:uid="{1D0FD198-5D7C-4115-B762-9FFDF593F724}"/>
    <cellStyle name="Normal 3 2 4 2 6 2 2" xfId="5845" xr:uid="{CD6181CC-A87C-4F35-AF7C-FABC2F4C6A07}"/>
    <cellStyle name="Normal 3 2 4 2 6 2 2 2" xfId="8462" xr:uid="{7B369F66-0841-4BF7-B572-D859F07DDCCA}"/>
    <cellStyle name="Normal 3 2 4 2 6 2 3" xfId="7154" xr:uid="{5BF7E11D-BBB7-4F64-BB1A-1578BF27DE28}"/>
    <cellStyle name="Normal 3 2 4 2 6 3" xfId="5112" xr:uid="{AD5D663D-A762-4F72-999A-7424AEE75A28}"/>
    <cellStyle name="Normal 3 2 4 2 6 3 2" xfId="7729" xr:uid="{A12CF5F2-0C68-4EAD-A04C-4AC2BDF8523C}"/>
    <cellStyle name="Normal 3 2 4 2 6 4" xfId="6421" xr:uid="{215AE879-32B6-49F6-84A8-68E0F9F8E4DD}"/>
    <cellStyle name="Normal 3 2 4 2 7" xfId="4581" xr:uid="{75DFDB12-210F-4620-8CEC-FAFBA64D53BF}"/>
    <cellStyle name="Normal 3 2 4 2 7 2" xfId="5890" xr:uid="{3ED61C20-47A6-4F45-84E2-16222F3ECE3A}"/>
    <cellStyle name="Normal 3 2 4 2 7 2 2" xfId="8507" xr:uid="{61DFCDA8-3230-4574-9703-449E51DB55F5}"/>
    <cellStyle name="Normal 3 2 4 2 7 3" xfId="7199" xr:uid="{87581822-D577-4ADD-BB16-D64B15848D1C}"/>
    <cellStyle name="Normal 3 2 4 2 8" xfId="4250" xr:uid="{223E3ECE-C4F0-4FA8-BAE6-1CF5688B1D3D}"/>
    <cellStyle name="Normal 3 2 4 2 8 2" xfId="5577" xr:uid="{9AB8225B-80DE-495A-BF99-5CF051FC953D}"/>
    <cellStyle name="Normal 3 2 4 2 8 2 2" xfId="8194" xr:uid="{399C6D26-53FC-42D6-A396-FCB248FDB8D9}"/>
    <cellStyle name="Normal 3 2 4 2 8 3" xfId="6886" xr:uid="{EE063EEF-9A16-4388-8779-B1E7CF6C02A4}"/>
    <cellStyle name="Normal 3 2 4 2 9" xfId="4640" xr:uid="{429FBBD5-DA26-417E-B105-5C1D2EE4EB18}"/>
    <cellStyle name="Normal 3 2 4 2 9 2" xfId="7257" xr:uid="{18187E3D-4514-4346-8A02-97C269BA60D8}"/>
    <cellStyle name="Normal 3 2 4 3" xfId="2883" xr:uid="{C3613C5B-D786-427C-B914-F90D2E6A82ED}"/>
    <cellStyle name="Normal 3 2 4 3 2" xfId="2968" xr:uid="{9325A9A2-D9ED-49F9-AB5F-54D40E2FE84E}"/>
    <cellStyle name="Normal 3 2 4 3 2 2" xfId="3637" xr:uid="{E3B4ACCA-1A2F-4F58-A34C-2A8CF90E4D03}"/>
    <cellStyle name="Normal 3 2 4 3 2 2 2" xfId="4127" xr:uid="{7213EC48-547A-4B6B-BE78-7EED3212DBE2}"/>
    <cellStyle name="Normal 3 2 4 3 2 2 2 2" xfId="5454" xr:uid="{ECD5B49E-CAB2-4131-9600-38C2582C4C85}"/>
    <cellStyle name="Normal 3 2 4 3 2 2 2 2 2" xfId="8071" xr:uid="{3F79522E-230D-4562-8BB3-B500CA2975D4}"/>
    <cellStyle name="Normal 3 2 4 3 2 2 2 3" xfId="6763" xr:uid="{CCE5A571-6BEA-44AF-A06B-1D8FB9CD2254}"/>
    <cellStyle name="Normal 3 2 4 3 2 2 3" xfId="4982" xr:uid="{371F8ED1-6487-40CB-9358-98DD689347F4}"/>
    <cellStyle name="Normal 3 2 4 3 2 2 3 2" xfId="7599" xr:uid="{F7B55972-9495-430C-B3C7-F7D16239F1CC}"/>
    <cellStyle name="Normal 3 2 4 3 2 2 4" xfId="6291" xr:uid="{1422C397-8D36-4006-8DD5-5F6A4ECD88AC}"/>
    <cellStyle name="Normal 3 2 4 3 2 3" xfId="3898" xr:uid="{3EEF9476-20F3-4183-A414-2C65316C68F3}"/>
    <cellStyle name="Normal 3 2 4 3 2 3 2" xfId="5225" xr:uid="{358D4B28-9774-462A-AEE8-837E49DE5AD6}"/>
    <cellStyle name="Normal 3 2 4 3 2 3 2 2" xfId="7842" xr:uid="{D6EC3410-01F8-427E-A518-39F297772D79}"/>
    <cellStyle name="Normal 3 2 4 3 2 3 3" xfId="6534" xr:uid="{B8AA5484-EE24-412E-8F4D-A0225615FBB3}"/>
    <cellStyle name="Normal 3 2 4 3 2 4" xfId="4363" xr:uid="{D763A2C4-0B96-44C6-B062-1147DDFDE8E2}"/>
    <cellStyle name="Normal 3 2 4 3 2 4 2" xfId="5690" xr:uid="{D3E2A99A-E7E5-4904-BD09-337CC113A6A7}"/>
    <cellStyle name="Normal 3 2 4 3 2 4 2 2" xfId="8307" xr:uid="{77B92524-EDAD-4498-9AFC-A9F4BB46D80A}"/>
    <cellStyle name="Normal 3 2 4 3 2 4 3" xfId="6999" xr:uid="{3A5FE960-6071-427E-83FC-822D4685ADB1}"/>
    <cellStyle name="Normal 3 2 4 3 2 5" xfId="4753" xr:uid="{8569566C-5BCF-495D-B65A-D54057B8217A}"/>
    <cellStyle name="Normal 3 2 4 3 2 5 2" xfId="7370" xr:uid="{C2F4FCD2-94F9-4835-9BC9-D938AE35F220}"/>
    <cellStyle name="Normal 3 2 4 3 2 6" xfId="6062" xr:uid="{42E672C1-4395-4386-B172-45224363B91F}"/>
    <cellStyle name="Normal 3 2 4 3 3" xfId="3552" xr:uid="{4518D5D8-80B0-4F9A-8BB6-A00B900DF044}"/>
    <cellStyle name="Normal 3 2 4 3 3 2" xfId="4042" xr:uid="{9E933AF7-AD23-47B5-A290-44A0C8370C59}"/>
    <cellStyle name="Normal 3 2 4 3 3 2 2" xfId="5369" xr:uid="{E0492C14-C0BB-421B-9AD1-2A673DE0B2F2}"/>
    <cellStyle name="Normal 3 2 4 3 3 2 2 2" xfId="7986" xr:uid="{8A8F59D4-E7FA-41A9-ABBA-BE31E7935326}"/>
    <cellStyle name="Normal 3 2 4 3 3 2 3" xfId="6678" xr:uid="{C8E1F2F1-FDD8-4F9D-A1ED-4D14FB974756}"/>
    <cellStyle name="Normal 3 2 4 3 3 3" xfId="4897" xr:uid="{5530BB57-49FA-4F02-A556-EDF80050B873}"/>
    <cellStyle name="Normal 3 2 4 3 3 3 2" xfId="7514" xr:uid="{E1E3E31C-9A98-4355-A0BE-E5B6095F8FA9}"/>
    <cellStyle name="Normal 3 2 4 3 3 4" xfId="6206" xr:uid="{1A9E5585-59BC-4E71-A16A-4189EDF0D210}"/>
    <cellStyle name="Normal 3 2 4 3 4" xfId="3813" xr:uid="{A0438E9A-63D8-4462-9094-EB44718B5D18}"/>
    <cellStyle name="Normal 3 2 4 3 4 2" xfId="5140" xr:uid="{53FBFA89-A52D-4681-968D-870456FA84A4}"/>
    <cellStyle name="Normal 3 2 4 3 4 2 2" xfId="7757" xr:uid="{FF6ABE84-4FB0-4243-AA37-73FFC28DC2FD}"/>
    <cellStyle name="Normal 3 2 4 3 4 3" xfId="6449" xr:uid="{6A65BC3F-926D-4653-A8B8-83438A22CAC2}"/>
    <cellStyle name="Normal 3 2 4 3 5" xfId="4278" xr:uid="{140AC558-4DA8-41A7-AAF3-87DA0D8CAA5D}"/>
    <cellStyle name="Normal 3 2 4 3 5 2" xfId="5605" xr:uid="{F6C7A99E-35A2-4D6B-B029-66E62D5B01B2}"/>
    <cellStyle name="Normal 3 2 4 3 5 2 2" xfId="8222" xr:uid="{CB6ED95B-BA38-41D6-B480-E21CC17BB652}"/>
    <cellStyle name="Normal 3 2 4 3 5 3" xfId="6914" xr:uid="{0420589A-83E8-44C1-ADAF-9BDA0B5605A4}"/>
    <cellStyle name="Normal 3 2 4 3 6" xfId="4668" xr:uid="{E143D90A-7DE6-43CB-844F-F4C9C5CEC87E}"/>
    <cellStyle name="Normal 3 2 4 3 6 2" xfId="7285" xr:uid="{9BC7A947-9FD6-4CCC-AB75-CFD6ACB63B36}"/>
    <cellStyle name="Normal 3 2 4 3 7" xfId="5977" xr:uid="{D5BCD565-7F79-4537-BF60-9E752BF932CD}"/>
    <cellStyle name="Normal 3 2 4 4" xfId="3028" xr:uid="{BB396068-A15A-46B8-9041-615276FC4E2B}"/>
    <cellStyle name="Normal 3 2 4 4 2" xfId="3693" xr:uid="{EABE2F68-111C-44CF-AABD-6E97882C83D8}"/>
    <cellStyle name="Normal 3 2 4 4 2 2" xfId="4167" xr:uid="{24C3D5E2-AF83-4216-975A-457C29384363}"/>
    <cellStyle name="Normal 3 2 4 4 2 2 2" xfId="5494" xr:uid="{EF39BDE1-FF7F-4282-81FF-D07EF86FF9FB}"/>
    <cellStyle name="Normal 3 2 4 4 2 2 2 2" xfId="8111" xr:uid="{B44906D1-6A7F-42BB-9A94-10D3BD37FB99}"/>
    <cellStyle name="Normal 3 2 4 4 2 2 3" xfId="6803" xr:uid="{B6A35785-350E-4122-8A7A-2E78DBB3E9A2}"/>
    <cellStyle name="Normal 3 2 4 4 2 3" xfId="5022" xr:uid="{EC227C1D-CC1E-48BA-AD40-54504239A70D}"/>
    <cellStyle name="Normal 3 2 4 4 2 3 2" xfId="7639" xr:uid="{4E0550B6-F33E-4CF6-B9A1-09CE122F95F8}"/>
    <cellStyle name="Normal 3 2 4 4 2 4" xfId="6331" xr:uid="{0B3F55B2-CD44-42CB-995E-E6C3A5F38677}"/>
    <cellStyle name="Normal 3 2 4 4 3" xfId="3938" xr:uid="{CDDF882B-7FD4-405D-B49A-C0E5978650E6}"/>
    <cellStyle name="Normal 3 2 4 4 3 2" xfId="5265" xr:uid="{27297B07-CB92-485A-B02E-207ADCF79D7C}"/>
    <cellStyle name="Normal 3 2 4 4 3 2 2" xfId="7882" xr:uid="{1257BD82-C2D5-4E3C-88FB-749343133F11}"/>
    <cellStyle name="Normal 3 2 4 4 3 3" xfId="6574" xr:uid="{EA5265F2-2DE8-491C-8D2E-E9084037174C}"/>
    <cellStyle name="Normal 3 2 4 4 4" xfId="4403" xr:uid="{C12DC543-AFA0-4CC2-83D1-0CE682E98B63}"/>
    <cellStyle name="Normal 3 2 4 4 4 2" xfId="5730" xr:uid="{8E5CF45E-4100-4EC8-8441-39F9DC3464D3}"/>
    <cellStyle name="Normal 3 2 4 4 4 2 2" xfId="8347" xr:uid="{7A00269E-9235-4AD6-9ADB-F22A421572A7}"/>
    <cellStyle name="Normal 3 2 4 4 4 3" xfId="7039" xr:uid="{2E5B6BEC-9ED6-46FC-B453-D96987826C5C}"/>
    <cellStyle name="Normal 3 2 4 4 5" xfId="4793" xr:uid="{4B90CC93-0964-49A6-9A96-4A51E25EBFAB}"/>
    <cellStyle name="Normal 3 2 4 4 5 2" xfId="7410" xr:uid="{703E904F-F070-4209-B758-9D65B8C01AA1}"/>
    <cellStyle name="Normal 3 2 4 4 6" xfId="6102" xr:uid="{8F35369F-582C-4BF1-B7A1-DBB5B7D2F075}"/>
    <cellStyle name="Normal 3 2 4 5" xfId="2928" xr:uid="{61A635B5-39A7-49EC-A691-372097ABBB87}"/>
    <cellStyle name="Normal 3 2 4 5 2" xfId="3597" xr:uid="{8ADC7C4D-7E2F-4CA6-ABF0-48FE1C21C8CE}"/>
    <cellStyle name="Normal 3 2 4 5 2 2" xfId="4087" xr:uid="{E058294C-F273-4D85-AAAE-4954C96A1198}"/>
    <cellStyle name="Normal 3 2 4 5 2 2 2" xfId="5414" xr:uid="{BCBE4249-D973-431A-A782-BB9234BA8468}"/>
    <cellStyle name="Normal 3 2 4 5 2 2 2 2" xfId="8031" xr:uid="{E7B9038B-4E76-4787-964E-3484F66DFCBD}"/>
    <cellStyle name="Normal 3 2 4 5 2 2 3" xfId="6723" xr:uid="{A9D382BF-8DB8-4C2C-A515-BAEAA6358A4D}"/>
    <cellStyle name="Normal 3 2 4 5 2 3" xfId="4942" xr:uid="{D937FDAC-C575-4429-B6C1-23F11B8132B1}"/>
    <cellStyle name="Normal 3 2 4 5 2 3 2" xfId="7559" xr:uid="{37B4813C-B207-403E-A24F-7FB4C5BB43AA}"/>
    <cellStyle name="Normal 3 2 4 5 2 4" xfId="6251" xr:uid="{870BE286-3368-4DBD-BFDB-F4ADB7CE38D7}"/>
    <cellStyle name="Normal 3 2 4 5 3" xfId="3858" xr:uid="{4523875C-B02A-4683-9D4D-3620ABE3CF50}"/>
    <cellStyle name="Normal 3 2 4 5 3 2" xfId="5185" xr:uid="{B00CD49B-F022-4436-9FBE-42CD5F1BA8C5}"/>
    <cellStyle name="Normal 3 2 4 5 3 2 2" xfId="7802" xr:uid="{0BCF9A0B-623E-4977-BD91-EDF78F9E7F78}"/>
    <cellStyle name="Normal 3 2 4 5 3 3" xfId="6494" xr:uid="{CA829E19-257C-4DA6-A6EE-54E567E3E8F6}"/>
    <cellStyle name="Normal 3 2 4 5 4" xfId="4323" xr:uid="{44A3E2B6-6342-4F6D-A0B5-F46ECDB79737}"/>
    <cellStyle name="Normal 3 2 4 5 4 2" xfId="5650" xr:uid="{D1972A37-F262-4FAA-9E8D-4CBD2D24DBB6}"/>
    <cellStyle name="Normal 3 2 4 5 4 2 2" xfId="8267" xr:uid="{1DB09038-FF1C-4554-A77F-B72E69F3C22F}"/>
    <cellStyle name="Normal 3 2 4 5 4 3" xfId="6959" xr:uid="{53568757-F035-4F01-A476-764A8037FBB5}"/>
    <cellStyle name="Normal 3 2 4 5 5" xfId="4713" xr:uid="{9CE009E4-2C19-48FB-ACE2-D71B1E682BE7}"/>
    <cellStyle name="Normal 3 2 4 5 5 2" xfId="7330" xr:uid="{47FFEB07-56A9-4664-A647-C9968733A147}"/>
    <cellStyle name="Normal 3 2 4 5 6" xfId="6022" xr:uid="{CFD7262A-F642-4830-94AF-F74CC699857F}"/>
    <cellStyle name="Normal 3 2 4 6" xfId="3507" xr:uid="{798DE8B5-E61C-4A5B-AA2F-6E84E30D6CCA}"/>
    <cellStyle name="Normal 3 2 4 6 2" xfId="3997" xr:uid="{22DB6A2D-6A25-41AC-9EE6-A4E663DC3C4D}"/>
    <cellStyle name="Normal 3 2 4 6 2 2" xfId="5324" xr:uid="{6342DEF9-B37A-4241-A95C-9EA95BA61B62}"/>
    <cellStyle name="Normal 3 2 4 6 2 2 2" xfId="7941" xr:uid="{5B32C34F-7C89-464D-A3D4-8A5EFA4D4214}"/>
    <cellStyle name="Normal 3 2 4 6 2 3" xfId="6633" xr:uid="{4AC923B6-4BD0-4AAE-8808-C6BECA5EA956}"/>
    <cellStyle name="Normal 3 2 4 6 3" xfId="4458" xr:uid="{2031FA64-1A44-47FF-B6F2-F67E4E717FAA}"/>
    <cellStyle name="Normal 3 2 4 6 3 2" xfId="5783" xr:uid="{ECDBB746-E03A-4CF7-97EA-C29EE53E8323}"/>
    <cellStyle name="Normal 3 2 4 6 3 2 2" xfId="8400" xr:uid="{F875DA96-76BB-4D77-83C9-6C46714455E8}"/>
    <cellStyle name="Normal 3 2 4 6 3 3" xfId="7092" xr:uid="{6AD3ACDC-DF04-4B0F-8F80-FAC5A2CCCE15}"/>
    <cellStyle name="Normal 3 2 4 6 4" xfId="4852" xr:uid="{E2935FFD-CF60-491D-9137-54818767E6A2}"/>
    <cellStyle name="Normal 3 2 4 6 4 2" xfId="7469" xr:uid="{C3C4604B-F765-4BDC-8073-DCBBAE05DB89}"/>
    <cellStyle name="Normal 3 2 4 6 5" xfId="6161" xr:uid="{80C4896A-6EF9-4C07-A61E-74B3672EDBCF}"/>
    <cellStyle name="Normal 3 2 4 7" xfId="3768" xr:uid="{6266E53F-ED69-4B19-9942-B60F9D3AAB51}"/>
    <cellStyle name="Normal 3 2 4 7 2" xfId="4519" xr:uid="{CF18F501-D6D8-4613-9DFC-80489A34EBC2}"/>
    <cellStyle name="Normal 3 2 4 7 2 2" xfId="5828" xr:uid="{525273DE-6ED2-434C-B3BC-0DEB318C3BB0}"/>
    <cellStyle name="Normal 3 2 4 7 2 2 2" xfId="8445" xr:uid="{198EEB72-BCA3-4FDB-86A7-C3725B2BCEA5}"/>
    <cellStyle name="Normal 3 2 4 7 2 3" xfId="7137" xr:uid="{3D1EDE35-2897-44BE-8CE0-D9FD8CCE9004}"/>
    <cellStyle name="Normal 3 2 4 7 3" xfId="5095" xr:uid="{597773DD-9993-42E7-ABF1-9934F50F6B18}"/>
    <cellStyle name="Normal 3 2 4 7 3 2" xfId="7712" xr:uid="{C9218CCC-8317-4062-AA4D-C08688885004}"/>
    <cellStyle name="Normal 3 2 4 7 4" xfId="6404" xr:uid="{C2673A09-6446-4ECC-9FC6-8DEB9795FBA1}"/>
    <cellStyle name="Normal 3 2 4 8" xfId="4564" xr:uid="{1263515A-B38F-4DAC-92A3-73CC25E82AC6}"/>
    <cellStyle name="Normal 3 2 4 8 2" xfId="5873" xr:uid="{866E9E27-D5FD-4E41-A2DD-17457E6CD512}"/>
    <cellStyle name="Normal 3 2 4 8 2 2" xfId="8490" xr:uid="{04A0DB5A-9213-4238-AA07-A6AEEC024876}"/>
    <cellStyle name="Normal 3 2 4 8 3" xfId="7182" xr:uid="{90545333-A5A6-4010-8285-C08A71217DF4}"/>
    <cellStyle name="Normal 3 2 4 9" xfId="4233" xr:uid="{0A1BBF09-1F25-4B3D-8016-E6E1658CEE9D}"/>
    <cellStyle name="Normal 3 2 4 9 2" xfId="5560" xr:uid="{FE4FA4CA-80E9-444A-BE26-4DF322ED31D8}"/>
    <cellStyle name="Normal 3 2 4 9 2 2" xfId="8177" xr:uid="{3BD33A63-C2D1-4E6E-B3E8-DB45852C2A08}"/>
    <cellStyle name="Normal 3 2 4 9 3" xfId="6869" xr:uid="{61066838-9630-41A7-BBD5-DFEB5D9F86E6}"/>
    <cellStyle name="Normal 3 2 5" xfId="34" xr:uid="{2EFE8530-0684-4F55-A23A-7A1965E5A3BC}"/>
    <cellStyle name="Normal 3 2 5 10" xfId="5929" xr:uid="{A3C37E30-EB34-420D-B8FD-1129647AD14C}"/>
    <cellStyle name="Normal 3 2 5 2" xfId="2880" xr:uid="{8773FBDF-61AF-4521-A89B-6C48D72FC398}"/>
    <cellStyle name="Normal 3 2 5 2 2" xfId="2965" xr:uid="{2DD60245-4F59-4919-87A3-F24643CAA8F9}"/>
    <cellStyle name="Normal 3 2 5 2 2 2" xfId="3634" xr:uid="{676A9878-3D33-406B-8812-43498DB16DD4}"/>
    <cellStyle name="Normal 3 2 5 2 2 2 2" xfId="4124" xr:uid="{FF8D0B34-C7B1-4D9C-9A86-FFC8563D4535}"/>
    <cellStyle name="Normal 3 2 5 2 2 2 2 2" xfId="5451" xr:uid="{16B545A6-2DA7-4C5B-A1A6-82EB1A645702}"/>
    <cellStyle name="Normal 3 2 5 2 2 2 2 2 2" xfId="8068" xr:uid="{2CFE0F6D-2703-4EAD-916F-59F191C2D5EA}"/>
    <cellStyle name="Normal 3 2 5 2 2 2 2 3" xfId="6760" xr:uid="{3A6F48BB-7E27-400B-B6D4-848DB9564D72}"/>
    <cellStyle name="Normal 3 2 5 2 2 2 3" xfId="4979" xr:uid="{B1E815B2-C99C-4CD6-9650-A2F55B68E64C}"/>
    <cellStyle name="Normal 3 2 5 2 2 2 3 2" xfId="7596" xr:uid="{69FBCDE8-878E-4F47-BD2C-D7FF05C69488}"/>
    <cellStyle name="Normal 3 2 5 2 2 2 4" xfId="6288" xr:uid="{F448B37D-AAB4-4D12-9DE4-63AEE564A4C9}"/>
    <cellStyle name="Normal 3 2 5 2 2 3" xfId="3895" xr:uid="{AB12B005-B33C-401F-9C82-3D9096C33363}"/>
    <cellStyle name="Normal 3 2 5 2 2 3 2" xfId="5222" xr:uid="{BD087818-D9A0-482B-BF81-06A558FEC9F9}"/>
    <cellStyle name="Normal 3 2 5 2 2 3 2 2" xfId="7839" xr:uid="{27578BFB-069F-48C9-9971-7E21C2C3A746}"/>
    <cellStyle name="Normal 3 2 5 2 2 3 3" xfId="6531" xr:uid="{B58C5BC2-9E65-4F9B-BE8C-3231A9C69308}"/>
    <cellStyle name="Normal 3 2 5 2 2 4" xfId="4360" xr:uid="{8D55A8E4-3746-4670-8CF6-F1EE7C4ECC00}"/>
    <cellStyle name="Normal 3 2 5 2 2 4 2" xfId="5687" xr:uid="{231A3C8E-328E-42FF-A0A0-C42561BBAE58}"/>
    <cellStyle name="Normal 3 2 5 2 2 4 2 2" xfId="8304" xr:uid="{BAD808D7-6B2D-4627-8FAC-2318F4022992}"/>
    <cellStyle name="Normal 3 2 5 2 2 4 3" xfId="6996" xr:uid="{5B2648EF-A5C5-4702-893F-41CA098AFAFF}"/>
    <cellStyle name="Normal 3 2 5 2 2 5" xfId="4750" xr:uid="{5CE2CB9A-FF27-4EC3-8D69-C48A4A6CB973}"/>
    <cellStyle name="Normal 3 2 5 2 2 5 2" xfId="7367" xr:uid="{34B8F961-EE45-4DF8-BD7C-14D0FD66571F}"/>
    <cellStyle name="Normal 3 2 5 2 2 6" xfId="6059" xr:uid="{886D117A-C0ED-40BE-8413-E8D57A44DB20}"/>
    <cellStyle name="Normal 3 2 5 2 3" xfId="3549" xr:uid="{42DC2D7D-B305-4E78-A543-A5C994A38F57}"/>
    <cellStyle name="Normal 3 2 5 2 3 2" xfId="4039" xr:uid="{A2969D44-56D2-4ADE-B7A3-1E889D16723F}"/>
    <cellStyle name="Normal 3 2 5 2 3 2 2" xfId="5366" xr:uid="{25FF55E5-94BF-4622-8D60-C4DB7887AFE2}"/>
    <cellStyle name="Normal 3 2 5 2 3 2 2 2" xfId="7983" xr:uid="{DCEB31EC-9B41-49FF-9B8C-80E9313B2428}"/>
    <cellStyle name="Normal 3 2 5 2 3 2 3" xfId="6675" xr:uid="{43D68AB4-643C-4950-AEBC-03593B873A9D}"/>
    <cellStyle name="Normal 3 2 5 2 3 3" xfId="4894" xr:uid="{285CA249-46DE-408D-AE66-777EAE144281}"/>
    <cellStyle name="Normal 3 2 5 2 3 3 2" xfId="7511" xr:uid="{1EF8CC1B-1910-41E5-BF94-AF0F5ED575CF}"/>
    <cellStyle name="Normal 3 2 5 2 3 4" xfId="6203" xr:uid="{DC045DE0-6AC9-4180-9E39-0B71F26D268C}"/>
    <cellStyle name="Normal 3 2 5 2 4" xfId="3810" xr:uid="{642D0596-D3B0-461C-ABCF-F212A3B22211}"/>
    <cellStyle name="Normal 3 2 5 2 4 2" xfId="5137" xr:uid="{BB5AB8A0-3A1B-43AC-9D5A-5E312E8CDB9C}"/>
    <cellStyle name="Normal 3 2 5 2 4 2 2" xfId="7754" xr:uid="{71103021-E55B-411A-822C-E81AA01ECE11}"/>
    <cellStyle name="Normal 3 2 5 2 4 3" xfId="6446" xr:uid="{B5A8798E-C66F-47D2-9993-B0019D1394B8}"/>
    <cellStyle name="Normal 3 2 5 2 5" xfId="4275" xr:uid="{2B41AAC1-014A-4EA9-B17C-EB7D9FBE9278}"/>
    <cellStyle name="Normal 3 2 5 2 5 2" xfId="5602" xr:uid="{FE690BF3-31D3-4C1A-A966-BB14B4D57FD4}"/>
    <cellStyle name="Normal 3 2 5 2 5 2 2" xfId="8219" xr:uid="{A52CACA7-6224-43D1-A97C-764C7B7CE9CA}"/>
    <cellStyle name="Normal 3 2 5 2 5 3" xfId="6911" xr:uid="{6F79CBD0-D02F-4A5D-9A33-B8575A9E3B7E}"/>
    <cellStyle name="Normal 3 2 5 2 6" xfId="4665" xr:uid="{646F30A4-80F6-43A5-B2BD-A50A424D5014}"/>
    <cellStyle name="Normal 3 2 5 2 6 2" xfId="7282" xr:uid="{8B7A362C-9BE6-41BF-811D-45A5CBC39FE1}"/>
    <cellStyle name="Normal 3 2 5 2 7" xfId="5974" xr:uid="{4FDDA5C6-9162-4463-B4B4-123D6D559FF6}"/>
    <cellStyle name="Normal 3 2 5 3" xfId="3021" xr:uid="{4E740726-28E9-4A37-98D8-69BCC8BAD6F7}"/>
    <cellStyle name="Normal 3 2 5 3 2" xfId="3690" xr:uid="{580DAE05-49F5-49A9-801D-D403F7CAE478}"/>
    <cellStyle name="Normal 3 2 5 3 2 2" xfId="4164" xr:uid="{B5509103-37D5-42D3-A0C0-ABB16351EFEC}"/>
    <cellStyle name="Normal 3 2 5 3 2 2 2" xfId="5491" xr:uid="{B5F930C7-6B82-49B9-9077-83513E14671E}"/>
    <cellStyle name="Normal 3 2 5 3 2 2 2 2" xfId="8108" xr:uid="{DB9E779D-532B-435F-9ABD-F15483B0E1CB}"/>
    <cellStyle name="Normal 3 2 5 3 2 2 3" xfId="6800" xr:uid="{26AB04B0-A33A-4841-850F-3D0426E1D7BF}"/>
    <cellStyle name="Normal 3 2 5 3 2 3" xfId="5019" xr:uid="{62E0F385-20FF-4B1B-A1B2-DFEB3B788C28}"/>
    <cellStyle name="Normal 3 2 5 3 2 3 2" xfId="7636" xr:uid="{C22741F5-FFCC-41E1-952E-1102DF3C7F7F}"/>
    <cellStyle name="Normal 3 2 5 3 2 4" xfId="6328" xr:uid="{EB7A6716-1D36-49A1-9F97-29342BE42BB1}"/>
    <cellStyle name="Normal 3 2 5 3 3" xfId="3935" xr:uid="{8380141B-655A-4878-A4FD-9E51F63F02A2}"/>
    <cellStyle name="Normal 3 2 5 3 3 2" xfId="5262" xr:uid="{8677DDD5-DEF0-4E56-84C9-BFC7AEC14CD9}"/>
    <cellStyle name="Normal 3 2 5 3 3 2 2" xfId="7879" xr:uid="{CB816DA4-57D2-4259-A96E-FE3B7A5A4B83}"/>
    <cellStyle name="Normal 3 2 5 3 3 3" xfId="6571" xr:uid="{DF291A9C-8B24-4243-A912-B875B9886ED8}"/>
    <cellStyle name="Normal 3 2 5 3 4" xfId="4400" xr:uid="{9B15E6B5-CD7F-4F63-B371-6E7608E4A62C}"/>
    <cellStyle name="Normal 3 2 5 3 4 2" xfId="5727" xr:uid="{E97ED5B5-2913-4DDC-BE34-536E0AD04839}"/>
    <cellStyle name="Normal 3 2 5 3 4 2 2" xfId="8344" xr:uid="{2F88ED9D-FDC3-4B26-9DA8-DDCAEE0C83A2}"/>
    <cellStyle name="Normal 3 2 5 3 4 3" xfId="7036" xr:uid="{AA9B68C1-4C29-4F64-B62A-4759EAFC031F}"/>
    <cellStyle name="Normal 3 2 5 3 5" xfId="4790" xr:uid="{2C9192E0-F44F-472B-B540-C55E2AA7B5D2}"/>
    <cellStyle name="Normal 3 2 5 3 5 2" xfId="7407" xr:uid="{4BFDD0F9-3A82-4623-BD05-0F797EE0E562}"/>
    <cellStyle name="Normal 3 2 5 3 6" xfId="6099" xr:uid="{65C409D9-AAF3-4E9D-BB06-1FF942019DD3}"/>
    <cellStyle name="Normal 3 2 5 4" xfId="2925" xr:uid="{B2679330-9511-44A5-A0E7-A2030AC0E9D7}"/>
    <cellStyle name="Normal 3 2 5 4 2" xfId="3594" xr:uid="{4AA1837D-B141-412F-AE5E-DEB5B5562DE0}"/>
    <cellStyle name="Normal 3 2 5 4 2 2" xfId="4084" xr:uid="{272FF41E-34B5-430C-B401-DCCA27DCA74A}"/>
    <cellStyle name="Normal 3 2 5 4 2 2 2" xfId="5411" xr:uid="{476BEA07-A5C8-44DD-AAA4-AF3AD1E0D040}"/>
    <cellStyle name="Normal 3 2 5 4 2 2 2 2" xfId="8028" xr:uid="{BA2BC36D-E87B-4214-95D9-674E8F87B0A1}"/>
    <cellStyle name="Normal 3 2 5 4 2 2 3" xfId="6720" xr:uid="{42D8D04F-43ED-4CB7-A701-DEA148BD05AB}"/>
    <cellStyle name="Normal 3 2 5 4 2 3" xfId="4939" xr:uid="{816C04A5-BFC5-4045-87DB-F45DC429A6C2}"/>
    <cellStyle name="Normal 3 2 5 4 2 3 2" xfId="7556" xr:uid="{75AD2ED5-25BD-43BB-9713-30F53308762A}"/>
    <cellStyle name="Normal 3 2 5 4 2 4" xfId="6248" xr:uid="{CFA46E7B-E628-4111-B9F4-48C8EAC41838}"/>
    <cellStyle name="Normal 3 2 5 4 3" xfId="3855" xr:uid="{1AEC8D92-E2B8-4125-A562-C41F586B651F}"/>
    <cellStyle name="Normal 3 2 5 4 3 2" xfId="5182" xr:uid="{FF99DE46-E9F9-4112-AB05-DE85C58EE31F}"/>
    <cellStyle name="Normal 3 2 5 4 3 2 2" xfId="7799" xr:uid="{928A05BA-DDDD-46E6-BAAA-44DFC3F7889F}"/>
    <cellStyle name="Normal 3 2 5 4 3 3" xfId="6491" xr:uid="{6BEE1875-D41D-4727-968E-BD5ABBD6E88D}"/>
    <cellStyle name="Normal 3 2 5 4 4" xfId="4320" xr:uid="{025A3AA3-DE38-4752-94D2-B4D140D348E2}"/>
    <cellStyle name="Normal 3 2 5 4 4 2" xfId="5647" xr:uid="{CBEFCCC6-954C-4DCA-95EB-93B9826783B3}"/>
    <cellStyle name="Normal 3 2 5 4 4 2 2" xfId="8264" xr:uid="{25D27F93-CC25-4580-B4FC-0D07A5B9C923}"/>
    <cellStyle name="Normal 3 2 5 4 4 3" xfId="6956" xr:uid="{9C6C7378-7013-4BCB-9D70-A06CD5BB54A1}"/>
    <cellStyle name="Normal 3 2 5 4 5" xfId="4710" xr:uid="{C1E935C8-2AB8-48E8-AA24-2E6BBA3C490F}"/>
    <cellStyle name="Normal 3 2 5 4 5 2" xfId="7327" xr:uid="{0515DDD1-031A-403E-B521-D1D5F0FA7E7F}"/>
    <cellStyle name="Normal 3 2 5 4 6" xfId="6019" xr:uid="{E022E3EA-4315-4433-BB46-A1005389DD85}"/>
    <cellStyle name="Normal 3 2 5 5" xfId="3504" xr:uid="{40CEF293-530F-4496-B065-205F3F8A499C}"/>
    <cellStyle name="Normal 3 2 5 5 2" xfId="3994" xr:uid="{D17C8408-E8FC-4409-8036-2C60F5C8A117}"/>
    <cellStyle name="Normal 3 2 5 5 2 2" xfId="5321" xr:uid="{0FBBCDF9-048E-4695-9068-2DC387EE3EC4}"/>
    <cellStyle name="Normal 3 2 5 5 2 2 2" xfId="7938" xr:uid="{C725173A-E3FF-49BE-80D0-43F6B3652E7A}"/>
    <cellStyle name="Normal 3 2 5 5 2 3" xfId="6630" xr:uid="{FC3E3086-C989-45DA-B1D3-54EF4D498C23}"/>
    <cellStyle name="Normal 3 2 5 5 3" xfId="4453" xr:uid="{9EB9FF7B-B04C-43EE-A5EF-6A3BF8E05BB3}"/>
    <cellStyle name="Normal 3 2 5 5 3 2" xfId="5780" xr:uid="{9A47576D-C643-4B1D-B5BD-CEA0A653405E}"/>
    <cellStyle name="Normal 3 2 5 5 3 2 2" xfId="8397" xr:uid="{4F2E1A83-CBBD-4CBC-B143-F4B309AAE83C}"/>
    <cellStyle name="Normal 3 2 5 5 3 3" xfId="7089" xr:uid="{DF937B5F-2138-469C-85BD-90FAC8CA0709}"/>
    <cellStyle name="Normal 3 2 5 5 4" xfId="4849" xr:uid="{E19DB71E-A79C-4658-AA9E-BEDAC8A179C2}"/>
    <cellStyle name="Normal 3 2 5 5 4 2" xfId="7466" xr:uid="{9E1A0FFB-DF8E-47F9-B344-14C284A0333E}"/>
    <cellStyle name="Normal 3 2 5 5 5" xfId="6158" xr:uid="{4C74A6FC-43A0-4CD3-8E17-3B7AD4493457}"/>
    <cellStyle name="Normal 3 2 5 6" xfId="3765" xr:uid="{B43AD99B-C67B-4B7B-AFD5-F3503A25E0FC}"/>
    <cellStyle name="Normal 3 2 5 6 2" xfId="4516" xr:uid="{DE366DEE-9ED4-4DD5-9CCA-B3BD8217217E}"/>
    <cellStyle name="Normal 3 2 5 6 2 2" xfId="5825" xr:uid="{4D2B6D6D-5DF2-4CFD-A9E1-E01F887C68F4}"/>
    <cellStyle name="Normal 3 2 5 6 2 2 2" xfId="8442" xr:uid="{CD0D51FB-F996-4AED-81D3-F6A9704D1B23}"/>
    <cellStyle name="Normal 3 2 5 6 2 3" xfId="7134" xr:uid="{156CC6EF-D0D1-4176-89B5-F94D5EE9BF71}"/>
    <cellStyle name="Normal 3 2 5 6 3" xfId="5092" xr:uid="{75467A1A-F341-4A45-A2B5-F8429F9671F0}"/>
    <cellStyle name="Normal 3 2 5 6 3 2" xfId="7709" xr:uid="{7DE4A6E3-C58A-4B75-AFED-B51CA0BCACF2}"/>
    <cellStyle name="Normal 3 2 5 6 4" xfId="6401" xr:uid="{2905730B-A0E0-4C31-AB95-2FD27E7611DF}"/>
    <cellStyle name="Normal 3 2 5 7" xfId="4561" xr:uid="{A7384DD4-7DA4-42B3-8A07-7BA13FDA877F}"/>
    <cellStyle name="Normal 3 2 5 7 2" xfId="5870" xr:uid="{D4925141-0310-47F1-92F7-C41C45B87DCB}"/>
    <cellStyle name="Normal 3 2 5 7 2 2" xfId="8487" xr:uid="{C76A7536-AACC-4E2E-9072-F06D20B99D53}"/>
    <cellStyle name="Normal 3 2 5 7 3" xfId="7179" xr:uid="{13FFA36F-E158-4A93-80B4-06081A155340}"/>
    <cellStyle name="Normal 3 2 5 8" xfId="4230" xr:uid="{1890F2BE-D63C-4521-87B8-80B71F3B58D6}"/>
    <cellStyle name="Normal 3 2 5 8 2" xfId="5557" xr:uid="{6B578D3F-E7CA-4C17-83AC-DE05CD05D742}"/>
    <cellStyle name="Normal 3 2 5 8 2 2" xfId="8174" xr:uid="{D49A2C9D-AB96-4984-86A4-6FF9BEC4D28B}"/>
    <cellStyle name="Normal 3 2 5 8 3" xfId="6866" xr:uid="{9916679D-9E59-4914-BCF0-1CE4122D141A}"/>
    <cellStyle name="Normal 3 2 5 9" xfId="4620" xr:uid="{25DCB2EA-A2D0-4716-9131-7A020252A84F}"/>
    <cellStyle name="Normal 3 2 5 9 2" xfId="7237" xr:uid="{7E17ED66-0B9D-4B7C-A543-5DBEC06922CE}"/>
    <cellStyle name="Normal 3 2 6" xfId="2850" xr:uid="{5C16A6E2-BD8E-404A-9F1D-868C2B1A3AE7}"/>
    <cellStyle name="Normal 3 2 6 10" xfId="5946" xr:uid="{7A9D3983-E822-41C9-B98A-D77CFF33E071}"/>
    <cellStyle name="Normal 3 2 6 2" xfId="2897" xr:uid="{6664FD74-98CA-4AF1-AE65-91A17D3C4BDF}"/>
    <cellStyle name="Normal 3 2 6 2 2" xfId="2998" xr:uid="{91012EF5-E3BF-4B87-8261-6DA81963CCEA}"/>
    <cellStyle name="Normal 3 2 6 2 2 2" xfId="3667" xr:uid="{D7E70B13-2058-435C-B0CE-1CF16F482777}"/>
    <cellStyle name="Normal 3 2 6 2 2 2 2" xfId="4141" xr:uid="{ED2B5FBD-EFD5-4EBF-B52D-A2EBB55439CC}"/>
    <cellStyle name="Normal 3 2 6 2 2 2 2 2" xfId="5468" xr:uid="{AC969EF1-2C08-43EA-BE82-2845BAA0C2C9}"/>
    <cellStyle name="Normal 3 2 6 2 2 2 2 2 2" xfId="8085" xr:uid="{1D0EE8DE-6780-484F-AAF7-DB896811D42E}"/>
    <cellStyle name="Normal 3 2 6 2 2 2 2 3" xfId="6777" xr:uid="{082CE755-F65C-4EF4-9151-FA075C9B356C}"/>
    <cellStyle name="Normal 3 2 6 2 2 2 3" xfId="4996" xr:uid="{2323D58C-BB6C-476D-8D3F-F7E211E61E71}"/>
    <cellStyle name="Normal 3 2 6 2 2 2 3 2" xfId="7613" xr:uid="{9E9C87F2-8B5C-4C2D-A441-E445161C7D6B}"/>
    <cellStyle name="Normal 3 2 6 2 2 2 4" xfId="6305" xr:uid="{7A8714B4-05DF-4F12-92CE-A9D58463B618}"/>
    <cellStyle name="Normal 3 2 6 2 2 3" xfId="3912" xr:uid="{F8B21E2F-4178-418E-8F6C-9E3CC29CC1E7}"/>
    <cellStyle name="Normal 3 2 6 2 2 3 2" xfId="5239" xr:uid="{89BE70B1-1896-4300-9997-514DAB3848DD}"/>
    <cellStyle name="Normal 3 2 6 2 2 3 2 2" xfId="7856" xr:uid="{B5A3DDCF-4443-4D0F-B38D-F3A6194C3A5D}"/>
    <cellStyle name="Normal 3 2 6 2 2 3 3" xfId="6548" xr:uid="{CF5F0AD5-1B42-4110-8C68-3425B477709A}"/>
    <cellStyle name="Normal 3 2 6 2 2 4" xfId="4377" xr:uid="{E5ECBC69-2BD1-4933-B11E-16EAE01A9907}"/>
    <cellStyle name="Normal 3 2 6 2 2 4 2" xfId="5704" xr:uid="{CA1C43B8-D3BE-41ED-8F41-F7FC79752F4E}"/>
    <cellStyle name="Normal 3 2 6 2 2 4 2 2" xfId="8321" xr:uid="{66CE7B91-5D64-45B7-AFF5-F46F8DC1C97A}"/>
    <cellStyle name="Normal 3 2 6 2 2 4 3" xfId="7013" xr:uid="{98EF9660-D2C5-438E-B56E-79F6E4DB5C80}"/>
    <cellStyle name="Normal 3 2 6 2 2 5" xfId="4767" xr:uid="{036DBA39-9501-416C-BE2E-2216795A4138}"/>
    <cellStyle name="Normal 3 2 6 2 2 5 2" xfId="7384" xr:uid="{068D8A48-3779-4777-9CDB-3EA857FEB34A}"/>
    <cellStyle name="Normal 3 2 6 2 2 6" xfId="6076" xr:uid="{9D9DB17B-F48E-48DD-9748-5AE319578791}"/>
    <cellStyle name="Normal 3 2 6 2 3" xfId="3566" xr:uid="{E82DD52E-4EDC-48C6-963A-6B94ED1EC3EB}"/>
    <cellStyle name="Normal 3 2 6 2 3 2" xfId="4056" xr:uid="{100D2D13-C793-4BF7-87C2-F7284A679B17}"/>
    <cellStyle name="Normal 3 2 6 2 3 2 2" xfId="5383" xr:uid="{05180F6D-E83D-4C6A-B82C-158AF2C3E626}"/>
    <cellStyle name="Normal 3 2 6 2 3 2 2 2" xfId="8000" xr:uid="{31C93AD0-5B98-4648-917C-7FCC2CA787B3}"/>
    <cellStyle name="Normal 3 2 6 2 3 2 3" xfId="6692" xr:uid="{3718CF68-8C5B-4377-9545-DEC1EC8D679B}"/>
    <cellStyle name="Normal 3 2 6 2 3 3" xfId="4911" xr:uid="{B3F1F9C8-DEEA-44F6-88C6-71FFBA6D7850}"/>
    <cellStyle name="Normal 3 2 6 2 3 3 2" xfId="7528" xr:uid="{FEFF12C5-536B-4EFA-AE16-071D859E6704}"/>
    <cellStyle name="Normal 3 2 6 2 3 4" xfId="6220" xr:uid="{61D9CF8B-7237-4F5F-B5CA-44090ACFFC0C}"/>
    <cellStyle name="Normal 3 2 6 2 4" xfId="3827" xr:uid="{DE03689F-90AD-48AF-B521-DB3B6140F020}"/>
    <cellStyle name="Normal 3 2 6 2 4 2" xfId="5154" xr:uid="{B9322330-5457-47CB-8E23-01D7A5256D0B}"/>
    <cellStyle name="Normal 3 2 6 2 4 2 2" xfId="7771" xr:uid="{C141EFC0-D1CA-4454-9806-080468FA6ED8}"/>
    <cellStyle name="Normal 3 2 6 2 4 3" xfId="6463" xr:uid="{8FAF7013-158D-4DEB-A023-829AAF564B63}"/>
    <cellStyle name="Normal 3 2 6 2 5" xfId="4292" xr:uid="{CE4553CB-E15A-44EB-A5FC-F2E2634960CC}"/>
    <cellStyle name="Normal 3 2 6 2 5 2" xfId="5619" xr:uid="{644AFA2D-5C77-4A60-A349-498F0836F67F}"/>
    <cellStyle name="Normal 3 2 6 2 5 2 2" xfId="8236" xr:uid="{B1769DA3-2F10-4B07-83EF-176515689BBA}"/>
    <cellStyle name="Normal 3 2 6 2 5 3" xfId="6928" xr:uid="{933E970C-7036-4553-AE14-CF502CE2E94F}"/>
    <cellStyle name="Normal 3 2 6 2 6" xfId="4682" xr:uid="{DA3E1738-EC84-4F4A-86B5-05EB26376E20}"/>
    <cellStyle name="Normal 3 2 6 2 6 2" xfId="7299" xr:uid="{42857622-D7C0-49AE-8C49-0D99C08ACDFE}"/>
    <cellStyle name="Normal 3 2 6 2 7" xfId="5991" xr:uid="{A0675BDB-AC70-41BE-BCBF-878F5D1F2786}"/>
    <cellStyle name="Normal 3 2 6 3" xfId="3442" xr:uid="{FFA32A7D-DF21-4608-B320-14F41FDC5635}"/>
    <cellStyle name="Normal 3 2 6 3 2" xfId="3707" xr:uid="{4AA068E7-DEB3-4883-A930-A5C5F0B52161}"/>
    <cellStyle name="Normal 3 2 6 3 2 2" xfId="4181" xr:uid="{9F8AC60D-C2E6-416B-A2CE-A9038FB18EAB}"/>
    <cellStyle name="Normal 3 2 6 3 2 2 2" xfId="5508" xr:uid="{4A09B14E-2A33-4FE1-AC79-53B2C45CF3A3}"/>
    <cellStyle name="Normal 3 2 6 3 2 2 2 2" xfId="8125" xr:uid="{865C5B9C-BB66-410F-A15F-036EF912823A}"/>
    <cellStyle name="Normal 3 2 6 3 2 2 3" xfId="6817" xr:uid="{4ACC37AB-6D74-4AF2-AED3-D43128DFD16B}"/>
    <cellStyle name="Normal 3 2 6 3 2 3" xfId="5036" xr:uid="{8C7F3F73-9E62-4D9E-9E4F-DFCD3878AD95}"/>
    <cellStyle name="Normal 3 2 6 3 2 3 2" xfId="7653" xr:uid="{52444EBC-4D25-40A4-8393-750FF6F4FFE3}"/>
    <cellStyle name="Normal 3 2 6 3 2 4" xfId="6345" xr:uid="{85D13127-CD6B-4C20-8DD1-71E397E36330}"/>
    <cellStyle name="Normal 3 2 6 3 3" xfId="3952" xr:uid="{EF709A2B-3BA0-4AC3-BCFB-70256F4BA950}"/>
    <cellStyle name="Normal 3 2 6 3 3 2" xfId="5279" xr:uid="{D3F6ADBF-1979-4382-B367-C7917BC60F49}"/>
    <cellStyle name="Normal 3 2 6 3 3 2 2" xfId="7896" xr:uid="{DEF728A5-97DD-415E-ADDF-685F6366C787}"/>
    <cellStyle name="Normal 3 2 6 3 3 3" xfId="6588" xr:uid="{E21CC954-CC43-4C28-AA8D-F4ACF46B7010}"/>
    <cellStyle name="Normal 3 2 6 3 4" xfId="4417" xr:uid="{5025FFAD-C992-488C-A235-02F20E4F0F21}"/>
    <cellStyle name="Normal 3 2 6 3 4 2" xfId="5744" xr:uid="{8F1A6B26-A34A-47B9-A7CE-6E8403B1FDA0}"/>
    <cellStyle name="Normal 3 2 6 3 4 2 2" xfId="8361" xr:uid="{ABA984C0-66C2-49D9-A6A8-5415F5077AED}"/>
    <cellStyle name="Normal 3 2 6 3 4 3" xfId="7053" xr:uid="{31D0B210-6B09-4CBA-9566-CAFD9414CD13}"/>
    <cellStyle name="Normal 3 2 6 3 5" xfId="4807" xr:uid="{D5BEEBA4-3E52-4C6B-B7B9-81946250EB79}"/>
    <cellStyle name="Normal 3 2 6 3 5 2" xfId="7424" xr:uid="{A2217680-7DFD-4986-8850-95F3826D9ED0}"/>
    <cellStyle name="Normal 3 2 6 3 6" xfId="6116" xr:uid="{5AA05DA8-F749-4B36-8D78-C9E19D088FE9}"/>
    <cellStyle name="Normal 3 2 6 4" xfId="2942" xr:uid="{6F039511-645D-4B28-9350-40E7266C3E91}"/>
    <cellStyle name="Normal 3 2 6 4 2" xfId="3611" xr:uid="{A2814150-5F40-4220-AA2D-BA56B3D8FB64}"/>
    <cellStyle name="Normal 3 2 6 4 2 2" xfId="4101" xr:uid="{72108C6A-6D0C-48C0-82DE-566B26663DE5}"/>
    <cellStyle name="Normal 3 2 6 4 2 2 2" xfId="5428" xr:uid="{56BF1ED8-3F27-4C00-987E-7C938B7ACEDB}"/>
    <cellStyle name="Normal 3 2 6 4 2 2 2 2" xfId="8045" xr:uid="{D4A9D807-0A79-4935-B482-46C015BCA148}"/>
    <cellStyle name="Normal 3 2 6 4 2 2 3" xfId="6737" xr:uid="{B4D0E7AA-8987-47D0-BDE6-C4A002378C3C}"/>
    <cellStyle name="Normal 3 2 6 4 2 3" xfId="4956" xr:uid="{C489867B-C9A7-4242-A71E-E297BB3171A8}"/>
    <cellStyle name="Normal 3 2 6 4 2 3 2" xfId="7573" xr:uid="{AFC1442F-4ADA-4763-81F5-7C1BF99B6A61}"/>
    <cellStyle name="Normal 3 2 6 4 2 4" xfId="6265" xr:uid="{EE02EED2-83C0-441C-8BC0-B03230AC6683}"/>
    <cellStyle name="Normal 3 2 6 4 3" xfId="3872" xr:uid="{01E8FB86-C7C6-48BC-A816-8B377821134A}"/>
    <cellStyle name="Normal 3 2 6 4 3 2" xfId="5199" xr:uid="{B9B16317-7596-4F2E-B16E-DDE653E27BA3}"/>
    <cellStyle name="Normal 3 2 6 4 3 2 2" xfId="7816" xr:uid="{5E1CE303-A075-4ED0-A724-28BECD85F0F9}"/>
    <cellStyle name="Normal 3 2 6 4 3 3" xfId="6508" xr:uid="{5B67645D-F46B-42E5-B7DA-B8D7A3D88BAB}"/>
    <cellStyle name="Normal 3 2 6 4 4" xfId="4337" xr:uid="{F737F315-8EC4-4B56-972B-F780C75C3456}"/>
    <cellStyle name="Normal 3 2 6 4 4 2" xfId="5664" xr:uid="{24DF624D-82D7-4350-B579-06F7FC1D4B5E}"/>
    <cellStyle name="Normal 3 2 6 4 4 2 2" xfId="8281" xr:uid="{D0D7DC0E-1C86-4360-9F32-3B754783F83B}"/>
    <cellStyle name="Normal 3 2 6 4 4 3" xfId="6973" xr:uid="{6CCB51D1-66C4-4C2A-A298-7ACA12ECDC7F}"/>
    <cellStyle name="Normal 3 2 6 4 5" xfId="4727" xr:uid="{CA1FE717-0FAE-4417-BF7C-E884C896571A}"/>
    <cellStyle name="Normal 3 2 6 4 5 2" xfId="7344" xr:uid="{07D180E4-A809-4BE6-9C5C-34BF489E5876}"/>
    <cellStyle name="Normal 3 2 6 4 6" xfId="6036" xr:uid="{CA369714-D99A-4D92-B7C8-310A87607BA8}"/>
    <cellStyle name="Normal 3 2 6 5" xfId="3521" xr:uid="{1AEA6116-EC6B-4BB6-A00F-D9E00CB01DBF}"/>
    <cellStyle name="Normal 3 2 6 5 2" xfId="4011" xr:uid="{828BEFD3-B351-4D32-B5DB-4DBA160567E0}"/>
    <cellStyle name="Normal 3 2 6 5 2 2" xfId="5338" xr:uid="{13BF9468-37AC-4DE8-BD98-240BA5DD643F}"/>
    <cellStyle name="Normal 3 2 6 5 2 2 2" xfId="7955" xr:uid="{1B20CF24-8590-4015-A3BF-38B132D62E39}"/>
    <cellStyle name="Normal 3 2 6 5 2 3" xfId="6647" xr:uid="{AD55B611-4B4E-4243-A796-9B4E6D2019DB}"/>
    <cellStyle name="Normal 3 2 6 5 3" xfId="4488" xr:uid="{7157CF66-9AE0-450B-9BCC-50BC9E1E94B9}"/>
    <cellStyle name="Normal 3 2 6 5 3 2" xfId="5797" xr:uid="{51BC6067-5CA5-4FC8-9647-AB261469E55A}"/>
    <cellStyle name="Normal 3 2 6 5 3 2 2" xfId="8414" xr:uid="{A53C8CB6-ADF3-409D-8F9E-8FC6273DA112}"/>
    <cellStyle name="Normal 3 2 6 5 3 3" xfId="7106" xr:uid="{01EFBEC3-F5F3-4D07-8B35-18CBC86C07A3}"/>
    <cellStyle name="Normal 3 2 6 5 4" xfId="4866" xr:uid="{6FA4AD79-1FB9-4D02-9BFE-65813E5206E4}"/>
    <cellStyle name="Normal 3 2 6 5 4 2" xfId="7483" xr:uid="{20176EBC-A677-4B20-BAD1-2134DC1FC9D8}"/>
    <cellStyle name="Normal 3 2 6 5 5" xfId="6175" xr:uid="{F5364356-FEA5-4840-93AF-9AFB11E113FF}"/>
    <cellStyle name="Normal 3 2 6 6" xfId="3782" xr:uid="{AE890CEC-158B-42AB-B688-C2A9B627711B}"/>
    <cellStyle name="Normal 3 2 6 6 2" xfId="4533" xr:uid="{8A67CB6D-9962-4707-98B2-735A1F10089D}"/>
    <cellStyle name="Normal 3 2 6 6 2 2" xfId="5842" xr:uid="{E77BD56E-61E1-4393-97DD-92857E5DF991}"/>
    <cellStyle name="Normal 3 2 6 6 2 2 2" xfId="8459" xr:uid="{E1CB4EFE-8032-42E2-8353-CDEF520DF19B}"/>
    <cellStyle name="Normal 3 2 6 6 2 3" xfId="7151" xr:uid="{D7525A02-F003-481D-BA8C-8F8B7921A8F2}"/>
    <cellStyle name="Normal 3 2 6 6 3" xfId="5109" xr:uid="{13388E04-0725-48D4-A195-C84B392049EC}"/>
    <cellStyle name="Normal 3 2 6 6 3 2" xfId="7726" xr:uid="{3FF51655-2435-44D7-BE21-73418248BB05}"/>
    <cellStyle name="Normal 3 2 6 6 4" xfId="6418" xr:uid="{DC14BDAD-40EF-4443-9BBA-FB1804E15D18}"/>
    <cellStyle name="Normal 3 2 6 7" xfId="4578" xr:uid="{2AAB7520-EA1C-492F-AD0C-34C725B26E0F}"/>
    <cellStyle name="Normal 3 2 6 7 2" xfId="5887" xr:uid="{1AF3EC30-2F45-4078-BBBF-C690EFCC8321}"/>
    <cellStyle name="Normal 3 2 6 7 2 2" xfId="8504" xr:uid="{8BA56887-4A5C-4982-8914-2FCC5B073674}"/>
    <cellStyle name="Normal 3 2 6 7 3" xfId="7196" xr:uid="{765EF4E7-5C9B-44C3-9626-F650828A99A6}"/>
    <cellStyle name="Normal 3 2 6 8" xfId="4247" xr:uid="{4448D52F-7BAC-4EF2-8786-66F1436FDA95}"/>
    <cellStyle name="Normal 3 2 6 8 2" xfId="5574" xr:uid="{8D040FC6-B63C-4C70-8E95-E7FEC69B195F}"/>
    <cellStyle name="Normal 3 2 6 8 2 2" xfId="8191" xr:uid="{75163941-95FF-43C0-8D32-8E43A9DD1782}"/>
    <cellStyle name="Normal 3 2 6 8 3" xfId="6883" xr:uid="{31CA9248-ED2E-4325-9B5C-854D75AEAEAA}"/>
    <cellStyle name="Normal 3 2 6 9" xfId="4637" xr:uid="{F923B073-1503-4AAD-A2E0-122B53FEC9EF}"/>
    <cellStyle name="Normal 3 2 6 9 2" xfId="7254" xr:uid="{A7E809A3-0C61-4780-A2BA-F0223EB8F938}"/>
    <cellStyle name="Normal 3 2 7" xfId="31" xr:uid="{2F3C1975-D9A4-46DE-B8C2-B72AC2C044E0}"/>
    <cellStyle name="Normal 3 2 7 2" xfId="2877" xr:uid="{59781F0C-77A9-45FE-8065-6468F1E0AAEF}"/>
    <cellStyle name="Normal 3 2 7 2 2" xfId="3546" xr:uid="{7E4E383C-F467-4833-9603-62B435DCFA79}"/>
    <cellStyle name="Normal 3 2 7 2 2 2" xfId="4036" xr:uid="{D4B5F196-FA09-417C-914F-964538929E44}"/>
    <cellStyle name="Normal 3 2 7 2 2 2 2" xfId="5363" xr:uid="{AFB23595-B939-46BD-9ECE-C432B848BFA0}"/>
    <cellStyle name="Normal 3 2 7 2 2 2 2 2" xfId="7980" xr:uid="{C33F3F07-459C-4745-9837-C0E22799B797}"/>
    <cellStyle name="Normal 3 2 7 2 2 2 3" xfId="6672" xr:uid="{E5F42E84-B00A-4904-AC5D-6C990A08676A}"/>
    <cellStyle name="Normal 3 2 7 2 2 3" xfId="4891" xr:uid="{B51F2D84-9AA4-462D-A68E-66C3029BF5F8}"/>
    <cellStyle name="Normal 3 2 7 2 2 3 2" xfId="7508" xr:uid="{8A5B1519-1EA9-4D98-8E43-70995D89CA51}"/>
    <cellStyle name="Normal 3 2 7 2 2 4" xfId="6200" xr:uid="{1D81028D-7199-4E39-B3A9-5187B72F8280}"/>
    <cellStyle name="Normal 3 2 7 2 3" xfId="3807" xr:uid="{76F61630-B47C-41EA-B7EE-189301FBEF12}"/>
    <cellStyle name="Normal 3 2 7 2 3 2" xfId="5134" xr:uid="{30E12C41-267F-4DF1-8441-3C68703047F0}"/>
    <cellStyle name="Normal 3 2 7 2 3 2 2" xfId="7751" xr:uid="{564B305C-7F14-4DDC-A716-CF3213E770DC}"/>
    <cellStyle name="Normal 3 2 7 2 3 3" xfId="6443" xr:uid="{09E227D9-9D70-4043-A7A8-4001A580D0E0}"/>
    <cellStyle name="Normal 3 2 7 2 4" xfId="4272" xr:uid="{DBE0582F-BC41-4014-AE31-D02EF494FDED}"/>
    <cellStyle name="Normal 3 2 7 2 4 2" xfId="5599" xr:uid="{E503A81B-BEE6-49C3-8E2B-9C8BE587731D}"/>
    <cellStyle name="Normal 3 2 7 2 4 2 2" xfId="8216" xr:uid="{A5EEBD90-D4C0-4A75-AFFD-D788F71EE9AA}"/>
    <cellStyle name="Normal 3 2 7 2 4 3" xfId="6908" xr:uid="{86F7D678-6E9A-42D0-A68F-73BBA23DBA48}"/>
    <cellStyle name="Normal 3 2 7 2 5" xfId="4662" xr:uid="{742F88D4-A2BC-45BD-B1FA-48E4A3C5366A}"/>
    <cellStyle name="Normal 3 2 7 2 5 2" xfId="7279" xr:uid="{7B639238-3553-465F-9DA1-D10E82FEB8EA}"/>
    <cellStyle name="Normal 3 2 7 2 6" xfId="5971" xr:uid="{0A652872-CFD3-482E-8B9A-8908634D5AA5}"/>
    <cellStyle name="Normal 3 2 7 3" xfId="2922" xr:uid="{E4C8E062-8446-4FC6-BB97-540E387A26A7}"/>
    <cellStyle name="Normal 3 2 7 3 2" xfId="3591" xr:uid="{DF90C2F7-4C93-452D-ACE7-18F1D28980A1}"/>
    <cellStyle name="Normal 3 2 7 3 2 2" xfId="4081" xr:uid="{9C86C931-134A-46D9-8481-02784B56EC52}"/>
    <cellStyle name="Normal 3 2 7 3 2 2 2" xfId="5408" xr:uid="{D64A23D2-AAC2-4316-8BF9-E64BAB6046F5}"/>
    <cellStyle name="Normal 3 2 7 3 2 2 2 2" xfId="8025" xr:uid="{5CC94429-DEA2-47AE-B218-E43ADBFD7EBF}"/>
    <cellStyle name="Normal 3 2 7 3 2 2 3" xfId="6717" xr:uid="{08CE218E-4E58-4FA0-B518-89731CD27D31}"/>
    <cellStyle name="Normal 3 2 7 3 2 3" xfId="4936" xr:uid="{BDDF67DE-176C-43AC-A844-BAECB408B933}"/>
    <cellStyle name="Normal 3 2 7 3 2 3 2" xfId="7553" xr:uid="{6988DAAE-2ECE-4756-90BF-168D630C7A16}"/>
    <cellStyle name="Normal 3 2 7 3 2 4" xfId="6245" xr:uid="{6C77A003-EEE3-48C3-BE66-9484D8F2CFC6}"/>
    <cellStyle name="Normal 3 2 7 3 3" xfId="3852" xr:uid="{B6CA46B2-34ED-4A6F-A3A3-73F09661FB4F}"/>
    <cellStyle name="Normal 3 2 7 3 3 2" xfId="5179" xr:uid="{9EB9B189-A62F-415B-9BF6-4AC418724EE5}"/>
    <cellStyle name="Normal 3 2 7 3 3 2 2" xfId="7796" xr:uid="{2EDB620B-994F-4552-A892-F70D27406D8B}"/>
    <cellStyle name="Normal 3 2 7 3 3 3" xfId="6488" xr:uid="{7C4D5E3F-970A-462E-AAD8-EDC619DBC8BF}"/>
    <cellStyle name="Normal 3 2 7 3 4" xfId="4317" xr:uid="{D56BDE9F-4D45-4DB5-B71F-1ACA18615D6E}"/>
    <cellStyle name="Normal 3 2 7 3 4 2" xfId="5644" xr:uid="{D8795F72-7A51-46E6-9160-313D41743585}"/>
    <cellStyle name="Normal 3 2 7 3 4 2 2" xfId="8261" xr:uid="{A55C2AB1-41C5-4AAF-8980-886A7EFCFA96}"/>
    <cellStyle name="Normal 3 2 7 3 4 3" xfId="6953" xr:uid="{55B3632F-66ED-4A96-BF2F-CA696627FB4B}"/>
    <cellStyle name="Normal 3 2 7 3 5" xfId="4707" xr:uid="{2B734DA1-547A-4B09-81E8-0030D439895B}"/>
    <cellStyle name="Normal 3 2 7 3 5 2" xfId="7324" xr:uid="{267CFA31-6AB8-4814-89A6-649F6443683D}"/>
    <cellStyle name="Normal 3 2 7 3 6" xfId="6016" xr:uid="{68A3EFF0-9EAD-4DA9-93CA-BFD4A04860AF}"/>
    <cellStyle name="Normal 3 2 7 4" xfId="3501" xr:uid="{AE3D10A4-2F98-4CA8-875F-94496B9C4990}"/>
    <cellStyle name="Normal 3 2 7 4 2" xfId="3991" xr:uid="{7DED7F7E-DE75-4866-9FEC-43BB1717C26F}"/>
    <cellStyle name="Normal 3 2 7 4 2 2" xfId="5318" xr:uid="{A3E3F293-AF04-41D6-8C84-9632131DD587}"/>
    <cellStyle name="Normal 3 2 7 4 2 2 2" xfId="7935" xr:uid="{64676E90-53E5-4C1D-902B-C7649D9D0250}"/>
    <cellStyle name="Normal 3 2 7 4 2 3" xfId="6627" xr:uid="{6F989D9B-88B7-433F-8DE0-CBF8A156C9E7}"/>
    <cellStyle name="Normal 3 2 7 4 3" xfId="4450" xr:uid="{86F21ADC-0CBE-4629-8F23-797B308FEDEC}"/>
    <cellStyle name="Normal 3 2 7 4 3 2" xfId="5777" xr:uid="{489FB366-52B5-40B3-A474-00D5CEF96068}"/>
    <cellStyle name="Normal 3 2 7 4 3 2 2" xfId="8394" xr:uid="{EE4F7082-2546-4044-8F5F-570EED7962A3}"/>
    <cellStyle name="Normal 3 2 7 4 3 3" xfId="7086" xr:uid="{37741C6A-F60C-4647-9396-E7FF83BAD7E3}"/>
    <cellStyle name="Normal 3 2 7 4 4" xfId="4846" xr:uid="{3B2E379F-B5AA-4D2A-9C09-CE446A691E15}"/>
    <cellStyle name="Normal 3 2 7 4 4 2" xfId="7463" xr:uid="{CD0A21FC-C397-42FA-8C0A-2E4F6DE0C133}"/>
    <cellStyle name="Normal 3 2 7 4 5" xfId="6155" xr:uid="{BB51B1E1-C038-4F11-9458-C7683D7FB0E2}"/>
    <cellStyle name="Normal 3 2 7 5" xfId="3762" xr:uid="{196E7913-AC16-4201-87F0-AE9C36D0AD47}"/>
    <cellStyle name="Normal 3 2 7 5 2" xfId="4513" xr:uid="{575302B8-5554-4464-9EE2-312C7036BE6B}"/>
    <cellStyle name="Normal 3 2 7 5 2 2" xfId="5822" xr:uid="{F0C14B7A-5A93-402B-BFDC-C6C28420E3B6}"/>
    <cellStyle name="Normal 3 2 7 5 2 2 2" xfId="8439" xr:uid="{43A257CF-DA5E-4074-BCEA-648E7D939B92}"/>
    <cellStyle name="Normal 3 2 7 5 2 3" xfId="7131" xr:uid="{7E83832E-B123-46A5-B01C-4569630FA2B6}"/>
    <cellStyle name="Normal 3 2 7 5 3" xfId="5089" xr:uid="{047C47F3-8DFB-4D13-8877-CF56630D7B53}"/>
    <cellStyle name="Normal 3 2 7 5 3 2" xfId="7706" xr:uid="{E9696239-8FCC-4373-96C7-1539C0CF2209}"/>
    <cellStyle name="Normal 3 2 7 5 4" xfId="6398" xr:uid="{06A1F1B8-EE21-4924-A50A-25AE14AEE813}"/>
    <cellStyle name="Normal 3 2 7 6" xfId="4558" xr:uid="{E34AA821-6DB7-467E-90C0-BF4E4C2F50A4}"/>
    <cellStyle name="Normal 3 2 7 6 2" xfId="5867" xr:uid="{497594CA-5829-46AC-A4A9-12CE525C6F68}"/>
    <cellStyle name="Normal 3 2 7 6 2 2" xfId="8484" xr:uid="{BBC0FDF5-527F-4EC9-A450-C2B29C6E63D5}"/>
    <cellStyle name="Normal 3 2 7 6 3" xfId="7176" xr:uid="{9CF93BB9-E256-4487-A622-263D98118D4E}"/>
    <cellStyle name="Normal 3 2 7 7" xfId="4227" xr:uid="{DDAFEA3C-537A-4482-A985-EF0F9378008C}"/>
    <cellStyle name="Normal 3 2 7 7 2" xfId="5554" xr:uid="{B929DC5C-CCC8-4D5B-A85F-3E2F880D4A36}"/>
    <cellStyle name="Normal 3 2 7 7 2 2" xfId="8171" xr:uid="{D8687795-7294-467D-AEE8-FD108AA5782B}"/>
    <cellStyle name="Normal 3 2 7 7 3" xfId="6863" xr:uid="{08AF4C03-F6DC-4957-AADF-690F8DD9CC57}"/>
    <cellStyle name="Normal 3 2 7 8" xfId="4617" xr:uid="{DCD48707-8662-42BC-B082-28C508312B7F}"/>
    <cellStyle name="Normal 3 2 7 8 2" xfId="7234" xr:uid="{BEB845D3-D9D6-45E4-8C0C-1E97AD4AE6BB}"/>
    <cellStyle name="Normal 3 2 7 9" xfId="5926" xr:uid="{5B026941-954B-4867-933E-43EDD3DDDE9F}"/>
    <cellStyle name="Normal 3 2 8" xfId="26" xr:uid="{1A6667CB-56D8-4FDD-8F5E-B10A2CC5605D}"/>
    <cellStyle name="Normal 3 2 8 2" xfId="2962" xr:uid="{DD45B365-9B60-49ED-BE76-CFF5D5DAA582}"/>
    <cellStyle name="Normal 3 2 8 2 2" xfId="3631" xr:uid="{CC0F055B-6EF9-4E9B-9D49-E4C1FC9CB8EC}"/>
    <cellStyle name="Normal 3 2 8 2 2 2" xfId="4121" xr:uid="{D7FA2E3E-ED45-401B-8FAC-6679EB9DD6AD}"/>
    <cellStyle name="Normal 3 2 8 2 2 2 2" xfId="5448" xr:uid="{39F7D316-A2AC-48C4-8DE7-31586B75FE98}"/>
    <cellStyle name="Normal 3 2 8 2 2 2 2 2" xfId="8065" xr:uid="{69A6CC7A-222B-4B3F-87BF-29AAECBF0E9C}"/>
    <cellStyle name="Normal 3 2 8 2 2 2 3" xfId="6757" xr:uid="{E53C5FBE-32CF-4A40-AC20-1C9FD928B0B0}"/>
    <cellStyle name="Normal 3 2 8 2 2 3" xfId="4976" xr:uid="{3814BF6F-BB29-4E52-99DA-4CE9A2A8AA76}"/>
    <cellStyle name="Normal 3 2 8 2 2 3 2" xfId="7593" xr:uid="{F091B553-D354-4361-AF0A-B8F64E3003C0}"/>
    <cellStyle name="Normal 3 2 8 2 2 4" xfId="6285" xr:uid="{56A8F4AE-6D12-4C0B-8D58-CBCA66DFB870}"/>
    <cellStyle name="Normal 3 2 8 2 3" xfId="3892" xr:uid="{058638C5-20E1-42D8-8154-55ABD4F4E11D}"/>
    <cellStyle name="Normal 3 2 8 2 3 2" xfId="5219" xr:uid="{C26292D1-08FF-471F-BCC0-ADD9203F2C0D}"/>
    <cellStyle name="Normal 3 2 8 2 3 2 2" xfId="7836" xr:uid="{04F3A314-1FBF-430E-A38B-0A217F2796E1}"/>
    <cellStyle name="Normal 3 2 8 2 3 3" xfId="6528" xr:uid="{DDC2F39F-9A48-4CFC-9033-BEF9F81E6F6B}"/>
    <cellStyle name="Normal 3 2 8 2 4" xfId="4357" xr:uid="{250456C2-9C94-4923-8D85-F4505DC4A81C}"/>
    <cellStyle name="Normal 3 2 8 2 4 2" xfId="5684" xr:uid="{6202388D-BDDB-4DFD-BCEC-1B6A4A3D8D33}"/>
    <cellStyle name="Normal 3 2 8 2 4 2 2" xfId="8301" xr:uid="{8C212633-FF2D-4129-9D0E-4512A3A5DB3D}"/>
    <cellStyle name="Normal 3 2 8 2 4 3" xfId="6993" xr:uid="{5702260D-F858-4C21-A8FC-57BB454ADBBE}"/>
    <cellStyle name="Normal 3 2 8 2 5" xfId="4747" xr:uid="{957C16AD-9D3E-41B5-A53D-CD374ED019A5}"/>
    <cellStyle name="Normal 3 2 8 2 5 2" xfId="7364" xr:uid="{0075F298-1E9F-4D0D-BC32-21B3E0B88314}"/>
    <cellStyle name="Normal 3 2 8 2 6" xfId="6056" xr:uid="{D4C468B3-EF2C-45F4-A033-2F828D29776B}"/>
    <cellStyle name="Normal 3 2 8 3" xfId="3496" xr:uid="{2A414241-0D56-46CA-AD32-83B8FE5D2AD7}"/>
    <cellStyle name="Normal 3 2 8 3 2" xfId="3986" xr:uid="{98D0C76C-0CFE-4CF9-84FE-AEEFE21B20E5}"/>
    <cellStyle name="Normal 3 2 8 3 2 2" xfId="5313" xr:uid="{11EEB363-901E-4D9B-AF63-C05026D1F15A}"/>
    <cellStyle name="Normal 3 2 8 3 2 2 2" xfId="7930" xr:uid="{EF95DF4C-6358-4DEC-B7E5-A3A9C0BDC279}"/>
    <cellStyle name="Normal 3 2 8 3 2 3" xfId="6622" xr:uid="{542DDC0C-30A6-4976-A833-B63B2C885237}"/>
    <cellStyle name="Normal 3 2 8 3 3" xfId="4841" xr:uid="{F994AD79-2C3E-466B-9D6F-4D7E7CADD2B9}"/>
    <cellStyle name="Normal 3 2 8 3 3 2" xfId="7458" xr:uid="{3CD29208-92C4-4F31-93DA-D137E7190463}"/>
    <cellStyle name="Normal 3 2 8 3 4" xfId="6150" xr:uid="{C0671F99-0E74-443B-AAEE-3E6C471911B6}"/>
    <cellStyle name="Normal 3 2 8 4" xfId="3757" xr:uid="{0A2F70D6-3421-4B5F-99DC-6DBDB96A0935}"/>
    <cellStyle name="Normal 3 2 8 4 2" xfId="5084" xr:uid="{2929EBEF-F781-465B-B4B0-978EECE2C170}"/>
    <cellStyle name="Normal 3 2 8 4 2 2" xfId="7701" xr:uid="{7CA96222-F3F7-43DE-97CA-D2214E98444B}"/>
    <cellStyle name="Normal 3 2 8 4 3" xfId="6393" xr:uid="{0F586AC0-B9B8-46F3-A893-9A40EAB3AAD1}"/>
    <cellStyle name="Normal 3 2 8 5" xfId="4222" xr:uid="{20A6B0FA-C6C3-4E2F-81CA-0108D21F1C3F}"/>
    <cellStyle name="Normal 3 2 8 5 2" xfId="5549" xr:uid="{2A9CB5A6-A05B-4E90-8F58-8D50AA8E7736}"/>
    <cellStyle name="Normal 3 2 8 5 2 2" xfId="8166" xr:uid="{39406DE9-9266-4A33-B934-2942922FD0DB}"/>
    <cellStyle name="Normal 3 2 8 5 3" xfId="6858" xr:uid="{A6CF7BFB-CF8D-4C92-9420-094FB123AC64}"/>
    <cellStyle name="Normal 3 2 8 6" xfId="4612" xr:uid="{1221D283-2FEF-41E9-ADBC-68D4FE46E3E7}"/>
    <cellStyle name="Normal 3 2 8 6 2" xfId="7229" xr:uid="{1C8D2B6D-8638-467F-95D9-652B5D66235A}"/>
    <cellStyle name="Normal 3 2 8 7" xfId="5921" xr:uid="{082058F4-9F7E-4799-B010-01192CA7724D}"/>
    <cellStyle name="Normal 3 2 9" xfId="2872" xr:uid="{5731358C-C79B-4179-A65F-2B477AD238AF}"/>
    <cellStyle name="Normal 3 2 9 2" xfId="3018" xr:uid="{714AB98F-C443-4AE8-AF84-F8E43C94A385}"/>
    <cellStyle name="Normal 3 2 9 2 2" xfId="3687" xr:uid="{BCC5716B-B9D8-4018-9F5A-2CB99B6DA829}"/>
    <cellStyle name="Normal 3 2 9 2 2 2" xfId="4161" xr:uid="{F6140658-8C39-4A25-AEE1-060340C5B8D1}"/>
    <cellStyle name="Normal 3 2 9 2 2 2 2" xfId="5488" xr:uid="{0084E61C-E4B7-4197-98B6-0C5E79405828}"/>
    <cellStyle name="Normal 3 2 9 2 2 2 2 2" xfId="8105" xr:uid="{EC215A64-C529-468E-8FD4-951147FFE507}"/>
    <cellStyle name="Normal 3 2 9 2 2 2 3" xfId="6797" xr:uid="{619C8CB3-2714-4313-9899-CB6A130BE716}"/>
    <cellStyle name="Normal 3 2 9 2 2 3" xfId="5016" xr:uid="{260D4031-78D0-4E3C-AC52-2987AA9566A4}"/>
    <cellStyle name="Normal 3 2 9 2 2 3 2" xfId="7633" xr:uid="{0AEB7F35-C2A0-4F20-AA40-72DAD7F82A44}"/>
    <cellStyle name="Normal 3 2 9 2 2 4" xfId="6325" xr:uid="{950E7FCF-6AA5-41FD-91F7-FF2BC96A3C87}"/>
    <cellStyle name="Normal 3 2 9 2 3" xfId="3932" xr:uid="{E61098DB-C846-4F58-B0CC-5B0400545C86}"/>
    <cellStyle name="Normal 3 2 9 2 3 2" xfId="5259" xr:uid="{F0D5FF48-8EDC-4EE1-A2C3-325B2C20558B}"/>
    <cellStyle name="Normal 3 2 9 2 3 2 2" xfId="7876" xr:uid="{2AB291F3-9788-41E7-B627-DFC19E614C0D}"/>
    <cellStyle name="Normal 3 2 9 2 3 3" xfId="6568" xr:uid="{EEA30EE6-9B6E-4E97-9F4C-6527B4FECEF9}"/>
    <cellStyle name="Normal 3 2 9 2 4" xfId="4397" xr:uid="{7D1939BE-E1D0-4D84-9F64-105A3EB03CEB}"/>
    <cellStyle name="Normal 3 2 9 2 4 2" xfId="5724" xr:uid="{C5585D9E-8E97-43A9-9501-D81DA0E8C5AB}"/>
    <cellStyle name="Normal 3 2 9 2 4 2 2" xfId="8341" xr:uid="{D00CA8C7-2963-4CE3-8298-4B4F7CA7B54D}"/>
    <cellStyle name="Normal 3 2 9 2 4 3" xfId="7033" xr:uid="{D90C0BC6-20D2-472B-A60B-05D9986E72CE}"/>
    <cellStyle name="Normal 3 2 9 2 5" xfId="4787" xr:uid="{FA7922F3-5AD7-4833-BD2A-A269E25E68D6}"/>
    <cellStyle name="Normal 3 2 9 2 5 2" xfId="7404" xr:uid="{52103D02-0E85-4DAF-A67D-239007E7D6D3}"/>
    <cellStyle name="Normal 3 2 9 2 6" xfId="6096" xr:uid="{C2924A5C-4273-4E19-ABFA-197BEB8D86EC}"/>
    <cellStyle name="Normal 3 2 9 3" xfId="3541" xr:uid="{2418FE40-2F8A-49D4-A8F2-E3D8124EF135}"/>
    <cellStyle name="Normal 3 2 9 3 2" xfId="4031" xr:uid="{1ACC7DCD-E048-4CCD-ACAE-3DCCC1C5185F}"/>
    <cellStyle name="Normal 3 2 9 3 2 2" xfId="5358" xr:uid="{A2518BB1-5A3B-4235-B093-7BB6FC577449}"/>
    <cellStyle name="Normal 3 2 9 3 2 2 2" xfId="7975" xr:uid="{7717C85F-73C9-4FAD-A39B-091753E9222A}"/>
    <cellStyle name="Normal 3 2 9 3 2 3" xfId="6667" xr:uid="{F62F1C79-7A69-477D-A1C3-549F0FDDB993}"/>
    <cellStyle name="Normal 3 2 9 3 3" xfId="4886" xr:uid="{668134CC-600E-47C1-92E7-6444C08B0CD1}"/>
    <cellStyle name="Normal 3 2 9 3 3 2" xfId="7503" xr:uid="{D7D9F910-B7F6-4C22-AE1E-4E8AAFFD4221}"/>
    <cellStyle name="Normal 3 2 9 3 4" xfId="6195" xr:uid="{ABB77487-AA3F-4BC7-91AC-AC162CA14974}"/>
    <cellStyle name="Normal 3 2 9 4" xfId="3802" xr:uid="{0DD11811-77A3-432A-869D-F8F42CFE13F1}"/>
    <cellStyle name="Normal 3 2 9 4 2" xfId="5129" xr:uid="{DAFE2B1B-6BD0-4314-87E9-48B0F638D57B}"/>
    <cellStyle name="Normal 3 2 9 4 2 2" xfId="7746" xr:uid="{B720BA3C-C13B-487E-8A30-88D149FE5A9A}"/>
    <cellStyle name="Normal 3 2 9 4 3" xfId="6438" xr:uid="{14875110-4809-44C1-BD9A-B80A3206C536}"/>
    <cellStyle name="Normal 3 2 9 5" xfId="4267" xr:uid="{A985D0A1-BADE-477F-9DD2-2013985C8B13}"/>
    <cellStyle name="Normal 3 2 9 5 2" xfId="5594" xr:uid="{7ABC1FE1-332C-4C1C-912A-42DD3C9FF9EA}"/>
    <cellStyle name="Normal 3 2 9 5 2 2" xfId="8211" xr:uid="{786FC42A-9570-4684-8D87-EDF6DE8F18C5}"/>
    <cellStyle name="Normal 3 2 9 5 3" xfId="6903" xr:uid="{673F0B6A-84B1-43BC-99B8-CEA2E34F829A}"/>
    <cellStyle name="Normal 3 2 9 6" xfId="4657" xr:uid="{61048E1E-C891-438E-8FCD-45EC2F8C2633}"/>
    <cellStyle name="Normal 3 2 9 6 2" xfId="7274" xr:uid="{A3FD3B06-2DD6-4F7A-B1FB-2347282C1FBF}"/>
    <cellStyle name="Normal 3 2 9 7" xfId="5966" xr:uid="{4761B1D7-9996-4E43-B98E-A2026923C9DB}"/>
    <cellStyle name="Normal 3 20" xfId="3745" xr:uid="{4C0A0D21-5D71-4ED6-84CE-BC69DECC1229}"/>
    <cellStyle name="Normal 3 20 2" xfId="4552" xr:uid="{33635178-37FC-4E9E-8FAD-77BECD4DDB83}"/>
    <cellStyle name="Normal 3 20 2 2" xfId="5861" xr:uid="{9BB39775-9016-4F34-8CD7-1099D7E3CE1B}"/>
    <cellStyle name="Normal 3 20 2 2 2" xfId="8478" xr:uid="{5F16C4DB-C409-480F-B0DF-F9FA2A9A98A8}"/>
    <cellStyle name="Normal 3 20 2 3" xfId="7170" xr:uid="{C987CE65-0425-43D6-97ED-2BF5AE2EE7EB}"/>
    <cellStyle name="Normal 3 20 3" xfId="5072" xr:uid="{2D832A60-8A73-41EE-B85B-3CEEE7678568}"/>
    <cellStyle name="Normal 3 20 3 2" xfId="7689" xr:uid="{FBF7ED89-0B35-435C-B528-FFEC490378C7}"/>
    <cellStyle name="Normal 3 20 4" xfId="6381" xr:uid="{5DD12507-78D0-476A-93E9-A9DB7A86BCA7}"/>
    <cellStyle name="Normal 3 21" xfId="4216" xr:uid="{716969C1-C566-4DEA-90CB-62EF29E4B029}"/>
    <cellStyle name="Normal 3 21 2" xfId="5543" xr:uid="{741DCD70-85AA-4827-ABBC-3A5679C0FF83}"/>
    <cellStyle name="Normal 3 21 2 2" xfId="8160" xr:uid="{880BECB2-A5A1-4855-8C80-796E2EC4E218}"/>
    <cellStyle name="Normal 3 21 3" xfId="6852" xr:uid="{1FDB5AF4-1577-4AFA-8641-11A90D31408C}"/>
    <cellStyle name="Normal 3 22" xfId="4600" xr:uid="{43E5C044-C5B4-41D4-8495-DCF14ABDBF43}"/>
    <cellStyle name="Normal 3 22 2" xfId="7217" xr:uid="{E80403E3-E64B-423B-9B9C-EE1482A1CC4F}"/>
    <cellStyle name="Normal 3 23" xfId="5909" xr:uid="{406730D4-39C6-4506-A787-5867A795BDE1}"/>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10" xfId="4627" xr:uid="{6C88E28E-C92D-4BED-A974-4060BE845F19}"/>
    <cellStyle name="Normal 3 4 10 2" xfId="7244" xr:uid="{19C1F1DD-5243-412C-8F0E-F28692056402}"/>
    <cellStyle name="Normal 3 4 11" xfId="5936" xr:uid="{6414F24E-B4C6-48E7-9C56-0B4C08B3F900}"/>
    <cellStyle name="Normal 3 4 2" xfId="2857" xr:uid="{D1F5F8A0-9BBD-40EB-A3A5-73DF90B65F95}"/>
    <cellStyle name="Normal 3 4 2 10" xfId="5953" xr:uid="{0734009B-9483-4867-8EA8-C4F98D5BB7D8}"/>
    <cellStyle name="Normal 3 4 2 2" xfId="2904" xr:uid="{EEA1072A-4906-4504-84C7-D4ACBE500178}"/>
    <cellStyle name="Normal 3 4 2 2 2" xfId="3005" xr:uid="{5F709A3B-3C6E-4056-92E9-C518B3C8D56C}"/>
    <cellStyle name="Normal 3 4 2 2 2 2" xfId="3674" xr:uid="{C3006988-0C5B-46E2-A06B-90C1999C7C01}"/>
    <cellStyle name="Normal 3 4 2 2 2 2 2" xfId="4148" xr:uid="{27FB12F1-28E0-4D48-8623-9753DB59549F}"/>
    <cellStyle name="Normal 3 4 2 2 2 2 2 2" xfId="5475" xr:uid="{7E64340D-3FAF-47D8-AF43-9C56A76822F9}"/>
    <cellStyle name="Normal 3 4 2 2 2 2 2 2 2" xfId="8092" xr:uid="{A00F6D96-0538-4C12-AC08-E022BEAC8E86}"/>
    <cellStyle name="Normal 3 4 2 2 2 2 2 3" xfId="6784" xr:uid="{10D5A60D-7D9D-4534-9FD6-47D9AB49F2ED}"/>
    <cellStyle name="Normal 3 4 2 2 2 2 3" xfId="5003" xr:uid="{13F9E7DE-A15A-456D-85F9-019D1AEE065B}"/>
    <cellStyle name="Normal 3 4 2 2 2 2 3 2" xfId="7620" xr:uid="{044A9E2F-216C-4995-9D91-C6DB98F1B66B}"/>
    <cellStyle name="Normal 3 4 2 2 2 2 4" xfId="6312" xr:uid="{11F329AC-1870-435E-B721-2D0B5046D799}"/>
    <cellStyle name="Normal 3 4 2 2 2 3" xfId="3919" xr:uid="{DD2FD320-8341-4C8A-8DF3-E16A2ABCF2D0}"/>
    <cellStyle name="Normal 3 4 2 2 2 3 2" xfId="5246" xr:uid="{A7E448B7-7EEA-47D4-A831-C4B7B1695168}"/>
    <cellStyle name="Normal 3 4 2 2 2 3 2 2" xfId="7863" xr:uid="{8AEA3D5C-AA24-4F91-BA8E-820559A9CD44}"/>
    <cellStyle name="Normal 3 4 2 2 2 3 3" xfId="6555" xr:uid="{E5C17377-6566-4E25-955D-F785BAF25D46}"/>
    <cellStyle name="Normal 3 4 2 2 2 4" xfId="4384" xr:uid="{C26F456B-5EF6-4131-A5F0-D936BB3B315F}"/>
    <cellStyle name="Normal 3 4 2 2 2 4 2" xfId="5711" xr:uid="{18325948-C064-476F-8581-B738B970EF55}"/>
    <cellStyle name="Normal 3 4 2 2 2 4 2 2" xfId="8328" xr:uid="{498073E7-96BE-4DF1-AB7B-D6A4BF4B85A0}"/>
    <cellStyle name="Normal 3 4 2 2 2 4 3" xfId="7020" xr:uid="{57903D44-9713-4478-B662-646F524F5787}"/>
    <cellStyle name="Normal 3 4 2 2 2 5" xfId="4774" xr:uid="{0BFAB8C5-194B-401C-A020-9F976BCC3584}"/>
    <cellStyle name="Normal 3 4 2 2 2 5 2" xfId="7391" xr:uid="{4B5CE5D9-DB4A-4866-8992-11FEF625E6FA}"/>
    <cellStyle name="Normal 3 4 2 2 2 6" xfId="6083" xr:uid="{9E879B69-6082-4118-8BBB-067924CFC352}"/>
    <cellStyle name="Normal 3 4 2 2 3" xfId="3573" xr:uid="{1CE5F716-B555-4D0B-B7F6-750E6DF20850}"/>
    <cellStyle name="Normal 3 4 2 2 3 2" xfId="4063" xr:uid="{D9CA5B76-7D79-46E3-9A19-E93922D1CAB4}"/>
    <cellStyle name="Normal 3 4 2 2 3 2 2" xfId="5390" xr:uid="{77951FE3-3431-4E57-9F77-7632C81960DC}"/>
    <cellStyle name="Normal 3 4 2 2 3 2 2 2" xfId="8007" xr:uid="{FC01083F-CE5C-465F-A5C0-4925C457DB6F}"/>
    <cellStyle name="Normal 3 4 2 2 3 2 3" xfId="6699" xr:uid="{4AD68006-F38E-463A-B03F-29317D90B1BB}"/>
    <cellStyle name="Normal 3 4 2 2 3 3" xfId="4918" xr:uid="{610EC733-1DD0-4208-A0FC-82AFE09F8170}"/>
    <cellStyle name="Normal 3 4 2 2 3 3 2" xfId="7535" xr:uid="{2C4BFA6B-55DA-46E8-917C-36E70038574F}"/>
    <cellStyle name="Normal 3 4 2 2 3 4" xfId="6227" xr:uid="{D53B05A0-4756-4E55-855A-B95C995034F6}"/>
    <cellStyle name="Normal 3 4 2 2 4" xfId="3834" xr:uid="{69195CBC-934E-412C-8150-950AABD05BE1}"/>
    <cellStyle name="Normal 3 4 2 2 4 2" xfId="5161" xr:uid="{201B1B0A-D66D-47BD-BBCE-BDB3EDE8DBCD}"/>
    <cellStyle name="Normal 3 4 2 2 4 2 2" xfId="7778" xr:uid="{D74615E1-791D-4C44-9F57-55B3CF3658E9}"/>
    <cellStyle name="Normal 3 4 2 2 4 3" xfId="6470" xr:uid="{14E436FD-4EDD-4BCD-875F-7FC1971615B7}"/>
    <cellStyle name="Normal 3 4 2 2 5" xfId="4299" xr:uid="{F8134095-DC8C-4BE0-8D85-68FE0CEB1A5D}"/>
    <cellStyle name="Normal 3 4 2 2 5 2" xfId="5626" xr:uid="{77B74D85-5259-425A-82F3-A2D122E8812F}"/>
    <cellStyle name="Normal 3 4 2 2 5 2 2" xfId="8243" xr:uid="{9476E93A-CD13-4DE4-859B-02698B95FB97}"/>
    <cellStyle name="Normal 3 4 2 2 5 3" xfId="6935" xr:uid="{9F822425-4E38-4D07-AD71-FF9C362E2946}"/>
    <cellStyle name="Normal 3 4 2 2 6" xfId="4689" xr:uid="{4E488157-A30F-4BA6-9DFC-F044968CB146}"/>
    <cellStyle name="Normal 3 4 2 2 6 2" xfId="7306" xr:uid="{421D9DEE-15D7-4A2E-8DDC-75D19141FD49}"/>
    <cellStyle name="Normal 3 4 2 2 7" xfId="5998" xr:uid="{3F1BFDDF-E525-45CF-BCDB-676BCD7F6FB8}"/>
    <cellStyle name="Normal 3 4 2 3" xfId="3449" xr:uid="{F69352A1-49EA-464C-9645-A8456832A839}"/>
    <cellStyle name="Normal 3 4 2 3 2" xfId="3714" xr:uid="{F8A2F1CE-FB41-491C-8893-5596652AB2E3}"/>
    <cellStyle name="Normal 3 4 2 3 2 2" xfId="4188" xr:uid="{A2999662-6F46-4B4C-8C57-59A21A9B25CA}"/>
    <cellStyle name="Normal 3 4 2 3 2 2 2" xfId="5515" xr:uid="{DC69A3E3-B12E-42E7-A6F7-4ACD77B79AD4}"/>
    <cellStyle name="Normal 3 4 2 3 2 2 2 2" xfId="8132" xr:uid="{14D29ED8-0F0F-466D-A4C6-913DC91C2032}"/>
    <cellStyle name="Normal 3 4 2 3 2 2 3" xfId="6824" xr:uid="{3883FDFC-0008-4B9E-A43B-0FD47F74B275}"/>
    <cellStyle name="Normal 3 4 2 3 2 3" xfId="5043" xr:uid="{0BC68D16-1EE8-4C1D-A293-5F27EC73A65A}"/>
    <cellStyle name="Normal 3 4 2 3 2 3 2" xfId="7660" xr:uid="{8DDAE92E-FDB1-4FE8-941A-10C6E2027C8D}"/>
    <cellStyle name="Normal 3 4 2 3 2 4" xfId="6352" xr:uid="{FFB904F0-0499-4F1A-B4BE-B7B0B32FED84}"/>
    <cellStyle name="Normal 3 4 2 3 3" xfId="3959" xr:uid="{421E1DA4-72DA-49D1-9BD5-53093FC32354}"/>
    <cellStyle name="Normal 3 4 2 3 3 2" xfId="5286" xr:uid="{85B85A35-DAF2-4817-8C3A-156B6B576C69}"/>
    <cellStyle name="Normal 3 4 2 3 3 2 2" xfId="7903" xr:uid="{D26B13A8-1FA8-4E1E-BE72-5F8B72A7F1E2}"/>
    <cellStyle name="Normal 3 4 2 3 3 3" xfId="6595" xr:uid="{575832ED-C504-4CE5-86A3-B9B8979C3BD6}"/>
    <cellStyle name="Normal 3 4 2 3 4" xfId="4424" xr:uid="{E53D67FB-13EA-48D3-9855-5675A96F72BB}"/>
    <cellStyle name="Normal 3 4 2 3 4 2" xfId="5751" xr:uid="{CB711B49-0048-46ED-88E8-F321B0505317}"/>
    <cellStyle name="Normal 3 4 2 3 4 2 2" xfId="8368" xr:uid="{3B0A47A7-1189-4B99-9606-3867EC4F6492}"/>
    <cellStyle name="Normal 3 4 2 3 4 3" xfId="7060" xr:uid="{C1D7FD50-7CA4-44B3-A549-17FE90D501BC}"/>
    <cellStyle name="Normal 3 4 2 3 5" xfId="4814" xr:uid="{D1BF275B-CF8F-4E34-A95D-148095745E9F}"/>
    <cellStyle name="Normal 3 4 2 3 5 2" xfId="7431" xr:uid="{60736622-8849-4989-BFE1-3A9272B52F5A}"/>
    <cellStyle name="Normal 3 4 2 3 6" xfId="6123" xr:uid="{188DC047-02AA-4E03-BEE2-3662C8F92CF5}"/>
    <cellStyle name="Normal 3 4 2 4" xfId="2949" xr:uid="{234F18C6-0530-4CFB-8567-9E316EFEA0F4}"/>
    <cellStyle name="Normal 3 4 2 4 2" xfId="3618" xr:uid="{F0D04E7E-2E24-4278-98F3-7B7E1A4B9B7A}"/>
    <cellStyle name="Normal 3 4 2 4 2 2" xfId="4108" xr:uid="{8D71683C-E619-4E0A-A19D-9CAA41736F77}"/>
    <cellStyle name="Normal 3 4 2 4 2 2 2" xfId="5435" xr:uid="{21F14565-5DCE-452C-A939-DFE8AFBA4559}"/>
    <cellStyle name="Normal 3 4 2 4 2 2 2 2" xfId="8052" xr:uid="{7BF6D7F6-0568-4C7F-A6C2-0BF665900F83}"/>
    <cellStyle name="Normal 3 4 2 4 2 2 3" xfId="6744" xr:uid="{41ACA779-4765-4FFD-9461-5A20B2F7F86F}"/>
    <cellStyle name="Normal 3 4 2 4 2 3" xfId="4963" xr:uid="{340FF394-8D01-4568-A804-B814043590F5}"/>
    <cellStyle name="Normal 3 4 2 4 2 3 2" xfId="7580" xr:uid="{5DA21F00-944E-4CBA-A5BF-E6B7AA4A2475}"/>
    <cellStyle name="Normal 3 4 2 4 2 4" xfId="6272" xr:uid="{EE069D1D-0C39-4017-B885-41452B99BCE7}"/>
    <cellStyle name="Normal 3 4 2 4 3" xfId="3879" xr:uid="{03222534-FAD0-4285-8A7A-04094ADE2499}"/>
    <cellStyle name="Normal 3 4 2 4 3 2" xfId="5206" xr:uid="{8AE51749-85D7-439D-82EB-5EB49B4A2B8B}"/>
    <cellStyle name="Normal 3 4 2 4 3 2 2" xfId="7823" xr:uid="{C9AD4E58-EBA9-4C19-8DD2-9A1129A41FE6}"/>
    <cellStyle name="Normal 3 4 2 4 3 3" xfId="6515" xr:uid="{A1CF3624-2036-45D6-B7F7-DC34B636563D}"/>
    <cellStyle name="Normal 3 4 2 4 4" xfId="4344" xr:uid="{E9155A0D-9769-4EE9-8366-18F25925574B}"/>
    <cellStyle name="Normal 3 4 2 4 4 2" xfId="5671" xr:uid="{439B270B-F776-46C3-B197-6FF2296A51D8}"/>
    <cellStyle name="Normal 3 4 2 4 4 2 2" xfId="8288" xr:uid="{0B2C8113-4129-443B-A01B-B194F4AC967E}"/>
    <cellStyle name="Normal 3 4 2 4 4 3" xfId="6980" xr:uid="{04C2BBB4-937E-4840-8690-5BD6E7BC3978}"/>
    <cellStyle name="Normal 3 4 2 4 5" xfId="4734" xr:uid="{94735C30-FF58-4A81-B2F4-FB24C9CAFDDB}"/>
    <cellStyle name="Normal 3 4 2 4 5 2" xfId="7351" xr:uid="{89E88C8E-E191-4B3F-A28B-C6EAA4B57688}"/>
    <cellStyle name="Normal 3 4 2 4 6" xfId="6043" xr:uid="{34DE34B7-310F-4365-A642-80D5B616107D}"/>
    <cellStyle name="Normal 3 4 2 5" xfId="3528" xr:uid="{BD8ADA06-C78C-4CAC-A038-694E43819B7E}"/>
    <cellStyle name="Normal 3 4 2 5 2" xfId="4018" xr:uid="{BC6EF15B-B72D-4B90-9607-9202037389C8}"/>
    <cellStyle name="Normal 3 4 2 5 2 2" xfId="5345" xr:uid="{B5537777-8B0F-4FC2-BB1E-4C408C0B9996}"/>
    <cellStyle name="Normal 3 4 2 5 2 2 2" xfId="7962" xr:uid="{8DD9A96D-F38C-45F5-8748-A8BCDFD8500B}"/>
    <cellStyle name="Normal 3 4 2 5 2 3" xfId="6654" xr:uid="{CCFE3D69-0D16-4ABA-BFA7-DBD41CED2D3D}"/>
    <cellStyle name="Normal 3 4 2 5 3" xfId="4495" xr:uid="{93C5DCB9-B201-454D-929E-1D4B3A8755F5}"/>
    <cellStyle name="Normal 3 4 2 5 3 2" xfId="5804" xr:uid="{5AADF759-E340-4424-8D14-E3D5AC497069}"/>
    <cellStyle name="Normal 3 4 2 5 3 2 2" xfId="8421" xr:uid="{BCB5EC0E-CE79-4E0A-A293-7C92AE433B82}"/>
    <cellStyle name="Normal 3 4 2 5 3 3" xfId="7113" xr:uid="{DEE58474-8F02-4EC1-97EF-7CD87BE31B9F}"/>
    <cellStyle name="Normal 3 4 2 5 4" xfId="4873" xr:uid="{2CE16403-A4FA-46F5-BCC7-E01C04EB77BF}"/>
    <cellStyle name="Normal 3 4 2 5 4 2" xfId="7490" xr:uid="{9F1E2E08-A93B-47DD-ABC2-382794B72BF1}"/>
    <cellStyle name="Normal 3 4 2 5 5" xfId="6182" xr:uid="{60CFB824-9E32-4FE9-8849-F4C00BF3758C}"/>
    <cellStyle name="Normal 3 4 2 6" xfId="3789" xr:uid="{5DE31821-06F8-462A-A29F-7C3611375FB3}"/>
    <cellStyle name="Normal 3 4 2 6 2" xfId="4540" xr:uid="{73393858-B4B7-4EA3-8D1C-A64E8A1DF7D1}"/>
    <cellStyle name="Normal 3 4 2 6 2 2" xfId="5849" xr:uid="{F40E05D6-1004-42D7-A104-D7D428C63686}"/>
    <cellStyle name="Normal 3 4 2 6 2 2 2" xfId="8466" xr:uid="{F65E475A-B402-4B37-8B8A-30F39A82F000}"/>
    <cellStyle name="Normal 3 4 2 6 2 3" xfId="7158" xr:uid="{318F02BE-4DAB-4D3F-A338-197BD31E8F23}"/>
    <cellStyle name="Normal 3 4 2 6 3" xfId="5116" xr:uid="{79ED8919-9763-4FB0-9812-F6563C77313E}"/>
    <cellStyle name="Normal 3 4 2 6 3 2" xfId="7733" xr:uid="{DA2D0BE6-680E-4658-A1C4-BE3E35B06754}"/>
    <cellStyle name="Normal 3 4 2 6 4" xfId="6425" xr:uid="{B5835EC5-90C0-4C87-BE53-45647CE1FA87}"/>
    <cellStyle name="Normal 3 4 2 7" xfId="4585" xr:uid="{4825E53A-0E57-401E-8A18-69E2565A0A61}"/>
    <cellStyle name="Normal 3 4 2 7 2" xfId="5894" xr:uid="{59D75C00-1997-4DDB-B1A8-B63FBF19F80E}"/>
    <cellStyle name="Normal 3 4 2 7 2 2" xfId="8511" xr:uid="{0AF0782D-BDC3-4BAA-AAB5-618496B2D4C4}"/>
    <cellStyle name="Normal 3 4 2 7 3" xfId="7203" xr:uid="{B1D4414D-E016-401D-ADA9-F6A8879557B9}"/>
    <cellStyle name="Normal 3 4 2 8" xfId="4254" xr:uid="{14B6FC7E-4803-4FF8-9F0F-D05575DA0D8C}"/>
    <cellStyle name="Normal 3 4 2 8 2" xfId="5581" xr:uid="{37C51A95-17F9-42EF-A583-434F3B03956C}"/>
    <cellStyle name="Normal 3 4 2 8 2 2" xfId="8198" xr:uid="{30CA065A-26B3-4C21-9A66-69A904B1583F}"/>
    <cellStyle name="Normal 3 4 2 8 3" xfId="6890" xr:uid="{D7DB4AF8-F18E-44B2-89A0-4F07FB65E548}"/>
    <cellStyle name="Normal 3 4 2 9" xfId="4644" xr:uid="{486EEE53-ED6D-48F5-B235-428A17F9C287}"/>
    <cellStyle name="Normal 3 4 2 9 2" xfId="7261" xr:uid="{3FDDED4A-B5CE-4EB6-A140-807C8E820095}"/>
    <cellStyle name="Normal 3 4 3" xfId="2887" xr:uid="{4250C279-464F-48CB-8AC2-E6FD78211848}"/>
    <cellStyle name="Normal 3 4 3 2" xfId="2988" xr:uid="{B3F2BA6A-0E88-4FCC-B919-25E912452C72}"/>
    <cellStyle name="Normal 3 4 3 2 2" xfId="3657" xr:uid="{A47EDDB5-6627-4F82-A69D-547318AABEE9}"/>
    <cellStyle name="Normal 3 4 3 2 2 2" xfId="4131" xr:uid="{DAE55E1A-58F6-4DB2-89CD-656691C96843}"/>
    <cellStyle name="Normal 3 4 3 2 2 2 2" xfId="5458" xr:uid="{3C8494A8-42B8-4AA5-ABB4-0233C05E2E96}"/>
    <cellStyle name="Normal 3 4 3 2 2 2 2 2" xfId="8075" xr:uid="{F7A0DBE8-966B-4889-A626-DBA98B0E87FA}"/>
    <cellStyle name="Normal 3 4 3 2 2 2 3" xfId="6767" xr:uid="{DC4E9B61-84F5-4198-B070-AAD7D1E07DE0}"/>
    <cellStyle name="Normal 3 4 3 2 2 3" xfId="4986" xr:uid="{FBC56002-C7D9-4B91-AF23-76671D1797D0}"/>
    <cellStyle name="Normal 3 4 3 2 2 3 2" xfId="7603" xr:uid="{0A3427EE-E1F3-4E62-ABAB-236DF128BCDA}"/>
    <cellStyle name="Normal 3 4 3 2 2 4" xfId="6295" xr:uid="{87CA27C1-62A9-4A4C-AB0F-C77FA409A68B}"/>
    <cellStyle name="Normal 3 4 3 2 3" xfId="3902" xr:uid="{D1A0784F-4A6B-4BFA-9AB9-DC49C63A1F3E}"/>
    <cellStyle name="Normal 3 4 3 2 3 2" xfId="5229" xr:uid="{9D7DC0B6-379D-4ABF-84BD-3D25CD933481}"/>
    <cellStyle name="Normal 3 4 3 2 3 2 2" xfId="7846" xr:uid="{4A9A5FCC-F3A5-4D43-82DB-C5EAAB3729DC}"/>
    <cellStyle name="Normal 3 4 3 2 3 3" xfId="6538" xr:uid="{696A7A7A-B2C6-475E-9641-BE0812D945B4}"/>
    <cellStyle name="Normal 3 4 3 2 4" xfId="4367" xr:uid="{FE154232-3ABC-48E7-9B7E-C55D2544E76D}"/>
    <cellStyle name="Normal 3 4 3 2 4 2" xfId="5694" xr:uid="{230BDDA5-69AF-4E52-8DEE-36DBC14FCC5E}"/>
    <cellStyle name="Normal 3 4 3 2 4 2 2" xfId="8311" xr:uid="{0CF96DD4-D795-435F-B7BF-1891F62BDFC7}"/>
    <cellStyle name="Normal 3 4 3 2 4 3" xfId="7003" xr:uid="{0CBA5A62-873E-4133-A19C-DC0D2E2CF809}"/>
    <cellStyle name="Normal 3 4 3 2 5" xfId="4757" xr:uid="{009C9E1F-6E1A-496B-A8B7-B9E72FB15876}"/>
    <cellStyle name="Normal 3 4 3 2 5 2" xfId="7374" xr:uid="{DEBB1BCB-CE3A-4403-8925-2D4ACC73C8FC}"/>
    <cellStyle name="Normal 3 4 3 2 6" xfId="6066" xr:uid="{C9686FA5-D4EF-40C2-BA15-9BCE0D6D252C}"/>
    <cellStyle name="Normal 3 4 3 3" xfId="3556" xr:uid="{56DC35D1-75FD-453E-90A6-BB86E3E6E135}"/>
    <cellStyle name="Normal 3 4 3 3 2" xfId="4046" xr:uid="{09CD8E0F-692F-41FF-8C84-4962D3872D9C}"/>
    <cellStyle name="Normal 3 4 3 3 2 2" xfId="5373" xr:uid="{CDC947DA-629A-49DD-B018-2B2986A846C4}"/>
    <cellStyle name="Normal 3 4 3 3 2 2 2" xfId="7990" xr:uid="{00143993-FDD2-4E58-B843-18114A1E14D6}"/>
    <cellStyle name="Normal 3 4 3 3 2 3" xfId="6682" xr:uid="{A1CF630A-3C7D-4AF7-94C9-1780F4415CB1}"/>
    <cellStyle name="Normal 3 4 3 3 3" xfId="4901" xr:uid="{7E622695-7472-462C-BD41-5CBDB108E623}"/>
    <cellStyle name="Normal 3 4 3 3 3 2" xfId="7518" xr:uid="{AA9383D8-C9C9-4B6A-882B-848EE8435540}"/>
    <cellStyle name="Normal 3 4 3 3 4" xfId="6210" xr:uid="{0891EC49-F208-4052-9709-095A88559C6C}"/>
    <cellStyle name="Normal 3 4 3 4" xfId="3817" xr:uid="{174D0647-B793-4220-9FBB-E87B35E7E230}"/>
    <cellStyle name="Normal 3 4 3 4 2" xfId="5144" xr:uid="{F10560A9-4644-4D75-8540-CB923D788631}"/>
    <cellStyle name="Normal 3 4 3 4 2 2" xfId="7761" xr:uid="{524833F6-415A-492D-AACD-C2CB858346A4}"/>
    <cellStyle name="Normal 3 4 3 4 3" xfId="6453" xr:uid="{6CFFBEE0-7B5B-4466-BAEF-DFB9E5A1259B}"/>
    <cellStyle name="Normal 3 4 3 5" xfId="4282" xr:uid="{3432CA2C-91F7-43BD-A92A-748E7CD6E7A2}"/>
    <cellStyle name="Normal 3 4 3 5 2" xfId="5609" xr:uid="{456D6948-096E-482E-AA7B-DC91A27AE836}"/>
    <cellStyle name="Normal 3 4 3 5 2 2" xfId="8226" xr:uid="{86332BDD-30A3-49A8-B67A-73C3693C7950}"/>
    <cellStyle name="Normal 3 4 3 5 3" xfId="6918" xr:uid="{F5578D7C-E2D3-483C-8C67-D7AD69EEF98C}"/>
    <cellStyle name="Normal 3 4 3 6" xfId="4672" xr:uid="{3A88717D-5181-4579-BC20-83BAEDBD83B9}"/>
    <cellStyle name="Normal 3 4 3 6 2" xfId="7289" xr:uid="{166CCB4D-AA47-4546-BFA3-2817FD26CDEE}"/>
    <cellStyle name="Normal 3 4 3 7" xfId="5981" xr:uid="{4903E6F1-88A0-486C-A529-01BAE60FFB69}"/>
    <cellStyle name="Normal 3 4 4" xfId="3425" xr:uid="{362C761A-090E-4494-B5E1-44C63EF42BC2}"/>
    <cellStyle name="Normal 3 4 4 2" xfId="3697" xr:uid="{098C6541-C5CD-41F4-99E2-563374098DE3}"/>
    <cellStyle name="Normal 3 4 4 2 2" xfId="4171" xr:uid="{494D7968-9AF0-4410-BB34-6FF4EA5C36BB}"/>
    <cellStyle name="Normal 3 4 4 2 2 2" xfId="5498" xr:uid="{B5FEC68E-FCB8-4078-8BFC-0F1DD3239165}"/>
    <cellStyle name="Normal 3 4 4 2 2 2 2" xfId="8115" xr:uid="{6C6417AA-C6DE-425C-AE20-77A036908C22}"/>
    <cellStyle name="Normal 3 4 4 2 2 3" xfId="6807" xr:uid="{FBFA0795-F3D9-4F9F-AD72-7A842C2D4B42}"/>
    <cellStyle name="Normal 3 4 4 2 3" xfId="5026" xr:uid="{A4950E05-F110-4396-ADDC-4E6428C69AF1}"/>
    <cellStyle name="Normal 3 4 4 2 3 2" xfId="7643" xr:uid="{D54820D9-45EA-4740-AB43-F92543055FDF}"/>
    <cellStyle name="Normal 3 4 4 2 4" xfId="6335" xr:uid="{29CABBB4-2BF9-4102-B05C-8AEA2ED116C2}"/>
    <cellStyle name="Normal 3 4 4 3" xfId="3942" xr:uid="{D58BFAB7-9049-4A54-9619-8EFB57218E7F}"/>
    <cellStyle name="Normal 3 4 4 3 2" xfId="5269" xr:uid="{04DE7330-61AD-4800-8256-3100DAD70CE9}"/>
    <cellStyle name="Normal 3 4 4 3 2 2" xfId="7886" xr:uid="{8D645D87-FF8C-4AD6-9250-1AE405251B6E}"/>
    <cellStyle name="Normal 3 4 4 3 3" xfId="6578" xr:uid="{C5795439-38CB-4FD8-AA24-BD8DDDEEF532}"/>
    <cellStyle name="Normal 3 4 4 4" xfId="4407" xr:uid="{44508EE8-A794-4681-BC29-CBA72F48C85F}"/>
    <cellStyle name="Normal 3 4 4 4 2" xfId="5734" xr:uid="{FF32A468-A0AC-4E97-B81D-07672148A446}"/>
    <cellStyle name="Normal 3 4 4 4 2 2" xfId="8351" xr:uid="{007E6DC9-FD59-43EB-BB70-65092FE7F7D3}"/>
    <cellStyle name="Normal 3 4 4 4 3" xfId="7043" xr:uid="{9F456661-CF6B-4BAE-98AB-A7951984DCC5}"/>
    <cellStyle name="Normal 3 4 4 5" xfId="4797" xr:uid="{1C366107-FEBC-4FE7-987E-718BCCC71778}"/>
    <cellStyle name="Normal 3 4 4 5 2" xfId="7414" xr:uid="{3CC9B788-C403-4025-B6AE-0EEEC42D69BF}"/>
    <cellStyle name="Normal 3 4 4 6" xfId="6106" xr:uid="{31F2A54E-1A87-4F9F-B4D0-8EF9EDC1DC6E}"/>
    <cellStyle name="Normal 3 4 5" xfId="2932" xr:uid="{40F72571-2003-43CD-B387-825810AD604A}"/>
    <cellStyle name="Normal 3 4 5 2" xfId="3601" xr:uid="{4E3FDC2F-EBE6-4287-B788-11F779DC796F}"/>
    <cellStyle name="Normal 3 4 5 2 2" xfId="4091" xr:uid="{B2555F63-2E07-457F-A8F3-2A600923587D}"/>
    <cellStyle name="Normal 3 4 5 2 2 2" xfId="5418" xr:uid="{F8EF6D17-DDAA-4502-97C3-9385BA670385}"/>
    <cellStyle name="Normal 3 4 5 2 2 2 2" xfId="8035" xr:uid="{54CE3B3D-14B1-4448-AE43-A5143CE23B2D}"/>
    <cellStyle name="Normal 3 4 5 2 2 3" xfId="6727" xr:uid="{E5725980-F948-476C-A362-44284F5CE1A5}"/>
    <cellStyle name="Normal 3 4 5 2 3" xfId="4946" xr:uid="{FD9E28BC-FB26-4CE7-B45B-91FE8C2E61DF}"/>
    <cellStyle name="Normal 3 4 5 2 3 2" xfId="7563" xr:uid="{6545F351-417A-469D-AC49-D6FC39521F17}"/>
    <cellStyle name="Normal 3 4 5 2 4" xfId="6255" xr:uid="{DE8D92BA-1F7E-4BC5-836F-A2FA41B3A26A}"/>
    <cellStyle name="Normal 3 4 5 3" xfId="3862" xr:uid="{B3C22CB6-481A-406B-BFAB-9AE140353F0F}"/>
    <cellStyle name="Normal 3 4 5 3 2" xfId="5189" xr:uid="{01327EE6-4D27-4079-AB6D-5D52F6E358C1}"/>
    <cellStyle name="Normal 3 4 5 3 2 2" xfId="7806" xr:uid="{DE3E658B-972E-4A91-BF2D-B2A7E7732D1D}"/>
    <cellStyle name="Normal 3 4 5 3 3" xfId="6498" xr:uid="{0DF5606D-41DC-4DEE-BF1B-A0D598FC2D99}"/>
    <cellStyle name="Normal 3 4 5 4" xfId="4327" xr:uid="{D68C50ED-AA36-49E6-97F9-AA7666B76921}"/>
    <cellStyle name="Normal 3 4 5 4 2" xfId="5654" xr:uid="{AD329F40-8D2D-47F8-8617-0487D4639883}"/>
    <cellStyle name="Normal 3 4 5 4 2 2" xfId="8271" xr:uid="{772364D6-AFF1-461D-B69E-1B5407798945}"/>
    <cellStyle name="Normal 3 4 5 4 3" xfId="6963" xr:uid="{ACB5BCA6-2B81-4956-9A1C-E9D2E3838484}"/>
    <cellStyle name="Normal 3 4 5 5" xfId="4717" xr:uid="{D8AC85C1-0BE4-4606-B375-EDF1FA3E60C8}"/>
    <cellStyle name="Normal 3 4 5 5 2" xfId="7334" xr:uid="{9C8F1628-7514-434E-8122-0F1B33C70A04}"/>
    <cellStyle name="Normal 3 4 5 6" xfId="6026" xr:uid="{6BAB7306-A7E5-410B-B417-ADA650302C20}"/>
    <cellStyle name="Normal 3 4 6" xfId="3511" xr:uid="{298C2B22-9A61-4873-8668-E49EC897D026}"/>
    <cellStyle name="Normal 3 4 6 2" xfId="4001" xr:uid="{EABC7C6D-BA77-44FC-83B3-D10162EF0ED8}"/>
    <cellStyle name="Normal 3 4 6 2 2" xfId="5328" xr:uid="{AF4E2556-0ECE-409D-A24D-7B6FCE907125}"/>
    <cellStyle name="Normal 3 4 6 2 2 2" xfId="7945" xr:uid="{ADB90731-5FC6-4363-80DD-2A521F821667}"/>
    <cellStyle name="Normal 3 4 6 2 3" xfId="6637" xr:uid="{4C32E2D3-4F86-4BE9-B308-DDCDB6CDBB49}"/>
    <cellStyle name="Normal 3 4 6 3" xfId="4477" xr:uid="{4B1C88E3-171A-4F15-9F96-CD949FCC6824}"/>
    <cellStyle name="Normal 3 4 6 3 2" xfId="5787" xr:uid="{6DDE3B68-9D52-47CA-8307-502658ECDC99}"/>
    <cellStyle name="Normal 3 4 6 3 2 2" xfId="8404" xr:uid="{4BFC8339-A13B-4E40-8D5C-F8B32B4559E7}"/>
    <cellStyle name="Normal 3 4 6 3 3" xfId="7096" xr:uid="{C4947253-7FD1-4AE5-800D-178AA1626457}"/>
    <cellStyle name="Normal 3 4 6 4" xfId="4856" xr:uid="{2E548533-993F-4536-88F3-4F7E9573FA29}"/>
    <cellStyle name="Normal 3 4 6 4 2" xfId="7473" xr:uid="{2A5CBC78-6E36-44EC-8509-EAC1C15F0284}"/>
    <cellStyle name="Normal 3 4 6 5" xfId="6165" xr:uid="{42B48ADF-59A3-4879-B55A-B17E2217CB4A}"/>
    <cellStyle name="Normal 3 4 7" xfId="3772" xr:uid="{55EB153F-2437-4EA0-B46D-3AED5F12C15B}"/>
    <cellStyle name="Normal 3 4 7 2" xfId="4523" xr:uid="{93CFFD9E-6C87-4FDF-98BA-99207CD8716E}"/>
    <cellStyle name="Normal 3 4 7 2 2" xfId="5832" xr:uid="{30F54C36-2CD9-4FF2-B615-B9072F92621C}"/>
    <cellStyle name="Normal 3 4 7 2 2 2" xfId="8449" xr:uid="{3F744D48-6CF0-4F27-942A-A9831F2F19C2}"/>
    <cellStyle name="Normal 3 4 7 2 3" xfId="7141" xr:uid="{9F6B056C-A509-48CF-8B75-A03EE0D33927}"/>
    <cellStyle name="Normal 3 4 7 3" xfId="5099" xr:uid="{974A21B9-9BF6-4B29-909E-FD75BC5974D0}"/>
    <cellStyle name="Normal 3 4 7 3 2" xfId="7716" xr:uid="{43392F07-7FD5-4ADB-A89C-A717D2E85BCE}"/>
    <cellStyle name="Normal 3 4 7 4" xfId="6408" xr:uid="{1A0DEFED-0B14-4442-956A-BCF55C152FE9}"/>
    <cellStyle name="Normal 3 4 8" xfId="4568" xr:uid="{289FA992-B3DA-4D24-BF70-9BF73B2F10CB}"/>
    <cellStyle name="Normal 3 4 8 2" xfId="5877" xr:uid="{B2352F18-69D0-4CE8-B284-5A0FB633345E}"/>
    <cellStyle name="Normal 3 4 8 2 2" xfId="8494" xr:uid="{4336276A-2C2C-4DB4-8167-1540DE266D2C}"/>
    <cellStyle name="Normal 3 4 8 3" xfId="7186" xr:uid="{1931F17A-F958-41AA-AD09-A587311EB74A}"/>
    <cellStyle name="Normal 3 4 9" xfId="4237" xr:uid="{3C87FA83-160B-4CFE-BE7C-BE2CC92C8405}"/>
    <cellStyle name="Normal 3 4 9 2" xfId="5564" xr:uid="{3886E428-6E21-4734-9B8F-1189A4D6986B}"/>
    <cellStyle name="Normal 3 4 9 2 2" xfId="8181" xr:uid="{6AB13A7C-7E39-4F59-82DD-3706E0D1304D}"/>
    <cellStyle name="Normal 3 4 9 3" xfId="6873" xr:uid="{596E878B-FF28-4E20-A8F3-F09449C10DF9}"/>
    <cellStyle name="Normal 3 5" xfId="2542" xr:uid="{041985D6-4BF0-454E-A2C5-99D91D4E0F4D}"/>
    <cellStyle name="Normal 3 5 10" xfId="4631" xr:uid="{6E90842A-8C74-4D97-B979-765F467CC885}"/>
    <cellStyle name="Normal 3 5 10 2" xfId="7248" xr:uid="{028785D3-55C3-4976-B54C-C03AF24F1379}"/>
    <cellStyle name="Normal 3 5 11" xfId="5940" xr:uid="{5B955CA0-00AE-4206-BB7D-B8459E948738}"/>
    <cellStyle name="Normal 3 5 2" xfId="2861" xr:uid="{C63282DC-B149-489C-98F5-597A0276EF86}"/>
    <cellStyle name="Normal 3 5 2 10" xfId="5957" xr:uid="{6A11996E-3A5C-41CB-8AC6-29CEDD548683}"/>
    <cellStyle name="Normal 3 5 2 2" xfId="2908" xr:uid="{EEBC4BD3-0C0A-4FC0-BCF1-DB11F46EFFCB}"/>
    <cellStyle name="Normal 3 5 2 2 2" xfId="3009" xr:uid="{59B8F8C8-CDA2-4F04-A0F1-E90951AFAE71}"/>
    <cellStyle name="Normal 3 5 2 2 2 2" xfId="3678" xr:uid="{4991A8CD-45DC-4862-A710-7C678D39C4A5}"/>
    <cellStyle name="Normal 3 5 2 2 2 2 2" xfId="4152" xr:uid="{42D8E787-D826-4A68-8D43-539A41593C8F}"/>
    <cellStyle name="Normal 3 5 2 2 2 2 2 2" xfId="5479" xr:uid="{384ECE0B-10D8-47FD-88C8-42DA4C276FBB}"/>
    <cellStyle name="Normal 3 5 2 2 2 2 2 2 2" xfId="8096" xr:uid="{78B9C5E2-F570-4BE3-B447-A0D893766DFA}"/>
    <cellStyle name="Normal 3 5 2 2 2 2 2 3" xfId="6788" xr:uid="{B262A22F-9BD8-4382-809E-A93A03FE495C}"/>
    <cellStyle name="Normal 3 5 2 2 2 2 3" xfId="5007" xr:uid="{A22C47D4-FBA5-42A3-97EF-B8B0D268F3FD}"/>
    <cellStyle name="Normal 3 5 2 2 2 2 3 2" xfId="7624" xr:uid="{23D8E5CD-C3FB-44AB-A0F5-63E17CC0D811}"/>
    <cellStyle name="Normal 3 5 2 2 2 2 4" xfId="6316" xr:uid="{3CC080EF-18BE-46A7-BADD-5761C5DBAF3A}"/>
    <cellStyle name="Normal 3 5 2 2 2 3" xfId="3923" xr:uid="{11E09C09-C630-466D-8AF3-A87CB8681B5E}"/>
    <cellStyle name="Normal 3 5 2 2 2 3 2" xfId="5250" xr:uid="{0952426A-8FBA-4454-9F16-C47BFD537A21}"/>
    <cellStyle name="Normal 3 5 2 2 2 3 2 2" xfId="7867" xr:uid="{90DEA4A5-5972-4B58-BA52-8BCE7936F0A8}"/>
    <cellStyle name="Normal 3 5 2 2 2 3 3" xfId="6559" xr:uid="{FB1EBAB6-D737-4CE4-88D3-5188488F0B7E}"/>
    <cellStyle name="Normal 3 5 2 2 2 4" xfId="4388" xr:uid="{9183E4BC-0BD0-48AE-848E-1DB0C5FA6D74}"/>
    <cellStyle name="Normal 3 5 2 2 2 4 2" xfId="5715" xr:uid="{54E1E898-44D4-4F89-91F2-6F6347186C54}"/>
    <cellStyle name="Normal 3 5 2 2 2 4 2 2" xfId="8332" xr:uid="{125906B8-DF36-44F6-9D65-070F9B75B1E6}"/>
    <cellStyle name="Normal 3 5 2 2 2 4 3" xfId="7024" xr:uid="{0972BDC1-0FBB-4071-B370-C9D82A13062D}"/>
    <cellStyle name="Normal 3 5 2 2 2 5" xfId="4778" xr:uid="{09C26EBC-1524-417C-9836-D17917044CA4}"/>
    <cellStyle name="Normal 3 5 2 2 2 5 2" xfId="7395" xr:uid="{9C77C7C8-4EC0-4487-93E6-59CC9B0B24B0}"/>
    <cellStyle name="Normal 3 5 2 2 2 6" xfId="6087" xr:uid="{BFF5433E-DF00-4160-B9BD-F37B5144BFD1}"/>
    <cellStyle name="Normal 3 5 2 2 3" xfId="3577" xr:uid="{69E745A6-02F7-47F3-9760-DE85AE2423DE}"/>
    <cellStyle name="Normal 3 5 2 2 3 2" xfId="4067" xr:uid="{E7D89A7A-9E98-4956-8664-82E7D4849A2D}"/>
    <cellStyle name="Normal 3 5 2 2 3 2 2" xfId="5394" xr:uid="{A4D7CBC5-1777-48C6-9E6B-35112C62BD46}"/>
    <cellStyle name="Normal 3 5 2 2 3 2 2 2" xfId="8011" xr:uid="{9B60E3AD-ADD1-41C1-AD29-AF48230B522D}"/>
    <cellStyle name="Normal 3 5 2 2 3 2 3" xfId="6703" xr:uid="{41E2BB12-7E1A-45C4-B6C9-0B2E54CFEDA6}"/>
    <cellStyle name="Normal 3 5 2 2 3 3" xfId="4922" xr:uid="{80D0AA24-DF37-4849-8AEE-2B2203AEB300}"/>
    <cellStyle name="Normal 3 5 2 2 3 3 2" xfId="7539" xr:uid="{1679719A-88CD-4E60-8273-9611E9D1D4E4}"/>
    <cellStyle name="Normal 3 5 2 2 3 4" xfId="6231" xr:uid="{FA77FEAC-D661-4466-ADEB-07C70CA39CB5}"/>
    <cellStyle name="Normal 3 5 2 2 4" xfId="3838" xr:uid="{2B766B18-1849-4923-B58A-EB36BEBBA510}"/>
    <cellStyle name="Normal 3 5 2 2 4 2" xfId="5165" xr:uid="{FBE4246A-6775-4AAD-92A5-77A4CB7F3E09}"/>
    <cellStyle name="Normal 3 5 2 2 4 2 2" xfId="7782" xr:uid="{988E28EE-C73B-47FE-8E60-560734ABA3B5}"/>
    <cellStyle name="Normal 3 5 2 2 4 3" xfId="6474" xr:uid="{A513DE4B-D8DF-4948-A44E-BD422E505A2C}"/>
    <cellStyle name="Normal 3 5 2 2 5" xfId="4303" xr:uid="{332B0745-4C91-4CBF-983B-96C26442E4AF}"/>
    <cellStyle name="Normal 3 5 2 2 5 2" xfId="5630" xr:uid="{16743DA1-5DFD-417D-B8E7-CE7937FE764F}"/>
    <cellStyle name="Normal 3 5 2 2 5 2 2" xfId="8247" xr:uid="{C8084AD1-B16C-4BD9-95BB-BABCD5C893ED}"/>
    <cellStyle name="Normal 3 5 2 2 5 3" xfId="6939" xr:uid="{77295EB9-7DA3-40EC-B80D-DE5DEEA45340}"/>
    <cellStyle name="Normal 3 5 2 2 6" xfId="4693" xr:uid="{1F8EBD2A-A62A-4183-971B-B0C5B1145612}"/>
    <cellStyle name="Normal 3 5 2 2 6 2" xfId="7310" xr:uid="{203C2ADE-CD4D-4488-B292-ECFF5AEDE6D7}"/>
    <cellStyle name="Normal 3 5 2 2 7" xfId="6002" xr:uid="{70D09DEA-3E0A-49BD-B20C-137247E0930B}"/>
    <cellStyle name="Normal 3 5 2 3" xfId="3453" xr:uid="{3840D03D-FA91-4CD5-B314-888A226ABFF0}"/>
    <cellStyle name="Normal 3 5 2 3 2" xfId="3718" xr:uid="{7656B2BD-CE02-4B20-BDBE-66CB07948D6D}"/>
    <cellStyle name="Normal 3 5 2 3 2 2" xfId="4192" xr:uid="{84F624D4-28D6-47E9-96E1-312472C09019}"/>
    <cellStyle name="Normal 3 5 2 3 2 2 2" xfId="5519" xr:uid="{F4EB6F8A-2225-4310-93D2-8F58CE0954A3}"/>
    <cellStyle name="Normal 3 5 2 3 2 2 2 2" xfId="8136" xr:uid="{1571DB24-7F87-4F79-91FD-1DD3CC03EB86}"/>
    <cellStyle name="Normal 3 5 2 3 2 2 3" xfId="6828" xr:uid="{AF9A6C07-B75D-48C2-AC2A-1ECD1023F33F}"/>
    <cellStyle name="Normal 3 5 2 3 2 3" xfId="5047" xr:uid="{19FB607F-E9AA-4580-9606-DF5B0F5AC85B}"/>
    <cellStyle name="Normal 3 5 2 3 2 3 2" xfId="7664" xr:uid="{8A23CEA7-65C6-4151-AAB0-10083F4728E7}"/>
    <cellStyle name="Normal 3 5 2 3 2 4" xfId="6356" xr:uid="{142569E4-D9A8-44C6-9CF9-689B5C71CB88}"/>
    <cellStyle name="Normal 3 5 2 3 3" xfId="3963" xr:uid="{DB69D0E8-848A-4301-BD9A-D9FEBE185FAE}"/>
    <cellStyle name="Normal 3 5 2 3 3 2" xfId="5290" xr:uid="{F1BFCFAC-4ACA-477B-9FBE-7C8CA34286E4}"/>
    <cellStyle name="Normal 3 5 2 3 3 2 2" xfId="7907" xr:uid="{EF6DA084-48BD-4CF9-937A-DC1EF816FEC7}"/>
    <cellStyle name="Normal 3 5 2 3 3 3" xfId="6599" xr:uid="{5F996DDC-0DDD-4281-BCA3-FEAC3426B65A}"/>
    <cellStyle name="Normal 3 5 2 3 4" xfId="4428" xr:uid="{5C6AF9EB-B6B8-4DEE-B36B-37B48AE0CAE6}"/>
    <cellStyle name="Normal 3 5 2 3 4 2" xfId="5755" xr:uid="{E656312D-80BD-4AC6-BB20-C94576E5942C}"/>
    <cellStyle name="Normal 3 5 2 3 4 2 2" xfId="8372" xr:uid="{651D5C8C-1B7E-4592-AFAA-D9EBAFE5F7BD}"/>
    <cellStyle name="Normal 3 5 2 3 4 3" xfId="7064" xr:uid="{717F2BE1-32B5-4EE1-A0AF-5CFE99D3075E}"/>
    <cellStyle name="Normal 3 5 2 3 5" xfId="4818" xr:uid="{017D3982-EFF8-4AD8-81AF-C5AA2E32E339}"/>
    <cellStyle name="Normal 3 5 2 3 5 2" xfId="7435" xr:uid="{90699CE1-CCAA-4182-A800-4D090CEC3060}"/>
    <cellStyle name="Normal 3 5 2 3 6" xfId="6127" xr:uid="{DA32319C-8307-495F-B863-7E29A73ED50B}"/>
    <cellStyle name="Normal 3 5 2 4" xfId="2953" xr:uid="{5BEC0BD2-9149-476B-ABB5-0AF87C2FAF7D}"/>
    <cellStyle name="Normal 3 5 2 4 2" xfId="3622" xr:uid="{D9508435-6B5E-43F5-9DB7-7B2F61F6CEDC}"/>
    <cellStyle name="Normal 3 5 2 4 2 2" xfId="4112" xr:uid="{9F59776A-F3F5-4079-A745-9FB561CCABE2}"/>
    <cellStyle name="Normal 3 5 2 4 2 2 2" xfId="5439" xr:uid="{412AB219-F16D-4CA2-B5C2-136F43D74A96}"/>
    <cellStyle name="Normal 3 5 2 4 2 2 2 2" xfId="8056" xr:uid="{599A9F08-C470-4636-AB0F-090F74523AC4}"/>
    <cellStyle name="Normal 3 5 2 4 2 2 3" xfId="6748" xr:uid="{CA2F29C4-92C6-44CB-9D6E-77845002E08A}"/>
    <cellStyle name="Normal 3 5 2 4 2 3" xfId="4967" xr:uid="{C6331878-057C-4690-B2C9-390A5200DFAF}"/>
    <cellStyle name="Normal 3 5 2 4 2 3 2" xfId="7584" xr:uid="{F6620345-761A-4D2D-AA23-B03DF7C8474E}"/>
    <cellStyle name="Normal 3 5 2 4 2 4" xfId="6276" xr:uid="{B637E471-7F9D-43CF-87FE-2A8EF79DEB12}"/>
    <cellStyle name="Normal 3 5 2 4 3" xfId="3883" xr:uid="{E5553581-26DC-4380-8AE7-25A3BBCD1D89}"/>
    <cellStyle name="Normal 3 5 2 4 3 2" xfId="5210" xr:uid="{A03662E1-0BC3-479F-91DD-C457D37934DB}"/>
    <cellStyle name="Normal 3 5 2 4 3 2 2" xfId="7827" xr:uid="{D30238AE-75E5-44AA-9644-0C0CE85D39A3}"/>
    <cellStyle name="Normal 3 5 2 4 3 3" xfId="6519" xr:uid="{C8D08031-83F6-4730-A18C-016BF73D35D2}"/>
    <cellStyle name="Normal 3 5 2 4 4" xfId="4348" xr:uid="{FE8F20DF-4FBC-460B-90E5-94C25E126D49}"/>
    <cellStyle name="Normal 3 5 2 4 4 2" xfId="5675" xr:uid="{8DD1F982-B565-4FC4-B24B-167AA815099C}"/>
    <cellStyle name="Normal 3 5 2 4 4 2 2" xfId="8292" xr:uid="{9CCA00F1-66FB-4784-8CAB-9160930F6DCB}"/>
    <cellStyle name="Normal 3 5 2 4 4 3" xfId="6984" xr:uid="{50166A88-9097-4B31-A7F2-159A04575A6E}"/>
    <cellStyle name="Normal 3 5 2 4 5" xfId="4738" xr:uid="{B57DA25C-2C81-4BA5-82E4-EA94263AB3DC}"/>
    <cellStyle name="Normal 3 5 2 4 5 2" xfId="7355" xr:uid="{63A65EE9-C1A1-45F8-BE71-223006F3D86D}"/>
    <cellStyle name="Normal 3 5 2 4 6" xfId="6047" xr:uid="{3E57A7CF-E7F1-403D-ADB8-BD4E20AA4A2F}"/>
    <cellStyle name="Normal 3 5 2 5" xfId="3532" xr:uid="{363538B8-CC83-42E2-ABD1-32ECDE641743}"/>
    <cellStyle name="Normal 3 5 2 5 2" xfId="4022" xr:uid="{7966DE90-8116-4797-B6EF-282F08647F20}"/>
    <cellStyle name="Normal 3 5 2 5 2 2" xfId="5349" xr:uid="{524D5C42-0D7D-48B1-BE93-F58F45260E82}"/>
    <cellStyle name="Normal 3 5 2 5 2 2 2" xfId="7966" xr:uid="{8F07E885-3D34-4489-B5D7-A3A7793D71E3}"/>
    <cellStyle name="Normal 3 5 2 5 2 3" xfId="6658" xr:uid="{3BBEC4CD-510E-4DAA-8E50-78C72E90F589}"/>
    <cellStyle name="Normal 3 5 2 5 3" xfId="4499" xr:uid="{DAB238D2-3A07-46B2-8C72-A352E318AD75}"/>
    <cellStyle name="Normal 3 5 2 5 3 2" xfId="5808" xr:uid="{7A749617-5D7E-46F9-84C4-BDE37E3CFCD2}"/>
    <cellStyle name="Normal 3 5 2 5 3 2 2" xfId="8425" xr:uid="{876B5452-B7B5-47CA-8429-EC0532E365ED}"/>
    <cellStyle name="Normal 3 5 2 5 3 3" xfId="7117" xr:uid="{A5BD8ED4-C2BB-4F0A-A275-64C0BCF11BD1}"/>
    <cellStyle name="Normal 3 5 2 5 4" xfId="4877" xr:uid="{095842DD-0067-4048-A9F6-E096F5F0BF17}"/>
    <cellStyle name="Normal 3 5 2 5 4 2" xfId="7494" xr:uid="{C0A5A1E9-18DC-4755-98E2-8EB0A6C38870}"/>
    <cellStyle name="Normal 3 5 2 5 5" xfId="6186" xr:uid="{B2E7BB4C-FFA9-400B-8EF8-9F50E43AB659}"/>
    <cellStyle name="Normal 3 5 2 6" xfId="3793" xr:uid="{D6A8A904-34B8-4EF3-B311-DDF51483AE7A}"/>
    <cellStyle name="Normal 3 5 2 6 2" xfId="4544" xr:uid="{074A7B38-3EA6-44A5-9B68-197DFFFE6795}"/>
    <cellStyle name="Normal 3 5 2 6 2 2" xfId="5853" xr:uid="{B584CCCC-9BED-41C4-94D1-D3BC4627E153}"/>
    <cellStyle name="Normal 3 5 2 6 2 2 2" xfId="8470" xr:uid="{13E1BCB7-9D34-4A5B-AF71-6DFCD621E3BA}"/>
    <cellStyle name="Normal 3 5 2 6 2 3" xfId="7162" xr:uid="{BBC84C07-8ACE-4E1F-B00A-4CAE65E959E7}"/>
    <cellStyle name="Normal 3 5 2 6 3" xfId="5120" xr:uid="{340C4C47-AA03-4840-8753-FF5D7E1C183B}"/>
    <cellStyle name="Normal 3 5 2 6 3 2" xfId="7737" xr:uid="{46B47A87-3BAC-4FCE-985D-5941FBBB2332}"/>
    <cellStyle name="Normal 3 5 2 6 4" xfId="6429" xr:uid="{2FF74B82-72DA-4C60-9B75-4F46BF313B93}"/>
    <cellStyle name="Normal 3 5 2 7" xfId="4589" xr:uid="{5CFD79FC-7F36-49B9-9666-36D30FE296C3}"/>
    <cellStyle name="Normal 3 5 2 7 2" xfId="5898" xr:uid="{549DB22D-AE2C-4E9B-9B10-3DC6BA5221EF}"/>
    <cellStyle name="Normal 3 5 2 7 2 2" xfId="8515" xr:uid="{17EEE932-CBD7-446C-BDBC-6304639FAA6C}"/>
    <cellStyle name="Normal 3 5 2 7 3" xfId="7207" xr:uid="{653F1935-5365-4481-8B91-781ECB941C24}"/>
    <cellStyle name="Normal 3 5 2 8" xfId="4258" xr:uid="{7FAC1252-FB1E-426C-9070-EF15DF6B90B3}"/>
    <cellStyle name="Normal 3 5 2 8 2" xfId="5585" xr:uid="{EC9E89E3-3395-4856-A1E4-219361ACF456}"/>
    <cellStyle name="Normal 3 5 2 8 2 2" xfId="8202" xr:uid="{A5D55B81-334A-4014-BF54-8CCE4BAC723C}"/>
    <cellStyle name="Normal 3 5 2 8 3" xfId="6894" xr:uid="{7B871236-52F0-4275-88E2-54964A127E8A}"/>
    <cellStyle name="Normal 3 5 2 9" xfId="4648" xr:uid="{60B6DDA6-6CD5-4A74-BA96-5CE186E380EE}"/>
    <cellStyle name="Normal 3 5 2 9 2" xfId="7265" xr:uid="{57EC89A8-5B75-4AF0-B143-92100BDD2F79}"/>
    <cellStyle name="Normal 3 5 3" xfId="2891" xr:uid="{ECB1E89E-33F7-4979-9AF8-05F571C83AAF}"/>
    <cellStyle name="Normal 3 5 3 2" xfId="2992" xr:uid="{6C52CE60-5D32-4E61-8E64-2B04DAD55F56}"/>
    <cellStyle name="Normal 3 5 3 2 2" xfId="3661" xr:uid="{183B444B-DE9F-428A-B02E-9223A4647131}"/>
    <cellStyle name="Normal 3 5 3 2 2 2" xfId="4135" xr:uid="{85A8882C-EEB3-48B3-9048-6AA388F37C4B}"/>
    <cellStyle name="Normal 3 5 3 2 2 2 2" xfId="5462" xr:uid="{B9F27ECF-4874-4F30-837B-92BA0C9667BC}"/>
    <cellStyle name="Normal 3 5 3 2 2 2 2 2" xfId="8079" xr:uid="{19DE23E2-E4D4-4599-8B7C-9268747D1C91}"/>
    <cellStyle name="Normal 3 5 3 2 2 2 3" xfId="6771" xr:uid="{DA94901B-5ACA-4BCB-8F20-76F9A94D349B}"/>
    <cellStyle name="Normal 3 5 3 2 2 3" xfId="4990" xr:uid="{B8AD26C1-2B78-4AA3-BDC5-2D8881AB1365}"/>
    <cellStyle name="Normal 3 5 3 2 2 3 2" xfId="7607" xr:uid="{02681F13-5184-4454-9007-4055E1875563}"/>
    <cellStyle name="Normal 3 5 3 2 2 4" xfId="6299" xr:uid="{726193B9-A3DD-4688-97B3-21C23CEA4F72}"/>
    <cellStyle name="Normal 3 5 3 2 3" xfId="3906" xr:uid="{08428A58-43B9-49A2-A15C-AAA1457EA64E}"/>
    <cellStyle name="Normal 3 5 3 2 3 2" xfId="5233" xr:uid="{9B616B6B-85A0-4988-A605-467CA907DC02}"/>
    <cellStyle name="Normal 3 5 3 2 3 2 2" xfId="7850" xr:uid="{FB22B42B-486B-4437-8EB9-FE04FECD3B0F}"/>
    <cellStyle name="Normal 3 5 3 2 3 3" xfId="6542" xr:uid="{E98D18EE-0F30-48ED-8503-C6A4109D29A8}"/>
    <cellStyle name="Normal 3 5 3 2 4" xfId="4371" xr:uid="{76A37274-6796-4337-9E32-B5AE460B7F82}"/>
    <cellStyle name="Normal 3 5 3 2 4 2" xfId="5698" xr:uid="{D5B98679-0C0C-476B-8CCA-6BBF94FD4DCB}"/>
    <cellStyle name="Normal 3 5 3 2 4 2 2" xfId="8315" xr:uid="{16C9C4A8-F6D5-4CA3-AACA-BF2B7AD73183}"/>
    <cellStyle name="Normal 3 5 3 2 4 3" xfId="7007" xr:uid="{8F7A6106-242D-4482-9DA5-8DC7B03A24CC}"/>
    <cellStyle name="Normal 3 5 3 2 5" xfId="4761" xr:uid="{2290EE73-7851-4EAE-B54C-908D4973201A}"/>
    <cellStyle name="Normal 3 5 3 2 5 2" xfId="7378" xr:uid="{B2C99740-25E5-442C-923E-967E343F42A7}"/>
    <cellStyle name="Normal 3 5 3 2 6" xfId="6070" xr:uid="{1C35B635-9E51-4C2E-ACAD-C79F0B18DD6A}"/>
    <cellStyle name="Normal 3 5 3 3" xfId="3560" xr:uid="{A211DFBE-063D-47E7-87EF-A6CDDDA2E1C3}"/>
    <cellStyle name="Normal 3 5 3 3 2" xfId="4050" xr:uid="{73866E49-969F-4D41-A2A9-EFDCCE0F0EAD}"/>
    <cellStyle name="Normal 3 5 3 3 2 2" xfId="5377" xr:uid="{7421D1C6-860E-4168-A1D0-2CB98221E374}"/>
    <cellStyle name="Normal 3 5 3 3 2 2 2" xfId="7994" xr:uid="{430A1B0B-0D36-4317-B911-241AE7680A08}"/>
    <cellStyle name="Normal 3 5 3 3 2 3" xfId="6686" xr:uid="{EC649D2C-FD80-41E3-A1B1-E1541C4D380F}"/>
    <cellStyle name="Normal 3 5 3 3 3" xfId="4905" xr:uid="{EA7A3535-86EB-4891-97F8-A9E00F42413B}"/>
    <cellStyle name="Normal 3 5 3 3 3 2" xfId="7522" xr:uid="{A41FF3C0-C482-48B1-B804-3150619A4A89}"/>
    <cellStyle name="Normal 3 5 3 3 4" xfId="6214" xr:uid="{B1FE7CA6-3DC0-4FC7-A23D-B6938C8EA3CE}"/>
    <cellStyle name="Normal 3 5 3 4" xfId="3821" xr:uid="{5D366269-307E-41AA-87D9-A6CE812C17EC}"/>
    <cellStyle name="Normal 3 5 3 4 2" xfId="5148" xr:uid="{E78948FE-3E1C-424B-A6F2-94CDCFCF577A}"/>
    <cellStyle name="Normal 3 5 3 4 2 2" xfId="7765" xr:uid="{61974EFC-526A-4003-A7BB-CC7B1AC31369}"/>
    <cellStyle name="Normal 3 5 3 4 3" xfId="6457" xr:uid="{D7858F48-F697-43C9-9B2B-CD190CD983F9}"/>
    <cellStyle name="Normal 3 5 3 5" xfId="4286" xr:uid="{9A797AF9-D5E8-4639-81E8-AC0F5802B32E}"/>
    <cellStyle name="Normal 3 5 3 5 2" xfId="5613" xr:uid="{37F190F0-2AC1-40E6-886C-231ED01CE0A9}"/>
    <cellStyle name="Normal 3 5 3 5 2 2" xfId="8230" xr:uid="{53302BC7-56BE-45B0-B44F-8DBB4DC16B1B}"/>
    <cellStyle name="Normal 3 5 3 5 3" xfId="6922" xr:uid="{17183126-9E33-4A3D-9584-EA5DED6E4BCD}"/>
    <cellStyle name="Normal 3 5 3 6" xfId="4676" xr:uid="{773ED114-ED10-4008-A70F-301322F9ADA6}"/>
    <cellStyle name="Normal 3 5 3 6 2" xfId="7293" xr:uid="{242BC636-B984-4AD5-80D8-DB0B092381D4}"/>
    <cellStyle name="Normal 3 5 3 7" xfId="5985" xr:uid="{2EAE4E36-9791-46B2-84F2-FC14087CF35D}"/>
    <cellStyle name="Normal 3 5 4" xfId="3435" xr:uid="{861AAC26-C3FF-48A7-A3C4-F906BA8B1DF7}"/>
    <cellStyle name="Normal 3 5 4 2" xfId="3701" xr:uid="{959C22F2-C3CB-486E-9FF7-32C9393F2A90}"/>
    <cellStyle name="Normal 3 5 4 2 2" xfId="4175" xr:uid="{60B00AC1-2BFD-449B-902A-323B17F0687B}"/>
    <cellStyle name="Normal 3 5 4 2 2 2" xfId="5502" xr:uid="{788C87FF-D28F-4159-902A-4780AF42522A}"/>
    <cellStyle name="Normal 3 5 4 2 2 2 2" xfId="8119" xr:uid="{7167C989-CCA4-4FD2-8392-5CC6D7C4EA1F}"/>
    <cellStyle name="Normal 3 5 4 2 2 3" xfId="6811" xr:uid="{8ECF5781-39C8-468B-91E7-AE0754533EC0}"/>
    <cellStyle name="Normal 3 5 4 2 3" xfId="5030" xr:uid="{8B97FAC2-79AF-4753-9808-DF706F9A3550}"/>
    <cellStyle name="Normal 3 5 4 2 3 2" xfId="7647" xr:uid="{ABB44B38-5480-4F4B-A3C1-D99662C8F7A8}"/>
    <cellStyle name="Normal 3 5 4 2 4" xfId="6339" xr:uid="{E1103672-A07A-4B67-BA7F-C8DEF121EE95}"/>
    <cellStyle name="Normal 3 5 4 3" xfId="3946" xr:uid="{8750B4F6-EBA4-4D74-A99C-1FF1F7D8B14C}"/>
    <cellStyle name="Normal 3 5 4 3 2" xfId="5273" xr:uid="{C40DC5EA-11E3-400E-B3C2-7EA6949CE558}"/>
    <cellStyle name="Normal 3 5 4 3 2 2" xfId="7890" xr:uid="{EA2B8BAB-8B45-4B93-89FF-B0D1E63C4421}"/>
    <cellStyle name="Normal 3 5 4 3 3" xfId="6582" xr:uid="{6BF31B45-DE0E-4675-A1C8-53A98B0634AB}"/>
    <cellStyle name="Normal 3 5 4 4" xfId="4411" xr:uid="{8E6F29C7-0DAE-405D-B210-2E14BF01A4C2}"/>
    <cellStyle name="Normal 3 5 4 4 2" xfId="5738" xr:uid="{D075A1EC-E0C7-40C9-8027-15D4E6A38D20}"/>
    <cellStyle name="Normal 3 5 4 4 2 2" xfId="8355" xr:uid="{C259266F-22C9-42FE-A48B-5C6BCD35231F}"/>
    <cellStyle name="Normal 3 5 4 4 3" xfId="7047" xr:uid="{ED9FAC1B-F739-4D43-B62F-3EB5A18AC726}"/>
    <cellStyle name="Normal 3 5 4 5" xfId="4801" xr:uid="{71C7E37A-DE8D-4663-98CC-3E98DC49E7A5}"/>
    <cellStyle name="Normal 3 5 4 5 2" xfId="7418" xr:uid="{3BD1202B-2190-4C95-82B0-69617396F937}"/>
    <cellStyle name="Normal 3 5 4 6" xfId="6110" xr:uid="{39178190-5A17-45B2-940A-C87D7637E6FC}"/>
    <cellStyle name="Normal 3 5 5" xfId="2936" xr:uid="{FE634913-EAE7-49BC-8321-DE62527417E2}"/>
    <cellStyle name="Normal 3 5 5 2" xfId="3605" xr:uid="{E12D629C-B992-4564-B07F-C4ABFAD74C3F}"/>
    <cellStyle name="Normal 3 5 5 2 2" xfId="4095" xr:uid="{2D568578-0D6F-4571-81A5-F4E77CC10812}"/>
    <cellStyle name="Normal 3 5 5 2 2 2" xfId="5422" xr:uid="{257D100A-25AA-4AE0-9197-EA751968CA7D}"/>
    <cellStyle name="Normal 3 5 5 2 2 2 2" xfId="8039" xr:uid="{7CEC877A-037F-46B5-A8B7-10A9A7EE2746}"/>
    <cellStyle name="Normal 3 5 5 2 2 3" xfId="6731" xr:uid="{4403399D-0081-4786-AE2D-603DA3F20A4B}"/>
    <cellStyle name="Normal 3 5 5 2 3" xfId="4950" xr:uid="{A29D3E2C-B6AA-4D78-9388-C1773FAAC794}"/>
    <cellStyle name="Normal 3 5 5 2 3 2" xfId="7567" xr:uid="{89C52B22-2A63-41EA-9961-FB90FC01976A}"/>
    <cellStyle name="Normal 3 5 5 2 4" xfId="6259" xr:uid="{0F2ED32D-233D-42AF-891D-A65BF5919DB1}"/>
    <cellStyle name="Normal 3 5 5 3" xfId="3866" xr:uid="{2F4CC5C1-C647-4F18-829C-104463425AFC}"/>
    <cellStyle name="Normal 3 5 5 3 2" xfId="5193" xr:uid="{7609179F-DEDE-4D4A-8997-299658E7DF3E}"/>
    <cellStyle name="Normal 3 5 5 3 2 2" xfId="7810" xr:uid="{426EABF5-7BEF-40CC-A05A-AF715C9BE91B}"/>
    <cellStyle name="Normal 3 5 5 3 3" xfId="6502" xr:uid="{39314462-72CE-4B35-B52C-8F06A0B9AA50}"/>
    <cellStyle name="Normal 3 5 5 4" xfId="4331" xr:uid="{6C135ABA-FF15-4221-92DC-18ED318F1633}"/>
    <cellStyle name="Normal 3 5 5 4 2" xfId="5658" xr:uid="{13C7207B-8188-4164-A751-275E11AAB581}"/>
    <cellStyle name="Normal 3 5 5 4 2 2" xfId="8275" xr:uid="{B6B01AED-5B0F-450A-98C5-99E8ABB5912E}"/>
    <cellStyle name="Normal 3 5 5 4 3" xfId="6967" xr:uid="{F15178EC-4456-4F1B-872F-ECB274C1B772}"/>
    <cellStyle name="Normal 3 5 5 5" xfId="4721" xr:uid="{4681B7D4-E285-43D6-8FF1-C470EFAA27E1}"/>
    <cellStyle name="Normal 3 5 5 5 2" xfId="7338" xr:uid="{6636A144-706D-4ABC-8FD0-6A1E646C486B}"/>
    <cellStyle name="Normal 3 5 5 6" xfId="6030" xr:uid="{9B14DDE2-74B3-4877-ACAE-D3F415E5CFA7}"/>
    <cellStyle name="Normal 3 5 6" xfId="3515" xr:uid="{D8B0D612-C100-4C09-8B1D-DA82ED309ED9}"/>
    <cellStyle name="Normal 3 5 6 2" xfId="4005" xr:uid="{867FDB3A-F663-4549-8A90-6006BB82E288}"/>
    <cellStyle name="Normal 3 5 6 2 2" xfId="5332" xr:uid="{561AE194-DAA4-42DE-B6C9-25478FE8A0E1}"/>
    <cellStyle name="Normal 3 5 6 2 2 2" xfId="7949" xr:uid="{6973FD35-DEE2-471E-8917-C656A72EFCB4}"/>
    <cellStyle name="Normal 3 5 6 2 3" xfId="6641" xr:uid="{A5AB7824-76FC-4011-937D-C301E22CEF02}"/>
    <cellStyle name="Normal 3 5 6 3" xfId="4481" xr:uid="{BF8A03C3-6D8E-4E2B-B26A-8EBC1E43DEB3}"/>
    <cellStyle name="Normal 3 5 6 3 2" xfId="5791" xr:uid="{30AADD4D-B111-4D1F-AE49-C5626FAF8DAB}"/>
    <cellStyle name="Normal 3 5 6 3 2 2" xfId="8408" xr:uid="{7A373DFD-64A3-4BF4-A04D-1510B80F2055}"/>
    <cellStyle name="Normal 3 5 6 3 3" xfId="7100" xr:uid="{4F7C565A-2FE9-4BDC-92E7-20F8844BCA24}"/>
    <cellStyle name="Normal 3 5 6 4" xfId="4860" xr:uid="{BA27012E-BDE2-4531-9FD1-E2D83D554055}"/>
    <cellStyle name="Normal 3 5 6 4 2" xfId="7477" xr:uid="{74FAFD80-0BDC-474C-92DC-37972FD71DC3}"/>
    <cellStyle name="Normal 3 5 6 5" xfId="6169" xr:uid="{4EC8D937-7AAE-471A-99AF-53EA9ADFD21D}"/>
    <cellStyle name="Normal 3 5 7" xfId="3776" xr:uid="{09E97E27-9332-4F33-8ABB-BE8EFA79D734}"/>
    <cellStyle name="Normal 3 5 7 2" xfId="4527" xr:uid="{18D00B1B-BDE6-47FC-88F5-5A41D9741DC1}"/>
    <cellStyle name="Normal 3 5 7 2 2" xfId="5836" xr:uid="{74A1D0DE-3829-425C-B749-AD3C04519311}"/>
    <cellStyle name="Normal 3 5 7 2 2 2" xfId="8453" xr:uid="{9C83E859-D586-429D-AA6C-BF36C0F119A8}"/>
    <cellStyle name="Normal 3 5 7 2 3" xfId="7145" xr:uid="{A10B2D6B-D531-4F14-A8CF-16F7FF1FD0D2}"/>
    <cellStyle name="Normal 3 5 7 3" xfId="5103" xr:uid="{282FF6FF-F8E6-4917-BBDD-1D83B26575CA}"/>
    <cellStyle name="Normal 3 5 7 3 2" xfId="7720" xr:uid="{4FAE4003-92F0-47E8-8AF0-D36B0238D8F3}"/>
    <cellStyle name="Normal 3 5 7 4" xfId="6412" xr:uid="{29323C07-6D30-4501-B533-C471AE6306F0}"/>
    <cellStyle name="Normal 3 5 8" xfId="4572" xr:uid="{9C807394-4972-4A1F-9C2E-1C50BE102C57}"/>
    <cellStyle name="Normal 3 5 8 2" xfId="5881" xr:uid="{8858326D-8267-4D43-B12B-39A697D14410}"/>
    <cellStyle name="Normal 3 5 8 2 2" xfId="8498" xr:uid="{2741D45F-B1B6-403C-859F-19498C943083}"/>
    <cellStyle name="Normal 3 5 8 3" xfId="7190" xr:uid="{68759B49-0ACC-4018-BA34-CF1B58A94F50}"/>
    <cellStyle name="Normal 3 5 9" xfId="4241" xr:uid="{2E6517F5-2D7C-4A51-8EE7-9A525E2FE528}"/>
    <cellStyle name="Normal 3 5 9 2" xfId="5568" xr:uid="{5F11741E-F522-447F-9853-0422F4FF032E}"/>
    <cellStyle name="Normal 3 5 9 2 2" xfId="8185" xr:uid="{2B294CEC-1A29-4DEC-93AC-8D22D18A9C59}"/>
    <cellStyle name="Normal 3 5 9 3" xfId="6877" xr:uid="{AB0E0DEE-BD26-4F78-8F75-B0F43D2192B8}"/>
    <cellStyle name="Normal 3 6" xfId="2545" xr:uid="{FC3B9C22-FDDF-4895-B7F0-AA21CE0E65C8}"/>
    <cellStyle name="Normal 3 6 10" xfId="4633" xr:uid="{0AF7F020-326A-48F6-A450-37D7BDDAD121}"/>
    <cellStyle name="Normal 3 6 10 2" xfId="7250" xr:uid="{2B0D9D3D-BCEE-4701-913A-5E060A9515E2}"/>
    <cellStyle name="Normal 3 6 11" xfId="5942" xr:uid="{B0A0C218-0370-4CA0-A787-6B76885910BB}"/>
    <cellStyle name="Normal 3 6 2" xfId="2863" xr:uid="{C34ED0EF-7BCB-4337-8749-866E665F4C8D}"/>
    <cellStyle name="Normal 3 6 2 10" xfId="5959" xr:uid="{50F7945E-75A6-4C74-A100-0654D5A0BC25}"/>
    <cellStyle name="Normal 3 6 2 2" xfId="2910" xr:uid="{FE84768C-31B7-40D4-B961-2BC432570DE2}"/>
    <cellStyle name="Normal 3 6 2 2 2" xfId="3011" xr:uid="{E7E400B4-B290-4F9B-8C30-772FA330C403}"/>
    <cellStyle name="Normal 3 6 2 2 2 2" xfId="3680" xr:uid="{A144DFC3-4166-45C5-BF4D-48799C910365}"/>
    <cellStyle name="Normal 3 6 2 2 2 2 2" xfId="4154" xr:uid="{27FBD10C-BF64-438F-ABA0-EB58FF711834}"/>
    <cellStyle name="Normal 3 6 2 2 2 2 2 2" xfId="5481" xr:uid="{8B6361CC-B747-4FEA-A567-BF56EA685F31}"/>
    <cellStyle name="Normal 3 6 2 2 2 2 2 2 2" xfId="8098" xr:uid="{55E7A66D-2C57-4E01-B20E-7C1D8267E0BD}"/>
    <cellStyle name="Normal 3 6 2 2 2 2 2 3" xfId="6790" xr:uid="{7E7D2A4C-F0C3-4965-BD8D-68D8C9A2CFF8}"/>
    <cellStyle name="Normal 3 6 2 2 2 2 3" xfId="5009" xr:uid="{F437FDDC-6E79-4D41-B246-BEC601AFCB8B}"/>
    <cellStyle name="Normal 3 6 2 2 2 2 3 2" xfId="7626" xr:uid="{AB5CA1B8-A295-4BF1-8B9B-597E11008E10}"/>
    <cellStyle name="Normal 3 6 2 2 2 2 4" xfId="6318" xr:uid="{966951DE-FFCF-44FC-84FE-5C18D919862D}"/>
    <cellStyle name="Normal 3 6 2 2 2 3" xfId="3925" xr:uid="{9DC1E5C6-C4CD-4F16-A7AB-0E5F9FCD1CF3}"/>
    <cellStyle name="Normal 3 6 2 2 2 3 2" xfId="5252" xr:uid="{B7DBF25A-7555-46E7-B71C-7A55BCC118EB}"/>
    <cellStyle name="Normal 3 6 2 2 2 3 2 2" xfId="7869" xr:uid="{CD2E0F3F-17B9-4458-8A3B-92E73F594273}"/>
    <cellStyle name="Normal 3 6 2 2 2 3 3" xfId="6561" xr:uid="{892DD666-6CB2-4B6A-8432-B3B23B9874CA}"/>
    <cellStyle name="Normal 3 6 2 2 2 4" xfId="4390" xr:uid="{311533ED-EB63-4AFB-BBCB-7966971B7AE7}"/>
    <cellStyle name="Normal 3 6 2 2 2 4 2" xfId="5717" xr:uid="{D6DBF66A-9FF2-4CDB-B34F-7AC5FFB03895}"/>
    <cellStyle name="Normal 3 6 2 2 2 4 2 2" xfId="8334" xr:uid="{155709C7-2455-4806-97FD-6B7BFA4F1169}"/>
    <cellStyle name="Normal 3 6 2 2 2 4 3" xfId="7026" xr:uid="{BEB714A6-947F-4D71-BAE6-D27D88E5D0C1}"/>
    <cellStyle name="Normal 3 6 2 2 2 5" xfId="4780" xr:uid="{9D5A82C0-CBB2-4D7B-9F29-7BE49CE936AF}"/>
    <cellStyle name="Normal 3 6 2 2 2 5 2" xfId="7397" xr:uid="{F5F31DE0-5ED0-46D4-BFF2-B1993EACDC90}"/>
    <cellStyle name="Normal 3 6 2 2 2 6" xfId="6089" xr:uid="{C6245531-457A-4B6F-8DDF-32A26D40361B}"/>
    <cellStyle name="Normal 3 6 2 2 3" xfId="3579" xr:uid="{46C6946B-5B0F-4775-ADF2-FE3BB48F6852}"/>
    <cellStyle name="Normal 3 6 2 2 3 2" xfId="4069" xr:uid="{3854E60E-B66E-4E62-AE73-904C1F81F029}"/>
    <cellStyle name="Normal 3 6 2 2 3 2 2" xfId="5396" xr:uid="{FB2E5257-D48D-456D-8D75-E1693B339B3C}"/>
    <cellStyle name="Normal 3 6 2 2 3 2 2 2" xfId="8013" xr:uid="{1D73299C-6626-4C25-B0BF-67D36ADCFB34}"/>
    <cellStyle name="Normal 3 6 2 2 3 2 3" xfId="6705" xr:uid="{19AEB5BB-6FD4-4A17-A4DE-13039B237E4F}"/>
    <cellStyle name="Normal 3 6 2 2 3 3" xfId="4924" xr:uid="{B9EC79D6-9E18-469E-B686-7C2D09200181}"/>
    <cellStyle name="Normal 3 6 2 2 3 3 2" xfId="7541" xr:uid="{231BEE1E-133A-495A-802F-23FC2566594B}"/>
    <cellStyle name="Normal 3 6 2 2 3 4" xfId="6233" xr:uid="{9EB449CE-263F-4618-8813-81FCEF32C234}"/>
    <cellStyle name="Normal 3 6 2 2 4" xfId="3840" xr:uid="{A9FCE217-4438-42B0-9CA1-F67D25389913}"/>
    <cellStyle name="Normal 3 6 2 2 4 2" xfId="5167" xr:uid="{98ED4194-9617-42BC-A406-F62508C302FA}"/>
    <cellStyle name="Normal 3 6 2 2 4 2 2" xfId="7784" xr:uid="{7D77B37C-388D-4081-A164-FFB4BE171DF0}"/>
    <cellStyle name="Normal 3 6 2 2 4 3" xfId="6476" xr:uid="{EB3169E8-DE9C-45E0-B832-737E13F52076}"/>
    <cellStyle name="Normal 3 6 2 2 5" xfId="4305" xr:uid="{30BD5727-51A6-4DB7-9F76-AF1F80458DD8}"/>
    <cellStyle name="Normal 3 6 2 2 5 2" xfId="5632" xr:uid="{02ACAF4C-53EC-49B9-9BB1-2EDB42DE3EDB}"/>
    <cellStyle name="Normal 3 6 2 2 5 2 2" xfId="8249" xr:uid="{EE7EDED3-39E0-4885-9B33-B6A9F68ED88D}"/>
    <cellStyle name="Normal 3 6 2 2 5 3" xfId="6941" xr:uid="{3C63095A-DC13-46B0-9603-70D6BCE350AC}"/>
    <cellStyle name="Normal 3 6 2 2 6" xfId="4695" xr:uid="{A5DF5B04-0639-4BBE-B2E1-6DD731AB1101}"/>
    <cellStyle name="Normal 3 6 2 2 6 2" xfId="7312" xr:uid="{5CA51BB5-F88D-41A7-A61D-F0AAB226FC51}"/>
    <cellStyle name="Normal 3 6 2 2 7" xfId="6004" xr:uid="{C8C2C621-FC4D-47D8-A7DE-EC44D33D4DC3}"/>
    <cellStyle name="Normal 3 6 2 3" xfId="3455" xr:uid="{21C68592-3DDB-4928-A6C0-75877A37ADCE}"/>
    <cellStyle name="Normal 3 6 2 3 2" xfId="3720" xr:uid="{BDDFE2FE-3968-469B-A9E4-7253F968F104}"/>
    <cellStyle name="Normal 3 6 2 3 2 2" xfId="4194" xr:uid="{85977730-FB39-447C-95B4-6FB8EAB92B4C}"/>
    <cellStyle name="Normal 3 6 2 3 2 2 2" xfId="5521" xr:uid="{B8FC702D-6BB1-4C1D-92B6-50ACB8DCDCA0}"/>
    <cellStyle name="Normal 3 6 2 3 2 2 2 2" xfId="8138" xr:uid="{1597E77B-BA45-433C-A6BF-752E052E2375}"/>
    <cellStyle name="Normal 3 6 2 3 2 2 3" xfId="6830" xr:uid="{5F3E329C-2C89-4865-8E94-8FB84E2933C7}"/>
    <cellStyle name="Normal 3 6 2 3 2 3" xfId="5049" xr:uid="{32D4A60B-7A4A-4E67-AB08-E83EBEEDB708}"/>
    <cellStyle name="Normal 3 6 2 3 2 3 2" xfId="7666" xr:uid="{058698F9-7877-4B03-AB62-B216FC9108A1}"/>
    <cellStyle name="Normal 3 6 2 3 2 4" xfId="6358" xr:uid="{37BDBBC9-295C-4117-AC89-C1DEEB178538}"/>
    <cellStyle name="Normal 3 6 2 3 3" xfId="3965" xr:uid="{54A6B765-4D39-4DAD-AD02-302A7C5E26AF}"/>
    <cellStyle name="Normal 3 6 2 3 3 2" xfId="5292" xr:uid="{C1685896-5F3D-4C09-88B8-3AD67BA376E2}"/>
    <cellStyle name="Normal 3 6 2 3 3 2 2" xfId="7909" xr:uid="{CE79E1A7-272A-4C0D-954D-23F3FD014BE8}"/>
    <cellStyle name="Normal 3 6 2 3 3 3" xfId="6601" xr:uid="{8E046A6C-77B8-4AD2-9D46-7E4ECEDED5BF}"/>
    <cellStyle name="Normal 3 6 2 3 4" xfId="4430" xr:uid="{E15F8078-F51A-44B9-8454-86F4E6572BD0}"/>
    <cellStyle name="Normal 3 6 2 3 4 2" xfId="5757" xr:uid="{32524E39-2D88-4407-A931-66E88137ECEA}"/>
    <cellStyle name="Normal 3 6 2 3 4 2 2" xfId="8374" xr:uid="{0A4020D4-052C-4476-B938-E1F0085354F0}"/>
    <cellStyle name="Normal 3 6 2 3 4 3" xfId="7066" xr:uid="{CE8BFC50-4343-4C13-BB99-84B96DB1EC1A}"/>
    <cellStyle name="Normal 3 6 2 3 5" xfId="4820" xr:uid="{D66E18F2-56C8-4D11-AF51-7A1CE53476D0}"/>
    <cellStyle name="Normal 3 6 2 3 5 2" xfId="7437" xr:uid="{C463FE2C-26F0-46B1-9000-5E2E4F620025}"/>
    <cellStyle name="Normal 3 6 2 3 6" xfId="6129" xr:uid="{79F14638-0BB3-43CC-98A3-87874646287F}"/>
    <cellStyle name="Normal 3 6 2 4" xfId="2955" xr:uid="{B3992CC1-5494-4763-A54C-7F02EF68E46D}"/>
    <cellStyle name="Normal 3 6 2 4 2" xfId="3624" xr:uid="{56E72497-4FD9-4928-92E9-1B1F6569095C}"/>
    <cellStyle name="Normal 3 6 2 4 2 2" xfId="4114" xr:uid="{4553E393-2F4C-4335-849E-69CA150F538A}"/>
    <cellStyle name="Normal 3 6 2 4 2 2 2" xfId="5441" xr:uid="{6345FBEB-DFE5-4534-8B27-3EE765640D67}"/>
    <cellStyle name="Normal 3 6 2 4 2 2 2 2" xfId="8058" xr:uid="{31943292-54E9-46D2-A9F1-62C69120FCFE}"/>
    <cellStyle name="Normal 3 6 2 4 2 2 3" xfId="6750" xr:uid="{6AD64CDF-BF98-45C1-9C79-B0325C3551D8}"/>
    <cellStyle name="Normal 3 6 2 4 2 3" xfId="4969" xr:uid="{D652D3D9-81D2-4AB9-9E7C-651A56B3D5C6}"/>
    <cellStyle name="Normal 3 6 2 4 2 3 2" xfId="7586" xr:uid="{4B862DEB-7550-4628-BE03-60955B912263}"/>
    <cellStyle name="Normal 3 6 2 4 2 4" xfId="6278" xr:uid="{2EB213CC-760C-4268-9C1B-26B0CAB71A11}"/>
    <cellStyle name="Normal 3 6 2 4 3" xfId="3885" xr:uid="{D9D1F874-CC39-46C7-B01C-971141ECB0CD}"/>
    <cellStyle name="Normal 3 6 2 4 3 2" xfId="5212" xr:uid="{08348B15-EFD5-4344-B8F4-49A7869F2811}"/>
    <cellStyle name="Normal 3 6 2 4 3 2 2" xfId="7829" xr:uid="{C64A3FA8-B576-4443-A48D-D1110DB2BAC0}"/>
    <cellStyle name="Normal 3 6 2 4 3 3" xfId="6521" xr:uid="{BE4F1543-12C2-413C-99A6-4F90A29AB93F}"/>
    <cellStyle name="Normal 3 6 2 4 4" xfId="4350" xr:uid="{69911E58-D248-4E9B-89A7-ECA6B8360A33}"/>
    <cellStyle name="Normal 3 6 2 4 4 2" xfId="5677" xr:uid="{17715FCF-EE74-4E13-89D9-F7F07D4DCAF3}"/>
    <cellStyle name="Normal 3 6 2 4 4 2 2" xfId="8294" xr:uid="{B9CA9902-2C95-4DB7-91B6-9F067C7C6EE1}"/>
    <cellStyle name="Normal 3 6 2 4 4 3" xfId="6986" xr:uid="{0CB47C11-82A4-4A0E-9AE5-84E982263C1C}"/>
    <cellStyle name="Normal 3 6 2 4 5" xfId="4740" xr:uid="{394EED2D-704B-4CCE-9A6E-B9DF468385D7}"/>
    <cellStyle name="Normal 3 6 2 4 5 2" xfId="7357" xr:uid="{993B5CC1-57E4-420A-ABCD-DBAF79620AB3}"/>
    <cellStyle name="Normal 3 6 2 4 6" xfId="6049" xr:uid="{729C5C6D-DCAB-4B41-9AB1-C7343C17FEF5}"/>
    <cellStyle name="Normal 3 6 2 5" xfId="3534" xr:uid="{0F6DD857-3E47-4D4A-97C1-38AE13D8E9E8}"/>
    <cellStyle name="Normal 3 6 2 5 2" xfId="4024" xr:uid="{D07748C3-36D0-45F1-ADBC-B1E874116686}"/>
    <cellStyle name="Normal 3 6 2 5 2 2" xfId="5351" xr:uid="{F7C0A757-AB2F-4FE2-A726-0C4DDC76B78F}"/>
    <cellStyle name="Normal 3 6 2 5 2 2 2" xfId="7968" xr:uid="{EACB9CA5-FCA8-42E2-A714-DDCD5CACDB7F}"/>
    <cellStyle name="Normal 3 6 2 5 2 3" xfId="6660" xr:uid="{ED830B7A-24D5-43C5-8D03-B49FFD2866B4}"/>
    <cellStyle name="Normal 3 6 2 5 3" xfId="4501" xr:uid="{692C7663-1CFF-44B3-8800-BD36112A0798}"/>
    <cellStyle name="Normal 3 6 2 5 3 2" xfId="5810" xr:uid="{192A6B0B-A826-4955-80E0-E7D4AE4573A3}"/>
    <cellStyle name="Normal 3 6 2 5 3 2 2" xfId="8427" xr:uid="{98CBA03C-4FE7-4789-A4A8-A48E6AF341B5}"/>
    <cellStyle name="Normal 3 6 2 5 3 3" xfId="7119" xr:uid="{6B4AC82D-E796-44FF-9183-6B995B394A20}"/>
    <cellStyle name="Normal 3 6 2 5 4" xfId="4879" xr:uid="{EBD8EAEF-8953-4966-91B6-4F6FD4D16C72}"/>
    <cellStyle name="Normal 3 6 2 5 4 2" xfId="7496" xr:uid="{93A5A01D-1F28-40C3-9B69-4A3D813AB35B}"/>
    <cellStyle name="Normal 3 6 2 5 5" xfId="6188" xr:uid="{8A338239-825E-4C5E-A469-6381AE7A5562}"/>
    <cellStyle name="Normal 3 6 2 6" xfId="3795" xr:uid="{46AF9643-1224-4495-B859-7C06FC2DCF8A}"/>
    <cellStyle name="Normal 3 6 2 6 2" xfId="4546" xr:uid="{2621AC60-3DDF-4AA8-B81B-C3CDDC56A21A}"/>
    <cellStyle name="Normal 3 6 2 6 2 2" xfId="5855" xr:uid="{52ACA2BF-7705-43D2-8210-30B6AB7D458B}"/>
    <cellStyle name="Normal 3 6 2 6 2 2 2" xfId="8472" xr:uid="{1BDC1787-E09C-4E22-B089-52842882D333}"/>
    <cellStyle name="Normal 3 6 2 6 2 3" xfId="7164" xr:uid="{85D413A7-46B7-4FD0-84D7-7A1221964D0C}"/>
    <cellStyle name="Normal 3 6 2 6 3" xfId="5122" xr:uid="{3576DAE1-E2A1-4A9E-8A12-80D89920E5E7}"/>
    <cellStyle name="Normal 3 6 2 6 3 2" xfId="7739" xr:uid="{B82F8929-4483-471E-B799-43FAC74752F3}"/>
    <cellStyle name="Normal 3 6 2 6 4" xfId="6431" xr:uid="{4AC116BF-40AB-470F-847D-3E9B0DE3C9C8}"/>
    <cellStyle name="Normal 3 6 2 7" xfId="4591" xr:uid="{6CBC8342-0692-49EF-9BBE-B48B5F9AD709}"/>
    <cellStyle name="Normal 3 6 2 7 2" xfId="5900" xr:uid="{C6692CB8-83D1-421C-9300-9BE19BA27707}"/>
    <cellStyle name="Normal 3 6 2 7 2 2" xfId="8517" xr:uid="{41C925EB-0F4C-45B9-A75F-99BDD48C44FA}"/>
    <cellStyle name="Normal 3 6 2 7 3" xfId="7209" xr:uid="{3FAA151D-5B3B-438A-88B7-C01ACFB33B4F}"/>
    <cellStyle name="Normal 3 6 2 8" xfId="4260" xr:uid="{16853FA9-0BCD-4903-BC4B-B54B0A1E960E}"/>
    <cellStyle name="Normal 3 6 2 8 2" xfId="5587" xr:uid="{1D954678-1D1D-4472-AB79-A19AE313AA50}"/>
    <cellStyle name="Normal 3 6 2 8 2 2" xfId="8204" xr:uid="{01DA13A2-1ABB-41A0-B894-D9B08322BC05}"/>
    <cellStyle name="Normal 3 6 2 8 3" xfId="6896" xr:uid="{0CC52A78-B380-496C-9792-5A55C145F31D}"/>
    <cellStyle name="Normal 3 6 2 9" xfId="4650" xr:uid="{42423896-CDDD-4AF7-86E5-1B1587937304}"/>
    <cellStyle name="Normal 3 6 2 9 2" xfId="7267" xr:uid="{23F4A84E-C37F-4C10-BAB2-16B6C9E9158C}"/>
    <cellStyle name="Normal 3 6 3" xfId="2893" xr:uid="{AF48D1B9-5F0A-4162-948C-E4BA765EE164}"/>
    <cellStyle name="Normal 3 6 3 2" xfId="2994" xr:uid="{0B8D98EF-A3F0-4428-9465-2084740EEBDF}"/>
    <cellStyle name="Normal 3 6 3 2 2" xfId="3663" xr:uid="{99359995-C15C-4214-80A7-22A72076F5AA}"/>
    <cellStyle name="Normal 3 6 3 2 2 2" xfId="4137" xr:uid="{8004AED3-D1BD-4392-BDDE-4C153B8DFEB8}"/>
    <cellStyle name="Normal 3 6 3 2 2 2 2" xfId="5464" xr:uid="{8163648D-B4C1-47E7-80A4-1CFD622CC15F}"/>
    <cellStyle name="Normal 3 6 3 2 2 2 2 2" xfId="8081" xr:uid="{948167A6-0134-4FE9-BBAC-4B85DF716D5F}"/>
    <cellStyle name="Normal 3 6 3 2 2 2 3" xfId="6773" xr:uid="{90505866-E6A2-415B-BD71-9D0011A532CE}"/>
    <cellStyle name="Normal 3 6 3 2 2 3" xfId="4992" xr:uid="{F180FBF7-5F1A-4D6D-B45C-28BF082ED5D7}"/>
    <cellStyle name="Normal 3 6 3 2 2 3 2" xfId="7609" xr:uid="{22CC909C-9836-4615-AAE3-18F53DF31961}"/>
    <cellStyle name="Normal 3 6 3 2 2 4" xfId="6301" xr:uid="{4EAC7EB8-9EB3-4710-B97C-CD13392C1136}"/>
    <cellStyle name="Normal 3 6 3 2 3" xfId="3908" xr:uid="{44A20269-FC87-4088-8246-4B6B4CBA428F}"/>
    <cellStyle name="Normal 3 6 3 2 3 2" xfId="5235" xr:uid="{68F8EA37-E3D9-4E89-8359-019E93E51F65}"/>
    <cellStyle name="Normal 3 6 3 2 3 2 2" xfId="7852" xr:uid="{C794C40C-0A10-46DE-9BF9-F59BAD990777}"/>
    <cellStyle name="Normal 3 6 3 2 3 3" xfId="6544" xr:uid="{4A6709EA-D123-4C91-8D56-0B9A50ACF0C5}"/>
    <cellStyle name="Normal 3 6 3 2 4" xfId="4373" xr:uid="{CCB94358-5384-4852-850A-DD46C0AFD085}"/>
    <cellStyle name="Normal 3 6 3 2 4 2" xfId="5700" xr:uid="{D61A34E4-389A-4E67-935B-7ADA3CCB5125}"/>
    <cellStyle name="Normal 3 6 3 2 4 2 2" xfId="8317" xr:uid="{BFCD309D-3341-44B0-B9C2-9A95CCA64748}"/>
    <cellStyle name="Normal 3 6 3 2 4 3" xfId="7009" xr:uid="{B55DA31C-5EA6-4DB9-BDB9-520C2F9DE810}"/>
    <cellStyle name="Normal 3 6 3 2 5" xfId="4763" xr:uid="{98B7B6A8-74C5-4D50-893B-E3E1C928108A}"/>
    <cellStyle name="Normal 3 6 3 2 5 2" xfId="7380" xr:uid="{BB314B71-B7B9-4D9E-A500-ED486211CA3B}"/>
    <cellStyle name="Normal 3 6 3 2 6" xfId="6072" xr:uid="{6A9B588F-04EC-42AB-890D-32792A3CF46F}"/>
    <cellStyle name="Normal 3 6 3 3" xfId="3562" xr:uid="{A41465FF-C763-40D7-BE17-986A19DEA467}"/>
    <cellStyle name="Normal 3 6 3 3 2" xfId="4052" xr:uid="{DBF06C0C-F6E2-465A-9E07-0F0428801875}"/>
    <cellStyle name="Normal 3 6 3 3 2 2" xfId="5379" xr:uid="{430EE114-E8E7-4695-9F65-573ADD3469B6}"/>
    <cellStyle name="Normal 3 6 3 3 2 2 2" xfId="7996" xr:uid="{69C3DCCB-2D2D-4A5F-B1CE-7A4D34B7D02C}"/>
    <cellStyle name="Normal 3 6 3 3 2 3" xfId="6688" xr:uid="{20B76BB3-3E06-4312-8A62-53D4E3622904}"/>
    <cellStyle name="Normal 3 6 3 3 3" xfId="4907" xr:uid="{0E40F147-5E29-4A92-B297-4492A35B60A3}"/>
    <cellStyle name="Normal 3 6 3 3 3 2" xfId="7524" xr:uid="{98C0AFFD-E876-433D-9CCF-0D71543CB266}"/>
    <cellStyle name="Normal 3 6 3 3 4" xfId="6216" xr:uid="{33548839-D655-409B-B479-B1B7987F8C7D}"/>
    <cellStyle name="Normal 3 6 3 4" xfId="3823" xr:uid="{975C2ADF-2BA0-4EFD-8C0F-45805F4C78E6}"/>
    <cellStyle name="Normal 3 6 3 4 2" xfId="5150" xr:uid="{092E6AFC-37C9-4526-AF64-34B68CE16EFE}"/>
    <cellStyle name="Normal 3 6 3 4 2 2" xfId="7767" xr:uid="{3E2FEE36-553C-485D-9787-AE3506898BF2}"/>
    <cellStyle name="Normal 3 6 3 4 3" xfId="6459" xr:uid="{E34DA9C8-C8AA-4BE1-A45E-6F9F0C98EADF}"/>
    <cellStyle name="Normal 3 6 3 5" xfId="4288" xr:uid="{57432D6B-52DE-4EFB-8681-E34940DE000D}"/>
    <cellStyle name="Normal 3 6 3 5 2" xfId="5615" xr:uid="{319DF652-3688-451C-8E69-FD6212579C85}"/>
    <cellStyle name="Normal 3 6 3 5 2 2" xfId="8232" xr:uid="{2A725287-8D5A-41EA-AEC2-17B12D462D75}"/>
    <cellStyle name="Normal 3 6 3 5 3" xfId="6924" xr:uid="{A9F1D264-22BF-40D6-B6E6-3A43C0B656FD}"/>
    <cellStyle name="Normal 3 6 3 6" xfId="4678" xr:uid="{BDCEEDA1-5DF3-400B-B4FF-0E735DF1BB7E}"/>
    <cellStyle name="Normal 3 6 3 6 2" xfId="7295" xr:uid="{B03DE581-2724-4927-A133-F9E427799B6E}"/>
    <cellStyle name="Normal 3 6 3 7" xfId="5987" xr:uid="{A565E028-E64D-4FA8-B09A-8AADD94F9703}"/>
    <cellStyle name="Normal 3 6 4" xfId="3437" xr:uid="{18980BF1-5D51-4084-90DB-84C6ED63DE1A}"/>
    <cellStyle name="Normal 3 6 4 2" xfId="3703" xr:uid="{B3269BC1-33E5-4817-A995-96A1BD7061D1}"/>
    <cellStyle name="Normal 3 6 4 2 2" xfId="4177" xr:uid="{BB11BB1D-CB0C-4D86-9B8F-28D6086B40B9}"/>
    <cellStyle name="Normal 3 6 4 2 2 2" xfId="5504" xr:uid="{DA42E1A3-CC91-4B81-9925-F73234B6BDB8}"/>
    <cellStyle name="Normal 3 6 4 2 2 2 2" xfId="8121" xr:uid="{483DB7C1-4A66-450C-8E9E-7103814957EC}"/>
    <cellStyle name="Normal 3 6 4 2 2 3" xfId="6813" xr:uid="{7E922C30-12FB-4023-8FA7-F69270EC66DE}"/>
    <cellStyle name="Normal 3 6 4 2 3" xfId="5032" xr:uid="{79256133-F488-4150-8503-D767ED02DB9F}"/>
    <cellStyle name="Normal 3 6 4 2 3 2" xfId="7649" xr:uid="{E7B92F38-19E5-4EB6-A9C4-CDCC3D1D3B21}"/>
    <cellStyle name="Normal 3 6 4 2 4" xfId="6341" xr:uid="{ED33A0FB-D318-4B8B-ACC8-B0B88F90F1FC}"/>
    <cellStyle name="Normal 3 6 4 3" xfId="3948" xr:uid="{769DDCEB-996F-4845-8106-48DCAD3F91E3}"/>
    <cellStyle name="Normal 3 6 4 3 2" xfId="5275" xr:uid="{8D18CB1E-EAF1-4531-9957-E2BA7521D6E1}"/>
    <cellStyle name="Normal 3 6 4 3 2 2" xfId="7892" xr:uid="{E252517C-7ABB-444C-8BF6-86E611D3C348}"/>
    <cellStyle name="Normal 3 6 4 3 3" xfId="6584" xr:uid="{C9BD65CC-7907-4D56-BB89-2FD37A43BA1B}"/>
    <cellStyle name="Normal 3 6 4 4" xfId="4413" xr:uid="{991B4E22-2792-49BC-844C-6EAB2386328E}"/>
    <cellStyle name="Normal 3 6 4 4 2" xfId="5740" xr:uid="{2C9791D1-8D75-41C8-8CBF-6195691D484D}"/>
    <cellStyle name="Normal 3 6 4 4 2 2" xfId="8357" xr:uid="{DE48DE14-BAB2-4093-BE44-95FB5DFADCBB}"/>
    <cellStyle name="Normal 3 6 4 4 3" xfId="7049" xr:uid="{B1B1257C-E05E-4F43-8B85-CCE50D27D1F7}"/>
    <cellStyle name="Normal 3 6 4 5" xfId="4803" xr:uid="{273A7EF7-A105-4C83-9294-4E19E6C905C6}"/>
    <cellStyle name="Normal 3 6 4 5 2" xfId="7420" xr:uid="{25E42174-E3E9-4BC4-BBB8-F09B4501BEEC}"/>
    <cellStyle name="Normal 3 6 4 6" xfId="6112" xr:uid="{AEE0EB46-52F6-43DF-837F-6AAFD9B10BF5}"/>
    <cellStyle name="Normal 3 6 5" xfId="2938" xr:uid="{464D1B4F-3FDE-4325-BF32-01E30F8597D3}"/>
    <cellStyle name="Normal 3 6 5 2" xfId="3607" xr:uid="{E3BEC948-CB48-4699-9BF7-398E9057341F}"/>
    <cellStyle name="Normal 3 6 5 2 2" xfId="4097" xr:uid="{D15E8B1F-A346-4E39-94B8-CAD3EFA10F07}"/>
    <cellStyle name="Normal 3 6 5 2 2 2" xfId="5424" xr:uid="{FD6119F1-104D-4B8E-AF26-68391FC7BC69}"/>
    <cellStyle name="Normal 3 6 5 2 2 2 2" xfId="8041" xr:uid="{6D7AA746-2AB4-40B0-BB94-BB21DD3D1C18}"/>
    <cellStyle name="Normal 3 6 5 2 2 3" xfId="6733" xr:uid="{F475DE11-08F3-4665-9140-CFCF7B446BF7}"/>
    <cellStyle name="Normal 3 6 5 2 3" xfId="4952" xr:uid="{35FAF95F-B671-42C0-87C7-F54533355988}"/>
    <cellStyle name="Normal 3 6 5 2 3 2" xfId="7569" xr:uid="{D6DF3880-3D98-4A17-87DF-86308F866BC4}"/>
    <cellStyle name="Normal 3 6 5 2 4" xfId="6261" xr:uid="{C7FC927E-AE8A-45B7-BDE6-33149EFE3467}"/>
    <cellStyle name="Normal 3 6 5 3" xfId="3868" xr:uid="{A6C2E2C3-9AA4-47BC-92F2-C05E9D872720}"/>
    <cellStyle name="Normal 3 6 5 3 2" xfId="5195" xr:uid="{05969291-4B8C-4B62-A30D-03E81667E31F}"/>
    <cellStyle name="Normal 3 6 5 3 2 2" xfId="7812" xr:uid="{99F40EB0-90A0-4ED7-B9F8-477D49FC404E}"/>
    <cellStyle name="Normal 3 6 5 3 3" xfId="6504" xr:uid="{DC4711E1-9DA6-4007-B400-71282BEE0976}"/>
    <cellStyle name="Normal 3 6 5 4" xfId="4333" xr:uid="{8CF384A0-0371-4E4C-AAB0-A35254895C80}"/>
    <cellStyle name="Normal 3 6 5 4 2" xfId="5660" xr:uid="{75871495-15EE-43C7-A879-30BE6EACB790}"/>
    <cellStyle name="Normal 3 6 5 4 2 2" xfId="8277" xr:uid="{27C7D959-03A1-46D7-AAEB-5B924D5BE38F}"/>
    <cellStyle name="Normal 3 6 5 4 3" xfId="6969" xr:uid="{61012DCA-6CB3-4E78-BE4A-B2F864C19B5B}"/>
    <cellStyle name="Normal 3 6 5 5" xfId="4723" xr:uid="{B478D19C-F212-48FB-A969-2BD66B2459C4}"/>
    <cellStyle name="Normal 3 6 5 5 2" xfId="7340" xr:uid="{BB8DDA3E-F6E4-4873-A934-5020AA35A92B}"/>
    <cellStyle name="Normal 3 6 5 6" xfId="6032" xr:uid="{C4603197-8465-4FE8-B0FD-C472CCFDC02F}"/>
    <cellStyle name="Normal 3 6 6" xfId="3517" xr:uid="{36B40373-C254-42BF-9844-AB2E19D74B61}"/>
    <cellStyle name="Normal 3 6 6 2" xfId="4007" xr:uid="{03DFDB88-AC02-487F-95FF-B39766ABBFD6}"/>
    <cellStyle name="Normal 3 6 6 2 2" xfId="5334" xr:uid="{FFC85796-8E0B-4AEE-9810-E682023D7C80}"/>
    <cellStyle name="Normal 3 6 6 2 2 2" xfId="7951" xr:uid="{FEE3D4D3-E7D2-4049-B7BE-6807795BC65F}"/>
    <cellStyle name="Normal 3 6 6 2 3" xfId="6643" xr:uid="{ABFB0445-D257-4435-B09B-5F109F45AB49}"/>
    <cellStyle name="Normal 3 6 6 3" xfId="4483" xr:uid="{09050ECE-DF42-4FFA-BE5C-BCFCB8A50152}"/>
    <cellStyle name="Normal 3 6 6 3 2" xfId="5793" xr:uid="{5DC9B2FE-BB57-4D38-89CD-7155DFF7D4E5}"/>
    <cellStyle name="Normal 3 6 6 3 2 2" xfId="8410" xr:uid="{98E91768-EDCA-4A01-A7E7-617C8DD75F4B}"/>
    <cellStyle name="Normal 3 6 6 3 3" xfId="7102" xr:uid="{627A1B37-365A-40EB-93A7-44BEE5075550}"/>
    <cellStyle name="Normal 3 6 6 4" xfId="4862" xr:uid="{970B26F6-285E-4D97-A53F-64C6746B5738}"/>
    <cellStyle name="Normal 3 6 6 4 2" xfId="7479" xr:uid="{F337525D-CB6C-4DD7-AF9B-A9A827E2E874}"/>
    <cellStyle name="Normal 3 6 6 5" xfId="6171" xr:uid="{D99222BB-9D3E-4C1E-A934-840BB01917CA}"/>
    <cellStyle name="Normal 3 6 7" xfId="3778" xr:uid="{D4465420-1424-4228-A0AE-495DAFEBF58C}"/>
    <cellStyle name="Normal 3 6 7 2" xfId="4529" xr:uid="{183986A7-BBC7-407F-9E83-93F0916D06A4}"/>
    <cellStyle name="Normal 3 6 7 2 2" xfId="5838" xr:uid="{4947535A-F56F-4137-98E5-59A8AF87C56E}"/>
    <cellStyle name="Normal 3 6 7 2 2 2" xfId="8455" xr:uid="{32E56EF1-F823-4714-904A-76398DF7F33F}"/>
    <cellStyle name="Normal 3 6 7 2 3" xfId="7147" xr:uid="{484A0E24-FAAC-4098-9F7F-514C1EB16730}"/>
    <cellStyle name="Normal 3 6 7 3" xfId="5105" xr:uid="{BF6C04B9-F17C-475B-B2AC-C97B9743C871}"/>
    <cellStyle name="Normal 3 6 7 3 2" xfId="7722" xr:uid="{E1941163-2AC5-49BF-90FD-C57E40FFEE5F}"/>
    <cellStyle name="Normal 3 6 7 4" xfId="6414" xr:uid="{481D934C-2E6B-4B96-B885-E48F0BF0C007}"/>
    <cellStyle name="Normal 3 6 8" xfId="4574" xr:uid="{77FAA8FD-AF50-42AE-A222-D7965C736AB0}"/>
    <cellStyle name="Normal 3 6 8 2" xfId="5883" xr:uid="{C59C0DC3-7529-437B-93D4-900CCA613557}"/>
    <cellStyle name="Normal 3 6 8 2 2" xfId="8500" xr:uid="{668F8E61-390B-4885-8CFA-812DAD63ADA6}"/>
    <cellStyle name="Normal 3 6 8 3" xfId="7192" xr:uid="{5D46AABC-6FF7-47F0-BCF1-4BC0F042E0C1}"/>
    <cellStyle name="Normal 3 6 9" xfId="4243" xr:uid="{23AEB14C-4855-4295-897B-8E12B9C3AFB8}"/>
    <cellStyle name="Normal 3 6 9 2" xfId="5570" xr:uid="{CBDDDDE3-D8B7-48C6-9916-5EAFE53E3EA8}"/>
    <cellStyle name="Normal 3 6 9 2 2" xfId="8187" xr:uid="{10E2B363-7367-47BA-BB10-9005C3D56D0D}"/>
    <cellStyle name="Normal 3 6 9 3" xfId="6879" xr:uid="{A4391D16-095E-48DC-BFB7-B5702DD3091D}"/>
    <cellStyle name="Normal 3 7" xfId="36" xr:uid="{9B8BE420-B9DC-4B59-9B54-7083457CADE1}"/>
    <cellStyle name="Normal 3 7 10" xfId="4622" xr:uid="{37FF4BBE-E69A-4FAE-88B2-67A2F6CFCE49}"/>
    <cellStyle name="Normal 3 7 10 2" xfId="7239" xr:uid="{852F6DBD-A89E-4ED6-B848-AF9D4A4C0729}"/>
    <cellStyle name="Normal 3 7 11" xfId="5931" xr:uid="{179E0A69-893A-458E-AAAE-3FBEEE38CF42}"/>
    <cellStyle name="Normal 3 7 2" xfId="2852" xr:uid="{4839087F-713B-41A6-97E3-F6EDF601D9DF}"/>
    <cellStyle name="Normal 3 7 2 10" xfId="5948" xr:uid="{3FAF18F2-F179-4106-80A7-E7C762013C71}"/>
    <cellStyle name="Normal 3 7 2 2" xfId="2899" xr:uid="{C10CE677-24C3-43B8-AA2A-EE00547F890C}"/>
    <cellStyle name="Normal 3 7 2 2 2" xfId="3000" xr:uid="{B9D6D571-4523-43FD-A6D0-B3FF5FDEA34B}"/>
    <cellStyle name="Normal 3 7 2 2 2 2" xfId="3669" xr:uid="{14F4C5C6-1832-4CAA-B815-5A9C385B26FD}"/>
    <cellStyle name="Normal 3 7 2 2 2 2 2" xfId="4143" xr:uid="{38AFC682-4C9D-40FE-828A-9543B07376CC}"/>
    <cellStyle name="Normal 3 7 2 2 2 2 2 2" xfId="5470" xr:uid="{C8DC596C-F976-4B67-8967-730CB9864B6A}"/>
    <cellStyle name="Normal 3 7 2 2 2 2 2 2 2" xfId="8087" xr:uid="{E238B6EC-B6D6-45B9-B6C8-B3B4BE50CE54}"/>
    <cellStyle name="Normal 3 7 2 2 2 2 2 3" xfId="6779" xr:uid="{0E8C0C0F-C0BA-4705-A21C-C154F208AE74}"/>
    <cellStyle name="Normal 3 7 2 2 2 2 3" xfId="4998" xr:uid="{2D2FA2C6-F64C-4E53-AE49-9EC50A474452}"/>
    <cellStyle name="Normal 3 7 2 2 2 2 3 2" xfId="7615" xr:uid="{0A08B613-9414-4A2D-A5CB-43C8420422BC}"/>
    <cellStyle name="Normal 3 7 2 2 2 2 4" xfId="6307" xr:uid="{CF6C550C-C365-4FEF-8313-BDE0B693803F}"/>
    <cellStyle name="Normal 3 7 2 2 2 3" xfId="3914" xr:uid="{5F476DD5-2C88-4875-8BF3-F1CAD3FEE82E}"/>
    <cellStyle name="Normal 3 7 2 2 2 3 2" xfId="5241" xr:uid="{662DE3B1-1F3B-4EBE-AD0D-9176578BE3C7}"/>
    <cellStyle name="Normal 3 7 2 2 2 3 2 2" xfId="7858" xr:uid="{BC5504E3-6528-48CC-A09D-6D80CAEDD655}"/>
    <cellStyle name="Normal 3 7 2 2 2 3 3" xfId="6550" xr:uid="{07E28023-44D4-4D31-9D18-8C9268C20F50}"/>
    <cellStyle name="Normal 3 7 2 2 2 4" xfId="4379" xr:uid="{CB761493-3124-4D6A-BA1A-97C61F7BB0E0}"/>
    <cellStyle name="Normal 3 7 2 2 2 4 2" xfId="5706" xr:uid="{E04C32B8-A789-4948-B8D6-FE7CAADA75BF}"/>
    <cellStyle name="Normal 3 7 2 2 2 4 2 2" xfId="8323" xr:uid="{00C31ADD-AA64-479B-9B72-BE3928CCE980}"/>
    <cellStyle name="Normal 3 7 2 2 2 4 3" xfId="7015" xr:uid="{C757973A-0FE5-4A6C-AA62-1003B48B2E14}"/>
    <cellStyle name="Normal 3 7 2 2 2 5" xfId="4769" xr:uid="{CF06FF55-0172-4913-9812-EDE840BC3731}"/>
    <cellStyle name="Normal 3 7 2 2 2 5 2" xfId="7386" xr:uid="{13275A57-F2A2-4D72-A8A3-5EE2C1A714EB}"/>
    <cellStyle name="Normal 3 7 2 2 2 6" xfId="6078" xr:uid="{D514C5C4-33A8-4F44-AD0E-4CA766419903}"/>
    <cellStyle name="Normal 3 7 2 2 3" xfId="3568" xr:uid="{C7D6B39A-772D-4D3C-9D2F-8300C65922DB}"/>
    <cellStyle name="Normal 3 7 2 2 3 2" xfId="4058" xr:uid="{B022CE9B-9D1F-4A35-8D27-DD8485CAFB24}"/>
    <cellStyle name="Normal 3 7 2 2 3 2 2" xfId="5385" xr:uid="{36A120EC-1053-491D-910F-03569E83BB9E}"/>
    <cellStyle name="Normal 3 7 2 2 3 2 2 2" xfId="8002" xr:uid="{994946DC-8FE6-433E-88C6-2F45CBDED9BF}"/>
    <cellStyle name="Normal 3 7 2 2 3 2 3" xfId="6694" xr:uid="{49D35BB5-B309-402F-AA06-4090958C8B8D}"/>
    <cellStyle name="Normal 3 7 2 2 3 3" xfId="4913" xr:uid="{AF600CEE-FECE-47FA-89D1-50D2EC4067C5}"/>
    <cellStyle name="Normal 3 7 2 2 3 3 2" xfId="7530" xr:uid="{84909761-8793-4C75-972A-617C972F842F}"/>
    <cellStyle name="Normal 3 7 2 2 3 4" xfId="6222" xr:uid="{BC49B344-2617-45E2-99F5-E8BD1BD5BF80}"/>
    <cellStyle name="Normal 3 7 2 2 4" xfId="3829" xr:uid="{6308E4A3-21DD-4D48-B3A1-293F0E25FC94}"/>
    <cellStyle name="Normal 3 7 2 2 4 2" xfId="5156" xr:uid="{D97A3C81-8140-4A99-BBF0-460CF26E9961}"/>
    <cellStyle name="Normal 3 7 2 2 4 2 2" xfId="7773" xr:uid="{856470B3-FF5D-4BF5-A831-3C7722770586}"/>
    <cellStyle name="Normal 3 7 2 2 4 3" xfId="6465" xr:uid="{29004F92-5EF9-47AA-95DD-71D9FDF1BADD}"/>
    <cellStyle name="Normal 3 7 2 2 5" xfId="4294" xr:uid="{0C77B125-0E99-4E8A-A9D6-F31202BCAA28}"/>
    <cellStyle name="Normal 3 7 2 2 5 2" xfId="5621" xr:uid="{943FC35C-BAEB-4507-B2C1-F840FD0799F3}"/>
    <cellStyle name="Normal 3 7 2 2 5 2 2" xfId="8238" xr:uid="{F7817C4D-42F7-4941-B61C-66724B7E917E}"/>
    <cellStyle name="Normal 3 7 2 2 5 3" xfId="6930" xr:uid="{30A861AA-C868-4DD7-AECB-C931A8F4A3B4}"/>
    <cellStyle name="Normal 3 7 2 2 6" xfId="4684" xr:uid="{F6A55804-17DF-4DF7-859A-1086DF98D917}"/>
    <cellStyle name="Normal 3 7 2 2 6 2" xfId="7301" xr:uid="{A3130B04-949A-4E6E-90BD-20F93C4641CC}"/>
    <cellStyle name="Normal 3 7 2 2 7" xfId="5993" xr:uid="{6DA06BB1-BC46-4614-B6BC-6269585C5E6A}"/>
    <cellStyle name="Normal 3 7 2 3" xfId="3444" xr:uid="{67957013-F341-4E6C-A69B-0EDB178F8F47}"/>
    <cellStyle name="Normal 3 7 2 3 2" xfId="3709" xr:uid="{8200D914-E07F-4E54-A2AF-C55324BA3CCE}"/>
    <cellStyle name="Normal 3 7 2 3 2 2" xfId="4183" xr:uid="{7558CBBD-210B-44F2-9FBF-600564C4DDD3}"/>
    <cellStyle name="Normal 3 7 2 3 2 2 2" xfId="5510" xr:uid="{9EF2176B-6383-49FB-9221-CB0A38D37ADC}"/>
    <cellStyle name="Normal 3 7 2 3 2 2 2 2" xfId="8127" xr:uid="{51A21FA0-1ED1-4DC3-A04D-D8E868444513}"/>
    <cellStyle name="Normal 3 7 2 3 2 2 3" xfId="6819" xr:uid="{010D7462-A748-4036-B2BC-9809D53C058D}"/>
    <cellStyle name="Normal 3 7 2 3 2 3" xfId="5038" xr:uid="{D8C89496-0BA7-49A8-8CEF-BD8F59B031EA}"/>
    <cellStyle name="Normal 3 7 2 3 2 3 2" xfId="7655" xr:uid="{92C7F88D-AAFF-48C2-A86B-8D6D3F7C2ACC}"/>
    <cellStyle name="Normal 3 7 2 3 2 4" xfId="6347" xr:uid="{28E7F2D3-1CAB-4E15-81FD-1B352D36ABA3}"/>
    <cellStyle name="Normal 3 7 2 3 3" xfId="3954" xr:uid="{0DC1810E-E32E-469C-82D2-DC9B44CD9756}"/>
    <cellStyle name="Normal 3 7 2 3 3 2" xfId="5281" xr:uid="{852BAC33-F92E-41CA-A387-66ADB2BCF041}"/>
    <cellStyle name="Normal 3 7 2 3 3 2 2" xfId="7898" xr:uid="{0335DADF-EB7A-49F8-A083-51DFA477AAE5}"/>
    <cellStyle name="Normal 3 7 2 3 3 3" xfId="6590" xr:uid="{02853DF9-CCC9-4380-80FF-28A8D2A62470}"/>
    <cellStyle name="Normal 3 7 2 3 4" xfId="4419" xr:uid="{54C447AF-7089-40E2-B5E5-68483489A27C}"/>
    <cellStyle name="Normal 3 7 2 3 4 2" xfId="5746" xr:uid="{F567DE13-9B9A-4FE5-8F48-F19BF8DAF12E}"/>
    <cellStyle name="Normal 3 7 2 3 4 2 2" xfId="8363" xr:uid="{E50BC658-FA12-44ED-8960-8C1F938F1A97}"/>
    <cellStyle name="Normal 3 7 2 3 4 3" xfId="7055" xr:uid="{6AF2FB75-53A5-4A90-9264-1D1E593FE4CB}"/>
    <cellStyle name="Normal 3 7 2 3 5" xfId="4809" xr:uid="{3B493191-6981-4B36-8012-97D23C1280B1}"/>
    <cellStyle name="Normal 3 7 2 3 5 2" xfId="7426" xr:uid="{F642061E-8054-41F4-9587-D9EAE09DCC51}"/>
    <cellStyle name="Normal 3 7 2 3 6" xfId="6118" xr:uid="{52FE5C6B-8984-47F2-8C56-25DF82168330}"/>
    <cellStyle name="Normal 3 7 2 4" xfId="2944" xr:uid="{9C47C7AE-7CA9-4452-A77C-95B435A66C76}"/>
    <cellStyle name="Normal 3 7 2 4 2" xfId="3613" xr:uid="{31B6E725-703C-4DD5-95DA-D3E2F219BA7A}"/>
    <cellStyle name="Normal 3 7 2 4 2 2" xfId="4103" xr:uid="{A19EADA4-6679-41B0-B149-B1CD82A514F8}"/>
    <cellStyle name="Normal 3 7 2 4 2 2 2" xfId="5430" xr:uid="{87C105F3-684A-4ECD-B5CC-F7C0BEFE8735}"/>
    <cellStyle name="Normal 3 7 2 4 2 2 2 2" xfId="8047" xr:uid="{678D7847-ED74-4ED7-A6C2-B811DC23AD45}"/>
    <cellStyle name="Normal 3 7 2 4 2 2 3" xfId="6739" xr:uid="{8ABE079E-3981-43DC-AFC8-ECE95A516362}"/>
    <cellStyle name="Normal 3 7 2 4 2 3" xfId="4958" xr:uid="{EB2B41EC-9E1D-4EE0-A92C-EA1A74B50105}"/>
    <cellStyle name="Normal 3 7 2 4 2 3 2" xfId="7575" xr:uid="{43E5275F-A292-4C31-B3A0-44EF8D55187D}"/>
    <cellStyle name="Normal 3 7 2 4 2 4" xfId="6267" xr:uid="{AE15980B-8F56-48AD-9C41-3139C3460D8E}"/>
    <cellStyle name="Normal 3 7 2 4 3" xfId="3874" xr:uid="{EC205E9A-9F82-4BE9-90A7-8671EA9F86AB}"/>
    <cellStyle name="Normal 3 7 2 4 3 2" xfId="5201" xr:uid="{3C62EB13-504A-4BCF-A176-70249F5F6B2E}"/>
    <cellStyle name="Normal 3 7 2 4 3 2 2" xfId="7818" xr:uid="{4A43F06C-FEB4-4135-AC29-0F2198846EC5}"/>
    <cellStyle name="Normal 3 7 2 4 3 3" xfId="6510" xr:uid="{8E3F9469-591A-4EFF-A79A-945DB95B8C52}"/>
    <cellStyle name="Normal 3 7 2 4 4" xfId="4339" xr:uid="{30990F4E-87C6-4075-89D1-3E560958BBBB}"/>
    <cellStyle name="Normal 3 7 2 4 4 2" xfId="5666" xr:uid="{A14EE7E8-4964-4F59-AA8A-F584F3921716}"/>
    <cellStyle name="Normal 3 7 2 4 4 2 2" xfId="8283" xr:uid="{9FBF1BF8-A769-44DD-9655-3D73E39444EB}"/>
    <cellStyle name="Normal 3 7 2 4 4 3" xfId="6975" xr:uid="{A903B232-B546-4D02-A425-CD864A3F5E15}"/>
    <cellStyle name="Normal 3 7 2 4 5" xfId="4729" xr:uid="{E1074648-8DB8-4AC9-AEA1-71C8A212F7B3}"/>
    <cellStyle name="Normal 3 7 2 4 5 2" xfId="7346" xr:uid="{26643C6F-D174-4BFC-8670-BDD992EA8D61}"/>
    <cellStyle name="Normal 3 7 2 4 6" xfId="6038" xr:uid="{4D29B8CF-69AB-41E6-8686-73F1E3348835}"/>
    <cellStyle name="Normal 3 7 2 5" xfId="3523" xr:uid="{FC001EC6-1FFF-4CFF-87BE-A1DF17CEADBB}"/>
    <cellStyle name="Normal 3 7 2 5 2" xfId="4013" xr:uid="{CCADE0C5-9CFC-43C7-B407-75B18186668A}"/>
    <cellStyle name="Normal 3 7 2 5 2 2" xfId="5340" xr:uid="{E2AD276C-1EAF-4392-966F-3DCD805237CE}"/>
    <cellStyle name="Normal 3 7 2 5 2 2 2" xfId="7957" xr:uid="{11CC1A94-1F6A-4E65-A54A-3B1D63EAFF5E}"/>
    <cellStyle name="Normal 3 7 2 5 2 3" xfId="6649" xr:uid="{60F16863-04F4-4C27-8387-16ED09312644}"/>
    <cellStyle name="Normal 3 7 2 5 3" xfId="4490" xr:uid="{786B27D4-8292-438B-A4C4-CC18AA1AB365}"/>
    <cellStyle name="Normal 3 7 2 5 3 2" xfId="5799" xr:uid="{977BFCCE-E19D-4BD6-B3B0-DDEC2B2D3404}"/>
    <cellStyle name="Normal 3 7 2 5 3 2 2" xfId="8416" xr:uid="{7C248A6E-DECC-46E0-95F6-A12024734B05}"/>
    <cellStyle name="Normal 3 7 2 5 3 3" xfId="7108" xr:uid="{7AD05C8B-CB1F-432A-9365-6A6519EDB5B3}"/>
    <cellStyle name="Normal 3 7 2 5 4" xfId="4868" xr:uid="{3A7383DE-3CDE-487F-8AF3-1A71BCA99776}"/>
    <cellStyle name="Normal 3 7 2 5 4 2" xfId="7485" xr:uid="{173CA0ED-7CE4-412F-96F9-D15BE83D2E5B}"/>
    <cellStyle name="Normal 3 7 2 5 5" xfId="6177" xr:uid="{9F2EE982-6778-490B-B34C-D3D3C7F6D926}"/>
    <cellStyle name="Normal 3 7 2 6" xfId="3784" xr:uid="{DE40D4D0-760A-4619-A624-A74852DB2CDB}"/>
    <cellStyle name="Normal 3 7 2 6 2" xfId="4535" xr:uid="{4D9D738C-6238-4303-962A-EA78056EED0C}"/>
    <cellStyle name="Normal 3 7 2 6 2 2" xfId="5844" xr:uid="{C5263793-D5EF-42AA-9136-46E4F07616EA}"/>
    <cellStyle name="Normal 3 7 2 6 2 2 2" xfId="8461" xr:uid="{5568BC59-0C02-4703-9D11-EA8575FC6565}"/>
    <cellStyle name="Normal 3 7 2 6 2 3" xfId="7153" xr:uid="{6960B4F8-3D8A-4DD1-9702-55563C6EB677}"/>
    <cellStyle name="Normal 3 7 2 6 3" xfId="5111" xr:uid="{6465A10D-02BC-435B-8F7F-F51CB11AF009}"/>
    <cellStyle name="Normal 3 7 2 6 3 2" xfId="7728" xr:uid="{3575B95D-8917-4405-BB54-362773B1A151}"/>
    <cellStyle name="Normal 3 7 2 6 4" xfId="6420" xr:uid="{4159CEFD-9951-4C42-996D-9B73CB42417B}"/>
    <cellStyle name="Normal 3 7 2 7" xfId="4580" xr:uid="{B89EDE1E-F834-451B-9111-9A9C7153F005}"/>
    <cellStyle name="Normal 3 7 2 7 2" xfId="5889" xr:uid="{81F6115F-9510-4074-A310-7EA7D53F6865}"/>
    <cellStyle name="Normal 3 7 2 7 2 2" xfId="8506" xr:uid="{3EF03B34-9AFA-4C01-BF5D-8BA0656ABF1C}"/>
    <cellStyle name="Normal 3 7 2 7 3" xfId="7198" xr:uid="{69073AD9-2D74-406D-9953-F6D48272B329}"/>
    <cellStyle name="Normal 3 7 2 8" xfId="4249" xr:uid="{EEE29792-08AB-4BA2-A55F-D680C01E860E}"/>
    <cellStyle name="Normal 3 7 2 8 2" xfId="5576" xr:uid="{DB2983B5-4576-4BDE-87C8-18B8B9CD2126}"/>
    <cellStyle name="Normal 3 7 2 8 2 2" xfId="8193" xr:uid="{178ED1AA-E7C7-4409-BB14-A6E93F7D7FED}"/>
    <cellStyle name="Normal 3 7 2 8 3" xfId="6885" xr:uid="{2D9662DB-DD7F-4851-A6F6-6215F28665F8}"/>
    <cellStyle name="Normal 3 7 2 9" xfId="4639" xr:uid="{C03132FA-4E94-4082-A2D7-1B095C995F51}"/>
    <cellStyle name="Normal 3 7 2 9 2" xfId="7256" xr:uid="{52B5D2A7-CB08-4FF2-9AB1-30CD6410BBAC}"/>
    <cellStyle name="Normal 3 7 3" xfId="2882" xr:uid="{CAC8F409-912F-4248-A145-ECB4A69E53C0}"/>
    <cellStyle name="Normal 3 7 3 2" xfId="2967" xr:uid="{AD2F175F-6CE0-4BF1-89F7-8D6F4DAA212B}"/>
    <cellStyle name="Normal 3 7 3 2 2" xfId="3636" xr:uid="{444573FF-F4BC-490C-8DAC-4281FD2C5097}"/>
    <cellStyle name="Normal 3 7 3 2 2 2" xfId="4126" xr:uid="{CEFDD372-4200-47F9-BE7C-44C528904D7C}"/>
    <cellStyle name="Normal 3 7 3 2 2 2 2" xfId="5453" xr:uid="{0B50C330-FA85-4BF2-B8BF-91E0DB616800}"/>
    <cellStyle name="Normal 3 7 3 2 2 2 2 2" xfId="8070" xr:uid="{FE011C37-0457-4DAD-8C37-A5D483214816}"/>
    <cellStyle name="Normal 3 7 3 2 2 2 3" xfId="6762" xr:uid="{5C93DA92-B189-4F3E-BDA3-633FEF3F5200}"/>
    <cellStyle name="Normal 3 7 3 2 2 3" xfId="4981" xr:uid="{B9E6144F-6FEE-4990-874F-0D2F1936538F}"/>
    <cellStyle name="Normal 3 7 3 2 2 3 2" xfId="7598" xr:uid="{28E0D00E-D9BE-4B51-A3D2-11997B6DEB5E}"/>
    <cellStyle name="Normal 3 7 3 2 2 4" xfId="6290" xr:uid="{4FB1A404-8743-4522-9738-72E7F4CB0FB3}"/>
    <cellStyle name="Normal 3 7 3 2 3" xfId="3897" xr:uid="{8E027403-86DA-481A-A5DF-9889803ACFE9}"/>
    <cellStyle name="Normal 3 7 3 2 3 2" xfId="5224" xr:uid="{BCDD255F-4A5C-43E5-AD7A-EBB162FE40DE}"/>
    <cellStyle name="Normal 3 7 3 2 3 2 2" xfId="7841" xr:uid="{CF8B8C47-C363-4CE5-A4B3-56B704A451DE}"/>
    <cellStyle name="Normal 3 7 3 2 3 3" xfId="6533" xr:uid="{7195E7E5-6855-4044-A011-DA7BF8784F1C}"/>
    <cellStyle name="Normal 3 7 3 2 4" xfId="4362" xr:uid="{927C9333-D128-4E03-9237-1E9B1CE6751C}"/>
    <cellStyle name="Normal 3 7 3 2 4 2" xfId="5689" xr:uid="{34A15EEF-DDD6-4ED7-A7B8-F654CC4D0A13}"/>
    <cellStyle name="Normal 3 7 3 2 4 2 2" xfId="8306" xr:uid="{DBB65947-83B5-42D2-984E-5CF9C9738284}"/>
    <cellStyle name="Normal 3 7 3 2 4 3" xfId="6998" xr:uid="{F246A0A0-A583-46B6-AB9B-D662569A6A68}"/>
    <cellStyle name="Normal 3 7 3 2 5" xfId="4752" xr:uid="{2AE162A6-78B2-4795-8105-4FFAF04C4277}"/>
    <cellStyle name="Normal 3 7 3 2 5 2" xfId="7369" xr:uid="{56B094DA-82A3-446D-A6F9-C59F965CC6C0}"/>
    <cellStyle name="Normal 3 7 3 2 6" xfId="6061" xr:uid="{B49D2D67-2E4D-4772-B230-5947E5EB7ADE}"/>
    <cellStyle name="Normal 3 7 3 3" xfId="3551" xr:uid="{FD155A5A-1FB9-4188-A30F-4138488D7210}"/>
    <cellStyle name="Normal 3 7 3 3 2" xfId="4041" xr:uid="{9EEC9E2F-E661-4430-982C-C32265716901}"/>
    <cellStyle name="Normal 3 7 3 3 2 2" xfId="5368" xr:uid="{99F97D4C-2C51-40EF-BBAA-59845B984EFE}"/>
    <cellStyle name="Normal 3 7 3 3 2 2 2" xfId="7985" xr:uid="{301381FA-2A67-46B4-88BF-6F7500252180}"/>
    <cellStyle name="Normal 3 7 3 3 2 3" xfId="6677" xr:uid="{F5B00C75-2E8F-4FA4-B312-EBE6BFCBB7CA}"/>
    <cellStyle name="Normal 3 7 3 3 3" xfId="4896" xr:uid="{E13F9C2D-9416-47E8-AE40-7560C7AF33CB}"/>
    <cellStyle name="Normal 3 7 3 3 3 2" xfId="7513" xr:uid="{7077C945-A4E1-4D74-BC9E-B55B3D42CAA1}"/>
    <cellStyle name="Normal 3 7 3 3 4" xfId="6205" xr:uid="{030EFF2F-993F-4765-9314-83F1663898DA}"/>
    <cellStyle name="Normal 3 7 3 4" xfId="3812" xr:uid="{F46EE931-C20F-4E66-B3EF-C5F079019E3C}"/>
    <cellStyle name="Normal 3 7 3 4 2" xfId="5139" xr:uid="{BADDA6BD-BBDB-4B0D-95FC-72AC7DF353DC}"/>
    <cellStyle name="Normal 3 7 3 4 2 2" xfId="7756" xr:uid="{778F5B9B-62A3-4506-99EC-29DD9657DD29}"/>
    <cellStyle name="Normal 3 7 3 4 3" xfId="6448" xr:uid="{77FCF963-9C5E-4A24-B64B-2180615487E5}"/>
    <cellStyle name="Normal 3 7 3 5" xfId="4277" xr:uid="{6026A6D3-6C8D-49A3-B3B6-CCC7E7C5F89B}"/>
    <cellStyle name="Normal 3 7 3 5 2" xfId="5604" xr:uid="{0AEF732A-96D0-4147-9551-08FD023E2364}"/>
    <cellStyle name="Normal 3 7 3 5 2 2" xfId="8221" xr:uid="{53E28383-B5EF-4BE6-8744-40B419DE0910}"/>
    <cellStyle name="Normal 3 7 3 5 3" xfId="6913" xr:uid="{388A6DA5-D68C-40BB-A51F-3AB1DE1A79FA}"/>
    <cellStyle name="Normal 3 7 3 6" xfId="4667" xr:uid="{D8037028-4E62-4D2A-BBB2-3EFAF16D547B}"/>
    <cellStyle name="Normal 3 7 3 6 2" xfId="7284" xr:uid="{4E9DF25F-3A77-4C6F-A249-1F890191A082}"/>
    <cellStyle name="Normal 3 7 3 7" xfId="5976" xr:uid="{3E43989F-C9C4-4491-99E0-8D76B1AA3542}"/>
    <cellStyle name="Normal 3 7 4" xfId="3023" xr:uid="{17C3627A-5390-4086-994A-FC055B3E2812}"/>
    <cellStyle name="Normal 3 7 4 2" xfId="3692" xr:uid="{60957BF5-3C0E-48DB-BEAA-33FBC66548BE}"/>
    <cellStyle name="Normal 3 7 4 2 2" xfId="4166" xr:uid="{969A08C7-34BD-4015-AA7F-54CAE51C60AC}"/>
    <cellStyle name="Normal 3 7 4 2 2 2" xfId="5493" xr:uid="{8282E903-BAA1-440D-AF6C-283748E633A0}"/>
    <cellStyle name="Normal 3 7 4 2 2 2 2" xfId="8110" xr:uid="{CA4374F2-58D8-4CEB-B4AA-D9CB379F07B4}"/>
    <cellStyle name="Normal 3 7 4 2 2 3" xfId="6802" xr:uid="{3C386304-4FC5-4602-8FD5-53C9EB4352B1}"/>
    <cellStyle name="Normal 3 7 4 2 3" xfId="5021" xr:uid="{9726ED94-8322-408C-8F5E-6264F7D4312D}"/>
    <cellStyle name="Normal 3 7 4 2 3 2" xfId="7638" xr:uid="{50D76A55-33E1-4018-AB30-AECDE26EAEF0}"/>
    <cellStyle name="Normal 3 7 4 2 4" xfId="6330" xr:uid="{B89E5DB8-78BD-43A5-B131-B9D39C0D0EA8}"/>
    <cellStyle name="Normal 3 7 4 3" xfId="3937" xr:uid="{F2FAEB19-E3A0-4E7E-859F-34DB2D813DF4}"/>
    <cellStyle name="Normal 3 7 4 3 2" xfId="5264" xr:uid="{6DADA951-6DAA-4083-A6A7-74FC9A068027}"/>
    <cellStyle name="Normal 3 7 4 3 2 2" xfId="7881" xr:uid="{08517030-8238-4498-AB89-AC08822E1E69}"/>
    <cellStyle name="Normal 3 7 4 3 3" xfId="6573" xr:uid="{475F414A-EA96-424B-9D72-FF3C29B45314}"/>
    <cellStyle name="Normal 3 7 4 4" xfId="4402" xr:uid="{F85AEBA8-A193-4B21-8A6D-3396FF5613D3}"/>
    <cellStyle name="Normal 3 7 4 4 2" xfId="5729" xr:uid="{0627D39A-50AD-4F9B-A918-B28BD0217D80}"/>
    <cellStyle name="Normal 3 7 4 4 2 2" xfId="8346" xr:uid="{7C531084-0DB1-4F7A-8442-4A8074AFDF1F}"/>
    <cellStyle name="Normal 3 7 4 4 3" xfId="7038" xr:uid="{481051D4-A243-484B-8578-218C5366384E}"/>
    <cellStyle name="Normal 3 7 4 5" xfId="4792" xr:uid="{BE94BC14-EB1D-49D5-96A3-762A5AA533A8}"/>
    <cellStyle name="Normal 3 7 4 5 2" xfId="7409" xr:uid="{FCF3E056-2E18-4127-A092-D8B65413C902}"/>
    <cellStyle name="Normal 3 7 4 6" xfId="6101" xr:uid="{C29A4DE0-445C-426F-BB7B-1CEC4346797F}"/>
    <cellStyle name="Normal 3 7 5" xfId="2927" xr:uid="{F7BA3C64-391D-4B30-ACDD-3661ABDF053D}"/>
    <cellStyle name="Normal 3 7 5 2" xfId="3596" xr:uid="{FEF7B1B7-3C7A-4C91-A177-C9900B215FC2}"/>
    <cellStyle name="Normal 3 7 5 2 2" xfId="4086" xr:uid="{0F93DB9E-2BBB-4B9D-AB63-FA44FD2A7312}"/>
    <cellStyle name="Normal 3 7 5 2 2 2" xfId="5413" xr:uid="{A8DED7FB-3B14-4B40-896C-542E16020AB1}"/>
    <cellStyle name="Normal 3 7 5 2 2 2 2" xfId="8030" xr:uid="{5747E175-F0EC-4D02-B032-C0F12A55DECF}"/>
    <cellStyle name="Normal 3 7 5 2 2 3" xfId="6722" xr:uid="{C4EA33C3-4FBF-4180-B119-40DC28BCDB44}"/>
    <cellStyle name="Normal 3 7 5 2 3" xfId="4941" xr:uid="{3F73DBDC-A69C-4108-A189-9CEDF9B5BC02}"/>
    <cellStyle name="Normal 3 7 5 2 3 2" xfId="7558" xr:uid="{CB2CF4CC-76B9-4354-B482-E91F49D26730}"/>
    <cellStyle name="Normal 3 7 5 2 4" xfId="6250" xr:uid="{DF1A705B-116E-4F9C-B349-6FA78727E2EB}"/>
    <cellStyle name="Normal 3 7 5 3" xfId="3857" xr:uid="{78CBD034-300F-4242-A48C-7D125E48C58D}"/>
    <cellStyle name="Normal 3 7 5 3 2" xfId="5184" xr:uid="{E99A29AA-07D5-4CDC-8B1D-223736FFADCC}"/>
    <cellStyle name="Normal 3 7 5 3 2 2" xfId="7801" xr:uid="{3FC345BD-270D-4F42-B717-B5C757270DF2}"/>
    <cellStyle name="Normal 3 7 5 3 3" xfId="6493" xr:uid="{B9586013-C631-43C3-84AF-8848A9D17281}"/>
    <cellStyle name="Normal 3 7 5 4" xfId="4322" xr:uid="{E142CC3B-7D77-46DC-9306-04F02C3ED1AE}"/>
    <cellStyle name="Normal 3 7 5 4 2" xfId="5649" xr:uid="{BC0C267E-9541-4BFC-87C6-519FE29B485D}"/>
    <cellStyle name="Normal 3 7 5 4 2 2" xfId="8266" xr:uid="{694AEA94-E258-4F7F-8B63-14CCF2AB0763}"/>
    <cellStyle name="Normal 3 7 5 4 3" xfId="6958" xr:uid="{38191684-5714-4B85-91FD-D0212FD5A2DC}"/>
    <cellStyle name="Normal 3 7 5 5" xfId="4712" xr:uid="{A385F66D-83A1-4F11-9537-9C1B6382B45B}"/>
    <cellStyle name="Normal 3 7 5 5 2" xfId="7329" xr:uid="{F0A5822F-C30F-4C0E-84B3-8825504529C7}"/>
    <cellStyle name="Normal 3 7 5 6" xfId="6021" xr:uid="{3DB079EF-D167-43AD-8364-DC804DBDA801}"/>
    <cellStyle name="Normal 3 7 6" xfId="3506" xr:uid="{C85A07FA-469B-4060-A313-D5D1D97E3931}"/>
    <cellStyle name="Normal 3 7 6 2" xfId="3996" xr:uid="{8D117E4E-17B2-420B-89EF-3EBFD07E0D70}"/>
    <cellStyle name="Normal 3 7 6 2 2" xfId="5323" xr:uid="{42AA56E1-DEBF-4A52-9C48-F001CAB5E10F}"/>
    <cellStyle name="Normal 3 7 6 2 2 2" xfId="7940" xr:uid="{344FB331-A574-4685-95F6-A64BC59C8A50}"/>
    <cellStyle name="Normal 3 7 6 2 3" xfId="6632" xr:uid="{9201E7B5-5FE2-47E8-B266-3DAC117DF77A}"/>
    <cellStyle name="Normal 3 7 6 3" xfId="4455" xr:uid="{C9F9ED18-6075-4CDA-A058-261072A0E4D3}"/>
    <cellStyle name="Normal 3 7 6 3 2" xfId="5782" xr:uid="{441BC9E1-1A3F-4317-93D5-BB22515030AC}"/>
    <cellStyle name="Normal 3 7 6 3 2 2" xfId="8399" xr:uid="{0480F7A2-174A-4966-9CA6-A83B7C19EEC1}"/>
    <cellStyle name="Normal 3 7 6 3 3" xfId="7091" xr:uid="{752C6356-2459-4FD8-B095-9235FF7F2B4D}"/>
    <cellStyle name="Normal 3 7 6 4" xfId="4851" xr:uid="{95982B54-0C9C-48DC-B318-EC4B6D36DF52}"/>
    <cellStyle name="Normal 3 7 6 4 2" xfId="7468" xr:uid="{10F73636-0F98-4790-9CE3-4866FAD3C688}"/>
    <cellStyle name="Normal 3 7 6 5" xfId="6160" xr:uid="{77D7686B-30E5-4662-ABE1-F9C2999EB3DE}"/>
    <cellStyle name="Normal 3 7 7" xfId="3767" xr:uid="{508A3FA0-B6C5-4237-9F36-306831D8A9AF}"/>
    <cellStyle name="Normal 3 7 7 2" xfId="4518" xr:uid="{B6D12766-6779-49DA-8818-6FFECCF3526D}"/>
    <cellStyle name="Normal 3 7 7 2 2" xfId="5827" xr:uid="{EC3B6299-418F-4724-9677-4B254EDEFA7E}"/>
    <cellStyle name="Normal 3 7 7 2 2 2" xfId="8444" xr:uid="{91D7AE8E-DAB3-40A4-90C1-8144221BE957}"/>
    <cellStyle name="Normal 3 7 7 2 3" xfId="7136" xr:uid="{78A89BD4-08EB-422B-95F6-0DEDBEBF4B01}"/>
    <cellStyle name="Normal 3 7 7 3" xfId="5094" xr:uid="{C0795EA8-F206-482E-9AE4-B13EB7231E79}"/>
    <cellStyle name="Normal 3 7 7 3 2" xfId="7711" xr:uid="{D2D1B8B5-59D5-4D6A-B339-08DBA3A42533}"/>
    <cellStyle name="Normal 3 7 7 4" xfId="6403" xr:uid="{614C3E36-759B-4C1C-9593-E031C03D5A4E}"/>
    <cellStyle name="Normal 3 7 8" xfId="4563" xr:uid="{21E0A888-8C46-4799-B2A1-7EDE8D41B96B}"/>
    <cellStyle name="Normal 3 7 8 2" xfId="5872" xr:uid="{1B358F18-5EBB-4650-B3D4-7135A404FCBF}"/>
    <cellStyle name="Normal 3 7 8 2 2" xfId="8489" xr:uid="{6ED19B06-D2CD-4C47-B28B-21DF25B747A0}"/>
    <cellStyle name="Normal 3 7 8 3" xfId="7181" xr:uid="{247AB727-E948-4111-9A93-3924677DD518}"/>
    <cellStyle name="Normal 3 7 9" xfId="4232" xr:uid="{7D985168-FD50-40AB-A5D6-DA6AB56FE9ED}"/>
    <cellStyle name="Normal 3 7 9 2" xfId="5559" xr:uid="{AA48428C-7099-4B5E-85A5-BA093FEFBF53}"/>
    <cellStyle name="Normal 3 7 9 2 2" xfId="8176" xr:uid="{41687166-D586-4F38-BC4B-FF71B3A8EA2D}"/>
    <cellStyle name="Normal 3 7 9 3" xfId="6868" xr:uid="{F1DE9634-B73D-4BD1-BED2-6E04C20DB7E7}"/>
    <cellStyle name="Normal 3 8" xfId="35" xr:uid="{E9F39955-6C94-407F-81B2-A4211A91662D}"/>
    <cellStyle name="Normal 3 8 10" xfId="4621" xr:uid="{F0A8E8E2-B9A7-4AD4-94D0-0105E76A9B30}"/>
    <cellStyle name="Normal 3 8 10 2" xfId="7238" xr:uid="{0BD15AF5-7842-4909-8A5E-70FB68AECACA}"/>
    <cellStyle name="Normal 3 8 11" xfId="5930" xr:uid="{927E46A5-2629-4884-90E0-29EC9CE6F5FF}"/>
    <cellStyle name="Normal 3 8 2" xfId="2851" xr:uid="{DD8B0C39-F2D8-46C8-BCB6-636FF37CC129}"/>
    <cellStyle name="Normal 3 8 2 10" xfId="5947" xr:uid="{482DA4BF-16F6-4870-9658-16650C124704}"/>
    <cellStyle name="Normal 3 8 2 2" xfId="2898" xr:uid="{E5834BE7-BC54-4710-ADEA-A1AC485B7A8C}"/>
    <cellStyle name="Normal 3 8 2 2 2" xfId="2999" xr:uid="{317EF086-021B-48C5-8624-6D888EBC4210}"/>
    <cellStyle name="Normal 3 8 2 2 2 2" xfId="3668" xr:uid="{8FD268C5-76E1-488F-A4EF-E5B6C140CC1C}"/>
    <cellStyle name="Normal 3 8 2 2 2 2 2" xfId="4142" xr:uid="{33BEDC15-4062-4668-A31D-DCBDF1F05F31}"/>
    <cellStyle name="Normal 3 8 2 2 2 2 2 2" xfId="5469" xr:uid="{F40957C6-4743-4E1B-922B-C18284A310AD}"/>
    <cellStyle name="Normal 3 8 2 2 2 2 2 2 2" xfId="8086" xr:uid="{6A8D4446-BD51-460A-8A06-B77165E38154}"/>
    <cellStyle name="Normal 3 8 2 2 2 2 2 3" xfId="6778" xr:uid="{42F10CE0-C3A4-4539-9E43-DABAFF250EB7}"/>
    <cellStyle name="Normal 3 8 2 2 2 2 3" xfId="4997" xr:uid="{47FF0D91-65B7-477D-8CA9-DB63F6EE2882}"/>
    <cellStyle name="Normal 3 8 2 2 2 2 3 2" xfId="7614" xr:uid="{6A39C03F-762D-49A2-8E72-7DC11DAD4DC7}"/>
    <cellStyle name="Normal 3 8 2 2 2 2 4" xfId="6306" xr:uid="{20D2ECEB-77EE-4A17-B882-26CA11B79699}"/>
    <cellStyle name="Normal 3 8 2 2 2 3" xfId="3913" xr:uid="{4450FB5C-FE1F-4C0B-A989-6F66B811719B}"/>
    <cellStyle name="Normal 3 8 2 2 2 3 2" xfId="5240" xr:uid="{C0802132-EBC4-423E-8729-3A35F48A66A6}"/>
    <cellStyle name="Normal 3 8 2 2 2 3 2 2" xfId="7857" xr:uid="{653702EA-956C-4429-B3F6-848CDC19DF2E}"/>
    <cellStyle name="Normal 3 8 2 2 2 3 3" xfId="6549" xr:uid="{63C7FE5A-5BC7-48B3-9F87-FED1026B8AA2}"/>
    <cellStyle name="Normal 3 8 2 2 2 4" xfId="4378" xr:uid="{F3BBC343-0226-4772-9E9C-34D9A057535E}"/>
    <cellStyle name="Normal 3 8 2 2 2 4 2" xfId="5705" xr:uid="{8C42A112-4B7E-4966-BEDB-28F51330F4C5}"/>
    <cellStyle name="Normal 3 8 2 2 2 4 2 2" xfId="8322" xr:uid="{4EFEBAF1-0869-4826-B32B-C45BE3B10014}"/>
    <cellStyle name="Normal 3 8 2 2 2 4 3" xfId="7014" xr:uid="{0553BFD1-DD37-4612-9AEE-469DFDF135B9}"/>
    <cellStyle name="Normal 3 8 2 2 2 5" xfId="4768" xr:uid="{D5CDDF82-A111-4761-8CCF-5085B332C4FB}"/>
    <cellStyle name="Normal 3 8 2 2 2 5 2" xfId="7385" xr:uid="{84A8424D-F27B-42A3-B46F-88EC7C699B8C}"/>
    <cellStyle name="Normal 3 8 2 2 2 6" xfId="6077" xr:uid="{83C698C5-95B9-405B-AED0-8D7943E363C1}"/>
    <cellStyle name="Normal 3 8 2 2 3" xfId="3567" xr:uid="{660FA052-BE0C-4619-814C-B0B964F6E8D1}"/>
    <cellStyle name="Normal 3 8 2 2 3 2" xfId="4057" xr:uid="{38A1A78A-5879-46F7-879C-0C2A52198240}"/>
    <cellStyle name="Normal 3 8 2 2 3 2 2" xfId="5384" xr:uid="{378A6896-11FA-41C8-8C96-A1CF4E0C9E14}"/>
    <cellStyle name="Normal 3 8 2 2 3 2 2 2" xfId="8001" xr:uid="{9CD44BD4-82C2-4FD9-A5DF-2349D252270F}"/>
    <cellStyle name="Normal 3 8 2 2 3 2 3" xfId="6693" xr:uid="{64A487FA-523B-4DB4-903B-70863B0A0451}"/>
    <cellStyle name="Normal 3 8 2 2 3 3" xfId="4912" xr:uid="{34475CC8-4A07-4F48-A71B-A2603AE7F156}"/>
    <cellStyle name="Normal 3 8 2 2 3 3 2" xfId="7529" xr:uid="{9807907D-72FB-43AC-B201-67723CA89898}"/>
    <cellStyle name="Normal 3 8 2 2 3 4" xfId="6221" xr:uid="{0DD6D6C5-7F0B-4DE9-9667-5A5761DE62F1}"/>
    <cellStyle name="Normal 3 8 2 2 4" xfId="3828" xr:uid="{7BAB92F7-5769-4E3C-A96B-E199332A6D6E}"/>
    <cellStyle name="Normal 3 8 2 2 4 2" xfId="5155" xr:uid="{CD61B803-68AC-46E3-90EA-4C1D28421631}"/>
    <cellStyle name="Normal 3 8 2 2 4 2 2" xfId="7772" xr:uid="{E4B6959D-D4FA-4DCB-81CB-0B8D0A1402BC}"/>
    <cellStyle name="Normal 3 8 2 2 4 3" xfId="6464" xr:uid="{2A4839D3-9971-4249-9D55-A736512F6AC9}"/>
    <cellStyle name="Normal 3 8 2 2 5" xfId="4293" xr:uid="{FB60579D-4770-4856-A330-E6DFC64A41F4}"/>
    <cellStyle name="Normal 3 8 2 2 5 2" xfId="5620" xr:uid="{B3C5682A-6871-4834-AACA-E6BACAC82BAF}"/>
    <cellStyle name="Normal 3 8 2 2 5 2 2" xfId="8237" xr:uid="{2028FA55-7EE9-4799-88B7-C5BF358D2F42}"/>
    <cellStyle name="Normal 3 8 2 2 5 3" xfId="6929" xr:uid="{F2C01553-EDD4-45E6-A567-46EE2B2BE970}"/>
    <cellStyle name="Normal 3 8 2 2 6" xfId="4683" xr:uid="{66FD6D19-2D6B-4E9D-8D36-B31FA0E2E884}"/>
    <cellStyle name="Normal 3 8 2 2 6 2" xfId="7300" xr:uid="{8FE62291-5BCC-47D3-BA65-F0756DFE8E38}"/>
    <cellStyle name="Normal 3 8 2 2 7" xfId="5992" xr:uid="{CBE32994-33DB-433F-AE1E-5D55A11ED937}"/>
    <cellStyle name="Normal 3 8 2 3" xfId="3443" xr:uid="{674C9D59-715E-492F-A955-8D053C361483}"/>
    <cellStyle name="Normal 3 8 2 3 2" xfId="3708" xr:uid="{E2CA6EA0-C2D0-4FF4-8419-F505D58A1287}"/>
    <cellStyle name="Normal 3 8 2 3 2 2" xfId="4182" xr:uid="{01B3F40D-D310-40AC-B2FA-CE871A2F0F57}"/>
    <cellStyle name="Normal 3 8 2 3 2 2 2" xfId="5509" xr:uid="{1C502893-BF32-4807-B652-227B130DA6A2}"/>
    <cellStyle name="Normal 3 8 2 3 2 2 2 2" xfId="8126" xr:uid="{83A7A7B4-4F30-4CC5-A8A5-E6DB285EABBE}"/>
    <cellStyle name="Normal 3 8 2 3 2 2 3" xfId="6818" xr:uid="{2BEC2D3C-BA24-4AA1-A2CF-172385A779D3}"/>
    <cellStyle name="Normal 3 8 2 3 2 3" xfId="5037" xr:uid="{0B475120-7BBE-4031-9715-57037F5DF08F}"/>
    <cellStyle name="Normal 3 8 2 3 2 3 2" xfId="7654" xr:uid="{A2070205-7C8F-4603-BB08-0AC0FC9DD117}"/>
    <cellStyle name="Normal 3 8 2 3 2 4" xfId="6346" xr:uid="{049C090B-F373-4B08-BD94-4B5A74EC5BEE}"/>
    <cellStyle name="Normal 3 8 2 3 3" xfId="3953" xr:uid="{25C0F45B-BB88-4D40-ACD4-3B000E1C8952}"/>
    <cellStyle name="Normal 3 8 2 3 3 2" xfId="5280" xr:uid="{A1FA9546-9B93-41DC-BCB4-67B66019C2CB}"/>
    <cellStyle name="Normal 3 8 2 3 3 2 2" xfId="7897" xr:uid="{835AA8A8-4866-4681-BD29-99E0C6A22AB3}"/>
    <cellStyle name="Normal 3 8 2 3 3 3" xfId="6589" xr:uid="{DC24497B-438D-4436-B417-E72CED44BFA3}"/>
    <cellStyle name="Normal 3 8 2 3 4" xfId="4418" xr:uid="{683F3682-0DE6-4F6B-8D2F-80714D2EC3A7}"/>
    <cellStyle name="Normal 3 8 2 3 4 2" xfId="5745" xr:uid="{B7B48728-353D-4871-85CD-B8B9182E34C1}"/>
    <cellStyle name="Normal 3 8 2 3 4 2 2" xfId="8362" xr:uid="{8A4FF39E-DBEF-40C0-BEF4-7A8CDAD0EE26}"/>
    <cellStyle name="Normal 3 8 2 3 4 3" xfId="7054" xr:uid="{CA996892-BBA1-4A6B-903A-E0CFB90DEC80}"/>
    <cellStyle name="Normal 3 8 2 3 5" xfId="4808" xr:uid="{9516AD47-AD18-4650-9E0F-2BE23FE51AA5}"/>
    <cellStyle name="Normal 3 8 2 3 5 2" xfId="7425" xr:uid="{2714B1B5-7855-49BC-8207-4CAD6ACB9371}"/>
    <cellStyle name="Normal 3 8 2 3 6" xfId="6117" xr:uid="{2C44FC9C-E1ED-4997-9C16-DB6488DB0CC0}"/>
    <cellStyle name="Normal 3 8 2 4" xfId="2943" xr:uid="{A5926E68-6E3A-4F69-A50C-5F3732548537}"/>
    <cellStyle name="Normal 3 8 2 4 2" xfId="3612" xr:uid="{426E6E58-B351-40DF-B238-9CB13D60576D}"/>
    <cellStyle name="Normal 3 8 2 4 2 2" xfId="4102" xr:uid="{DD4EAE94-E915-4998-A8C9-0336FC22B853}"/>
    <cellStyle name="Normal 3 8 2 4 2 2 2" xfId="5429" xr:uid="{A21D9E3D-D6C1-4B5C-9AC1-FF12A038C224}"/>
    <cellStyle name="Normal 3 8 2 4 2 2 2 2" xfId="8046" xr:uid="{D1792456-CA88-47A4-B346-E2CCD938F2F6}"/>
    <cellStyle name="Normal 3 8 2 4 2 2 3" xfId="6738" xr:uid="{81213948-CECA-4DC8-99D9-AE33021DA89A}"/>
    <cellStyle name="Normal 3 8 2 4 2 3" xfId="4957" xr:uid="{5CC11DFF-D59F-4C7D-91EE-88B60C15FAFD}"/>
    <cellStyle name="Normal 3 8 2 4 2 3 2" xfId="7574" xr:uid="{DEA1A854-4B9E-4F84-9E24-1D106DB94B3C}"/>
    <cellStyle name="Normal 3 8 2 4 2 4" xfId="6266" xr:uid="{E61EC50E-8978-4728-BB27-05A7A1A72CC9}"/>
    <cellStyle name="Normal 3 8 2 4 3" xfId="3873" xr:uid="{02EC2BEF-E33E-48EB-9B74-8210AA60AC5F}"/>
    <cellStyle name="Normal 3 8 2 4 3 2" xfId="5200" xr:uid="{8FBC9407-873D-4774-B658-B90A921ACE7C}"/>
    <cellStyle name="Normal 3 8 2 4 3 2 2" xfId="7817" xr:uid="{AE32AF18-5769-4EC7-80E7-22CD5E265E95}"/>
    <cellStyle name="Normal 3 8 2 4 3 3" xfId="6509" xr:uid="{CB7C132A-CCE5-4817-A3CC-0F46F2A31531}"/>
    <cellStyle name="Normal 3 8 2 4 4" xfId="4338" xr:uid="{D62A233F-4FD9-4158-B509-5A7621241F66}"/>
    <cellStyle name="Normal 3 8 2 4 4 2" xfId="5665" xr:uid="{E07710B4-35B9-4E86-A9FC-8F1D1635CEC0}"/>
    <cellStyle name="Normal 3 8 2 4 4 2 2" xfId="8282" xr:uid="{013D6FE4-C986-4B03-BEBC-3129AAB5367E}"/>
    <cellStyle name="Normal 3 8 2 4 4 3" xfId="6974" xr:uid="{A545B6AF-2108-4767-A982-1E4FBB709F01}"/>
    <cellStyle name="Normal 3 8 2 4 5" xfId="4728" xr:uid="{B3103A8E-15FE-41D5-AE90-E750D25E0F06}"/>
    <cellStyle name="Normal 3 8 2 4 5 2" xfId="7345" xr:uid="{FA7049C0-038D-4618-9020-667776A8A685}"/>
    <cellStyle name="Normal 3 8 2 4 6" xfId="6037" xr:uid="{944444D7-A6C0-48C0-804A-DA3DB859CA40}"/>
    <cellStyle name="Normal 3 8 2 5" xfId="3522" xr:uid="{979A876D-B891-40C7-82DA-3DA04C5FC453}"/>
    <cellStyle name="Normal 3 8 2 5 2" xfId="4012" xr:uid="{E81AD130-D176-420D-AA7B-B9521D703937}"/>
    <cellStyle name="Normal 3 8 2 5 2 2" xfId="5339" xr:uid="{6AEB0B54-15CD-4040-BA75-0D46E1049E43}"/>
    <cellStyle name="Normal 3 8 2 5 2 2 2" xfId="7956" xr:uid="{D8E8148D-7739-40A6-9607-50D5510858BF}"/>
    <cellStyle name="Normal 3 8 2 5 2 3" xfId="6648" xr:uid="{15226027-11AE-40EF-A112-5C3E03A7AFCE}"/>
    <cellStyle name="Normal 3 8 2 5 3" xfId="4489" xr:uid="{7F2AB4D4-91CC-44EF-848A-A3940D900B16}"/>
    <cellStyle name="Normal 3 8 2 5 3 2" xfId="5798" xr:uid="{B4555035-E133-4F8E-83E0-64FB3C3F77D5}"/>
    <cellStyle name="Normal 3 8 2 5 3 2 2" xfId="8415" xr:uid="{BB2CFCE6-7002-4FFD-AE0E-0DE73714EF53}"/>
    <cellStyle name="Normal 3 8 2 5 3 3" xfId="7107" xr:uid="{2BC8A174-0B04-4D75-A1F7-EEA7A204DE71}"/>
    <cellStyle name="Normal 3 8 2 5 4" xfId="4867" xr:uid="{E0134837-EDA4-4925-93A1-3DD0E4769959}"/>
    <cellStyle name="Normal 3 8 2 5 4 2" xfId="7484" xr:uid="{9B486428-EA0F-42D4-A64D-2BAF17601920}"/>
    <cellStyle name="Normal 3 8 2 5 5" xfId="6176" xr:uid="{8FA6E986-91D4-41F6-A0F6-917BBC072CF4}"/>
    <cellStyle name="Normal 3 8 2 6" xfId="3783" xr:uid="{119BCA1C-48B3-4998-9E5D-89389EBDCC52}"/>
    <cellStyle name="Normal 3 8 2 6 2" xfId="4534" xr:uid="{E26B9D54-C444-4FEA-B508-7E022F4E8C46}"/>
    <cellStyle name="Normal 3 8 2 6 2 2" xfId="5843" xr:uid="{81711E03-7E26-42AE-BE8A-8C757B3536C6}"/>
    <cellStyle name="Normal 3 8 2 6 2 2 2" xfId="8460" xr:uid="{555352C0-2F58-4553-B13C-397D7A70E4A3}"/>
    <cellStyle name="Normal 3 8 2 6 2 3" xfId="7152" xr:uid="{1679BE71-12F8-4D5D-82B9-1B88216D4C2B}"/>
    <cellStyle name="Normal 3 8 2 6 3" xfId="5110" xr:uid="{FC288E86-91C4-4494-8FA8-AB2BA4CD7A3D}"/>
    <cellStyle name="Normal 3 8 2 6 3 2" xfId="7727" xr:uid="{409329A6-C09E-4E93-A024-1226F83B3133}"/>
    <cellStyle name="Normal 3 8 2 6 4" xfId="6419" xr:uid="{AEADC65B-1F87-4654-B581-65F8118E224B}"/>
    <cellStyle name="Normal 3 8 2 7" xfId="4579" xr:uid="{D95466EB-E75E-4371-8EBF-F2EB1782E930}"/>
    <cellStyle name="Normal 3 8 2 7 2" xfId="5888" xr:uid="{540A8B53-78E1-4F97-A64D-50DCFB5E7BBE}"/>
    <cellStyle name="Normal 3 8 2 7 2 2" xfId="8505" xr:uid="{EEF80EC1-0F64-4EDA-A17F-C953D8DAF7E9}"/>
    <cellStyle name="Normal 3 8 2 7 3" xfId="7197" xr:uid="{6D899897-77CA-4C5B-A6EE-CB4AB28CE910}"/>
    <cellStyle name="Normal 3 8 2 8" xfId="4248" xr:uid="{10D6764B-8C10-47E3-9747-1D45DB142C14}"/>
    <cellStyle name="Normal 3 8 2 8 2" xfId="5575" xr:uid="{09817452-21E9-49BE-B799-904FFA1B8CB9}"/>
    <cellStyle name="Normal 3 8 2 8 2 2" xfId="8192" xr:uid="{B2DF953C-DBAE-4165-8159-094B99D01CD8}"/>
    <cellStyle name="Normal 3 8 2 8 3" xfId="6884" xr:uid="{F15289F1-6594-48AE-9642-DD8CFE662F93}"/>
    <cellStyle name="Normal 3 8 2 9" xfId="4638" xr:uid="{2AA8BCF6-75E5-4F17-B687-F699C7969114}"/>
    <cellStyle name="Normal 3 8 2 9 2" xfId="7255" xr:uid="{A2EF00E5-7DC0-449D-B755-FCA145EBD081}"/>
    <cellStyle name="Normal 3 8 3" xfId="2881" xr:uid="{2A6C37F5-3EAB-4641-9972-109045CFDB2E}"/>
    <cellStyle name="Normal 3 8 3 2" xfId="2966" xr:uid="{AFE56341-50A2-420E-881F-FFFAAFB96C76}"/>
    <cellStyle name="Normal 3 8 3 2 2" xfId="3635" xr:uid="{561A7084-8F92-4AFE-B823-304C3BC04B2F}"/>
    <cellStyle name="Normal 3 8 3 2 2 2" xfId="4125" xr:uid="{B40DD633-953B-41B2-95D5-91520F36C7BE}"/>
    <cellStyle name="Normal 3 8 3 2 2 2 2" xfId="5452" xr:uid="{0A584898-C796-46CE-884D-AD231E31981C}"/>
    <cellStyle name="Normal 3 8 3 2 2 2 2 2" xfId="8069" xr:uid="{83F2DE59-3C5E-4608-A15F-FC3797A35EF9}"/>
    <cellStyle name="Normal 3 8 3 2 2 2 3" xfId="6761" xr:uid="{2468278A-0A27-4045-ACF9-6CFE421496CB}"/>
    <cellStyle name="Normal 3 8 3 2 2 3" xfId="4980" xr:uid="{F8CDAB52-C88C-4491-AE88-4DAE9155784A}"/>
    <cellStyle name="Normal 3 8 3 2 2 3 2" xfId="7597" xr:uid="{614A4499-D92A-4A7A-8734-E72736109BB3}"/>
    <cellStyle name="Normal 3 8 3 2 2 4" xfId="6289" xr:uid="{185861FF-0A7F-46AC-8AEF-B0D623E5878A}"/>
    <cellStyle name="Normal 3 8 3 2 3" xfId="3896" xr:uid="{45777B8E-CC48-441F-9DAC-87326D797CC5}"/>
    <cellStyle name="Normal 3 8 3 2 3 2" xfId="5223" xr:uid="{C1382F41-5977-4BA0-BE1D-574FC554B196}"/>
    <cellStyle name="Normal 3 8 3 2 3 2 2" xfId="7840" xr:uid="{C7238A03-CAC1-47A3-BFB5-E1ED3B5D87F4}"/>
    <cellStyle name="Normal 3 8 3 2 3 3" xfId="6532" xr:uid="{A0EBCAFF-C15E-4671-9992-82651093B5FF}"/>
    <cellStyle name="Normal 3 8 3 2 4" xfId="4361" xr:uid="{34FCD195-48FC-40A7-A8F4-806097330B44}"/>
    <cellStyle name="Normal 3 8 3 2 4 2" xfId="5688" xr:uid="{224E2014-E0A6-40CD-803F-17E4AA5D2F9B}"/>
    <cellStyle name="Normal 3 8 3 2 4 2 2" xfId="8305" xr:uid="{753C73C8-D69B-4D21-B996-8626296BED97}"/>
    <cellStyle name="Normal 3 8 3 2 4 3" xfId="6997" xr:uid="{C6A9F366-958B-4C2C-8A6E-FFD19A3FB117}"/>
    <cellStyle name="Normal 3 8 3 2 5" xfId="4751" xr:uid="{3B5F1FB0-0EAC-4628-AF5F-88A6EF7BB52B}"/>
    <cellStyle name="Normal 3 8 3 2 5 2" xfId="7368" xr:uid="{64A37F53-A53F-44D6-9DD4-3F67F1FA8ECB}"/>
    <cellStyle name="Normal 3 8 3 2 6" xfId="6060" xr:uid="{6B0190EC-9EFA-4A47-98F2-493F58F2E32C}"/>
    <cellStyle name="Normal 3 8 3 3" xfId="3550" xr:uid="{6CCE2FCA-0C88-41D9-88FA-C698D5BBAA6A}"/>
    <cellStyle name="Normal 3 8 3 3 2" xfId="4040" xr:uid="{5653D4BD-BAB7-417D-8337-B82E2E357A32}"/>
    <cellStyle name="Normal 3 8 3 3 2 2" xfId="5367" xr:uid="{5E5E11D1-FBAC-4891-8A30-E21F173611EA}"/>
    <cellStyle name="Normal 3 8 3 3 2 2 2" xfId="7984" xr:uid="{B0565B77-245E-47CD-8F6F-AFA8CC7FCE1E}"/>
    <cellStyle name="Normal 3 8 3 3 2 3" xfId="6676" xr:uid="{0832ACB0-95C9-48F0-8728-9BD7963A451E}"/>
    <cellStyle name="Normal 3 8 3 3 3" xfId="4895" xr:uid="{F14A9A5B-FB89-41D4-A8C9-FCF369B0EC61}"/>
    <cellStyle name="Normal 3 8 3 3 3 2" xfId="7512" xr:uid="{D516762E-B1ED-40F8-BC69-1FCCE3A26471}"/>
    <cellStyle name="Normal 3 8 3 3 4" xfId="6204" xr:uid="{7E0C947F-3567-4BFD-9AC5-9F3B9DEB659D}"/>
    <cellStyle name="Normal 3 8 3 4" xfId="3811" xr:uid="{FE9B2AB7-F4CF-4A5F-9364-3D9570152002}"/>
    <cellStyle name="Normal 3 8 3 4 2" xfId="5138" xr:uid="{BF6053E1-717C-470A-AD20-DB0C943A130A}"/>
    <cellStyle name="Normal 3 8 3 4 2 2" xfId="7755" xr:uid="{342258D7-F5A6-4E9A-921D-D7A7EB72DE78}"/>
    <cellStyle name="Normal 3 8 3 4 3" xfId="6447" xr:uid="{25DC5C99-85A8-456F-A7AE-365D9CE72482}"/>
    <cellStyle name="Normal 3 8 3 5" xfId="4276" xr:uid="{735FDB48-6C06-41B1-BBFB-F37FF15A2660}"/>
    <cellStyle name="Normal 3 8 3 5 2" xfId="5603" xr:uid="{FF4D5F69-392F-4FB9-9142-0AAA72421E97}"/>
    <cellStyle name="Normal 3 8 3 5 2 2" xfId="8220" xr:uid="{B2BCD547-FE5D-42B8-AA66-B396DC1E61B2}"/>
    <cellStyle name="Normal 3 8 3 5 3" xfId="6912" xr:uid="{AE47342F-531F-42DB-B5D5-98FCD1549109}"/>
    <cellStyle name="Normal 3 8 3 6" xfId="4666" xr:uid="{9A9A34F5-64C9-4014-ABC4-2229138E8939}"/>
    <cellStyle name="Normal 3 8 3 6 2" xfId="7283" xr:uid="{2D5A8053-EC4B-4D2A-9F9A-C976887E5BC3}"/>
    <cellStyle name="Normal 3 8 3 7" xfId="5975" xr:uid="{B2E77A3C-44A2-4F44-B9AF-E750E7F7093F}"/>
    <cellStyle name="Normal 3 8 4" xfId="3022" xr:uid="{490F8661-2274-477D-8A62-38B0B8A8D80D}"/>
    <cellStyle name="Normal 3 8 4 2" xfId="3691" xr:uid="{9DD60BA5-4A4A-42A8-9FD2-601FBE28019B}"/>
    <cellStyle name="Normal 3 8 4 2 2" xfId="4165" xr:uid="{1E9D74CB-BAE8-4633-BD6E-2A27335BE2E6}"/>
    <cellStyle name="Normal 3 8 4 2 2 2" xfId="5492" xr:uid="{9648D3FB-FC70-4F26-9C5D-613EB55D91DB}"/>
    <cellStyle name="Normal 3 8 4 2 2 2 2" xfId="8109" xr:uid="{66AEBB8A-85AB-41BC-8EB4-68A03B55B202}"/>
    <cellStyle name="Normal 3 8 4 2 2 3" xfId="6801" xr:uid="{D0A757B7-0288-4347-B419-7D1E0389ED36}"/>
    <cellStyle name="Normal 3 8 4 2 3" xfId="5020" xr:uid="{CD65B45A-7765-496A-AB6E-3A757D89FFFC}"/>
    <cellStyle name="Normal 3 8 4 2 3 2" xfId="7637" xr:uid="{073BC880-8296-491D-BC78-C8148926A44A}"/>
    <cellStyle name="Normal 3 8 4 2 4" xfId="6329" xr:uid="{B746F7B1-9217-478D-AED3-C965F1D0E4F6}"/>
    <cellStyle name="Normal 3 8 4 3" xfId="3936" xr:uid="{A4885146-7EFE-4EAE-9B37-5F55ECAF894D}"/>
    <cellStyle name="Normal 3 8 4 3 2" xfId="5263" xr:uid="{AD1F78EC-431A-431F-BA83-45A92D0AEFE9}"/>
    <cellStyle name="Normal 3 8 4 3 2 2" xfId="7880" xr:uid="{0B4BB948-61FB-42BC-BB2D-F1BF1F2A5E61}"/>
    <cellStyle name="Normal 3 8 4 3 3" xfId="6572" xr:uid="{2E56FA9A-3B1D-4498-BB7C-1141C63D2482}"/>
    <cellStyle name="Normal 3 8 4 4" xfId="4401" xr:uid="{1AFF7102-964C-49C0-BA57-16BF5CDD7670}"/>
    <cellStyle name="Normal 3 8 4 4 2" xfId="5728" xr:uid="{3A96E078-2A92-41CA-9010-E83AABDBE325}"/>
    <cellStyle name="Normal 3 8 4 4 2 2" xfId="8345" xr:uid="{681E60D4-2474-4A82-81D1-3863F13979EB}"/>
    <cellStyle name="Normal 3 8 4 4 3" xfId="7037" xr:uid="{C96C8FDA-B9A2-4FF0-A742-C30572C754BC}"/>
    <cellStyle name="Normal 3 8 4 5" xfId="4791" xr:uid="{4497B2A1-F82A-4729-9C7F-BC5632871FA2}"/>
    <cellStyle name="Normal 3 8 4 5 2" xfId="7408" xr:uid="{DCD7C66D-E988-48B0-8DB0-E533AE6CAC60}"/>
    <cellStyle name="Normal 3 8 4 6" xfId="6100" xr:uid="{748C408C-5379-48DF-AF82-86DB8511E847}"/>
    <cellStyle name="Normal 3 8 5" xfId="2926" xr:uid="{0B0E2B2C-3A3B-4C12-8B19-70D50DDFA4C7}"/>
    <cellStyle name="Normal 3 8 5 2" xfId="3595" xr:uid="{186A2956-2B57-4DA0-BFE5-9620666BBD34}"/>
    <cellStyle name="Normal 3 8 5 2 2" xfId="4085" xr:uid="{34B60B7A-FB82-435D-909C-D9B52AAFBEE5}"/>
    <cellStyle name="Normal 3 8 5 2 2 2" xfId="5412" xr:uid="{34CDEAF6-4ED5-4175-8D9B-4634D02B3B25}"/>
    <cellStyle name="Normal 3 8 5 2 2 2 2" xfId="8029" xr:uid="{C0F90686-6650-4E0F-A267-A93D7FF944D1}"/>
    <cellStyle name="Normal 3 8 5 2 2 3" xfId="6721" xr:uid="{07FBF996-9052-4964-AF79-4F35C2C8744B}"/>
    <cellStyle name="Normal 3 8 5 2 3" xfId="4940" xr:uid="{FE896B67-013A-44E2-8249-D5403673DFDC}"/>
    <cellStyle name="Normal 3 8 5 2 3 2" xfId="7557" xr:uid="{38E670DD-DF2F-43D5-A8F8-A66E26B4DEAF}"/>
    <cellStyle name="Normal 3 8 5 2 4" xfId="6249" xr:uid="{0EC8820B-C80D-4004-92C1-AE603D544626}"/>
    <cellStyle name="Normal 3 8 5 3" xfId="3856" xr:uid="{BBB55C83-B81B-41E9-B0A3-0D9F4823716A}"/>
    <cellStyle name="Normal 3 8 5 3 2" xfId="5183" xr:uid="{6FEA6888-FCD0-4A92-8DCC-9B5C84558E17}"/>
    <cellStyle name="Normal 3 8 5 3 2 2" xfId="7800" xr:uid="{610D9FBF-FC14-4E14-924C-957EA0DBBB6F}"/>
    <cellStyle name="Normal 3 8 5 3 3" xfId="6492" xr:uid="{9BAA9F9F-5121-4218-ABF2-17FC9E3506F2}"/>
    <cellStyle name="Normal 3 8 5 4" xfId="4321" xr:uid="{D5668DA7-6636-4F42-ADB6-B8DDCB283C3C}"/>
    <cellStyle name="Normal 3 8 5 4 2" xfId="5648" xr:uid="{2AEC3DBC-281C-46FA-AA6C-6C2D09AB1F2B}"/>
    <cellStyle name="Normal 3 8 5 4 2 2" xfId="8265" xr:uid="{F9E120E5-74CA-420F-8961-27740D21D553}"/>
    <cellStyle name="Normal 3 8 5 4 3" xfId="6957" xr:uid="{A9D3DE23-E15F-421F-8EC4-723717E7C867}"/>
    <cellStyle name="Normal 3 8 5 5" xfId="4711" xr:uid="{3DFDBB9F-9CC0-4837-8403-961E5187CD4A}"/>
    <cellStyle name="Normal 3 8 5 5 2" xfId="7328" xr:uid="{672C8E64-777E-4CED-8810-AA50BF226640}"/>
    <cellStyle name="Normal 3 8 5 6" xfId="6020" xr:uid="{BD9E4A28-24EE-4112-8CA6-43F759B11A5D}"/>
    <cellStyle name="Normal 3 8 6" xfId="3505" xr:uid="{E133F36B-E891-49F4-8CB9-372603913109}"/>
    <cellStyle name="Normal 3 8 6 2" xfId="3995" xr:uid="{DF523900-F170-4945-A0DD-165A646D3704}"/>
    <cellStyle name="Normal 3 8 6 2 2" xfId="5322" xr:uid="{AC11DD53-1ADA-4CEC-9A62-DAE968168C0A}"/>
    <cellStyle name="Normal 3 8 6 2 2 2" xfId="7939" xr:uid="{79A8B4B3-F92B-47AD-9063-CA1D89750478}"/>
    <cellStyle name="Normal 3 8 6 2 3" xfId="6631" xr:uid="{4CDD7A05-2B57-4644-94C8-01BC046E664B}"/>
    <cellStyle name="Normal 3 8 6 3" xfId="4454" xr:uid="{C670821C-F404-49FD-9F9D-F00AEBCFCBB6}"/>
    <cellStyle name="Normal 3 8 6 3 2" xfId="5781" xr:uid="{62C97204-AB93-4549-BACE-857C62EB848B}"/>
    <cellStyle name="Normal 3 8 6 3 2 2" xfId="8398" xr:uid="{1F8CA685-5E56-4C4F-AF7A-B31DF2E7EB22}"/>
    <cellStyle name="Normal 3 8 6 3 3" xfId="7090" xr:uid="{961A8A6C-AFE3-48E7-AE38-06F30B32EE7E}"/>
    <cellStyle name="Normal 3 8 6 4" xfId="4850" xr:uid="{87FB6E34-6634-4A57-8A50-BD3C3484E3A7}"/>
    <cellStyle name="Normal 3 8 6 4 2" xfId="7467" xr:uid="{DA009452-F6CF-41A2-A738-C97A852D0C2C}"/>
    <cellStyle name="Normal 3 8 6 5" xfId="6159" xr:uid="{02553CFD-E14F-4D93-8E86-7AF6611F3481}"/>
    <cellStyle name="Normal 3 8 7" xfId="3766" xr:uid="{3730A94B-B6A8-4660-90C4-2B2C1D5A9E1E}"/>
    <cellStyle name="Normal 3 8 7 2" xfId="4517" xr:uid="{AF18A4C2-AFFE-40FD-9FD1-BEAE41329D63}"/>
    <cellStyle name="Normal 3 8 7 2 2" xfId="5826" xr:uid="{F7A3A4AD-2889-4B84-B247-CA9C89158059}"/>
    <cellStyle name="Normal 3 8 7 2 2 2" xfId="8443" xr:uid="{3A465A20-B446-4E57-B98C-4A24ABF112CF}"/>
    <cellStyle name="Normal 3 8 7 2 3" xfId="7135" xr:uid="{83A6B4DC-8D28-4F91-B38F-AEF12F91E320}"/>
    <cellStyle name="Normal 3 8 7 3" xfId="5093" xr:uid="{1C1FE923-4BDE-4F0F-9C91-80F6B66E195C}"/>
    <cellStyle name="Normal 3 8 7 3 2" xfId="7710" xr:uid="{36395368-DC61-4344-90F7-1047FB802C84}"/>
    <cellStyle name="Normal 3 8 7 4" xfId="6402" xr:uid="{21E1E50B-3044-4AE0-8BA4-0317145D24C4}"/>
    <cellStyle name="Normal 3 8 8" xfId="4562" xr:uid="{312E647E-302B-44DC-9573-E0D72C6795E8}"/>
    <cellStyle name="Normal 3 8 8 2" xfId="5871" xr:uid="{4A27F001-773C-4972-85D5-DCBA724D55AC}"/>
    <cellStyle name="Normal 3 8 8 2 2" xfId="8488" xr:uid="{13BFFEDA-E81A-4F1F-9133-661F369D21DC}"/>
    <cellStyle name="Normal 3 8 8 3" xfId="7180" xr:uid="{BEF8AC3C-6B7B-45E4-8100-46AE7F039ED0}"/>
    <cellStyle name="Normal 3 8 9" xfId="4231" xr:uid="{FE310B64-846A-4764-AB64-340B60ED0C5B}"/>
    <cellStyle name="Normal 3 8 9 2" xfId="5558" xr:uid="{FAF6E33B-BC72-4EF0-A75E-93D15267C2B8}"/>
    <cellStyle name="Normal 3 8 9 2 2" xfId="8175" xr:uid="{A969262F-037C-42A3-AFFC-BE479E572F48}"/>
    <cellStyle name="Normal 3 8 9 3" xfId="6867" xr:uid="{25D2EAAC-3885-4250-8BB1-73C9827DAB5D}"/>
    <cellStyle name="Normal 3 9" xfId="33" xr:uid="{5474E802-80EF-4D9E-94BE-8DC78A61FB01}"/>
    <cellStyle name="Normal 3 9 10" xfId="5928" xr:uid="{CE3EC8D5-E00D-4A45-ACB7-7CA210FD491C}"/>
    <cellStyle name="Normal 3 9 2" xfId="2879" xr:uid="{09A09BFC-747E-4D28-BF41-A004A76914DF}"/>
    <cellStyle name="Normal 3 9 2 2" xfId="2964" xr:uid="{58893BA2-97F6-4D37-A070-74A269E4BF6E}"/>
    <cellStyle name="Normal 3 9 2 2 2" xfId="3633" xr:uid="{58184E60-BB82-4B48-81DE-7C59722285A9}"/>
    <cellStyle name="Normal 3 9 2 2 2 2" xfId="4123" xr:uid="{10788F7D-136B-40D6-A799-AD365778C041}"/>
    <cellStyle name="Normal 3 9 2 2 2 2 2" xfId="5450" xr:uid="{963A4FCD-1B65-4147-9029-4582B579DF48}"/>
    <cellStyle name="Normal 3 9 2 2 2 2 2 2" xfId="8067" xr:uid="{708732B0-5E34-414D-8F69-D424A8C1F683}"/>
    <cellStyle name="Normal 3 9 2 2 2 2 3" xfId="6759" xr:uid="{E9C134BA-6635-4859-A857-D8BB04CAC49F}"/>
    <cellStyle name="Normal 3 9 2 2 2 3" xfId="4978" xr:uid="{0A8D2833-590A-48E9-9D9A-E3146D8B5AF0}"/>
    <cellStyle name="Normal 3 9 2 2 2 3 2" xfId="7595" xr:uid="{C8284CEF-1FC9-4165-AD87-B9736D209DD7}"/>
    <cellStyle name="Normal 3 9 2 2 2 4" xfId="6287" xr:uid="{2766A645-3A88-488D-B983-E68F11CC93D9}"/>
    <cellStyle name="Normal 3 9 2 2 3" xfId="3894" xr:uid="{68F9AE72-159B-440E-9E7C-7754BA6E8418}"/>
    <cellStyle name="Normal 3 9 2 2 3 2" xfId="5221" xr:uid="{E5B79569-915C-4917-B4CF-F4834B9A88FC}"/>
    <cellStyle name="Normal 3 9 2 2 3 2 2" xfId="7838" xr:uid="{5B12347F-2373-41B6-B1D5-ADE6E7DF9BA4}"/>
    <cellStyle name="Normal 3 9 2 2 3 3" xfId="6530" xr:uid="{86E54EA5-BEAA-4CE0-8179-9AD1D0F8A5D7}"/>
    <cellStyle name="Normal 3 9 2 2 4" xfId="4359" xr:uid="{CC4A0722-C345-434F-8CD4-05BEC6ED6811}"/>
    <cellStyle name="Normal 3 9 2 2 4 2" xfId="5686" xr:uid="{804DF3B2-E45B-4ED9-B401-7BD8EE41A2F4}"/>
    <cellStyle name="Normal 3 9 2 2 4 2 2" xfId="8303" xr:uid="{EF55D565-A86F-4D1C-BA0C-A29DBE147542}"/>
    <cellStyle name="Normal 3 9 2 2 4 3" xfId="6995" xr:uid="{DD4A92A1-A4FA-4436-ADF4-5B7C4BEEEECD}"/>
    <cellStyle name="Normal 3 9 2 2 5" xfId="4749" xr:uid="{B7F5EB17-9871-4A37-82E7-82522665EF85}"/>
    <cellStyle name="Normal 3 9 2 2 5 2" xfId="7366" xr:uid="{5AB4425A-23A6-4F75-B550-D8368BCDDD1A}"/>
    <cellStyle name="Normal 3 9 2 2 6" xfId="6058" xr:uid="{8A7FDE4E-90B4-4734-875C-66D626040332}"/>
    <cellStyle name="Normal 3 9 2 3" xfId="3548" xr:uid="{928090B1-A035-40CA-9A84-C9997FF0BEA2}"/>
    <cellStyle name="Normal 3 9 2 3 2" xfId="4038" xr:uid="{6875C3B0-3A34-421C-A564-04F4C6B60EE7}"/>
    <cellStyle name="Normal 3 9 2 3 2 2" xfId="5365" xr:uid="{87235453-BF80-4114-A7F2-B6192FBD6B41}"/>
    <cellStyle name="Normal 3 9 2 3 2 2 2" xfId="7982" xr:uid="{A205BBC7-F50C-4C90-A0D9-064BBF73CB95}"/>
    <cellStyle name="Normal 3 9 2 3 2 3" xfId="6674" xr:uid="{27DC4A41-E5A9-47D3-A82D-939E2C8AC385}"/>
    <cellStyle name="Normal 3 9 2 3 3" xfId="4893" xr:uid="{CFE9A110-0340-4CF2-A455-E4D5612C3827}"/>
    <cellStyle name="Normal 3 9 2 3 3 2" xfId="7510" xr:uid="{BE7BE353-92FE-4665-89AA-AC6BA3AAE045}"/>
    <cellStyle name="Normal 3 9 2 3 4" xfId="6202" xr:uid="{08F7418E-4EF1-4CE6-B7BB-38E40A76EFFE}"/>
    <cellStyle name="Normal 3 9 2 4" xfId="3809" xr:uid="{262CB326-2A28-43F7-9908-16548CF9FE85}"/>
    <cellStyle name="Normal 3 9 2 4 2" xfId="5136" xr:uid="{86308D07-1D92-44E6-BE0C-676304244FD5}"/>
    <cellStyle name="Normal 3 9 2 4 2 2" xfId="7753" xr:uid="{874033DA-9E43-454C-8019-F4CDA8C4C42E}"/>
    <cellStyle name="Normal 3 9 2 4 3" xfId="6445" xr:uid="{99E2DE89-AEBF-419E-9A13-42739238BE08}"/>
    <cellStyle name="Normal 3 9 2 5" xfId="4274" xr:uid="{51E459CD-6C83-4B74-8DB1-C213C2FC7C13}"/>
    <cellStyle name="Normal 3 9 2 5 2" xfId="5601" xr:uid="{87FCB39C-82B0-49D7-AD58-4ADFD26CFB9A}"/>
    <cellStyle name="Normal 3 9 2 5 2 2" xfId="8218" xr:uid="{CFD4478C-A711-4C2A-8561-DB533E9EC852}"/>
    <cellStyle name="Normal 3 9 2 5 3" xfId="6910" xr:uid="{32A3E641-588B-4AC3-BFD0-084B2E2F4699}"/>
    <cellStyle name="Normal 3 9 2 6" xfId="4664" xr:uid="{F0676357-4C44-4212-9003-B0D840269FBB}"/>
    <cellStyle name="Normal 3 9 2 6 2" xfId="7281" xr:uid="{2222EF45-A75E-43C2-9C6F-714D3FBBC33C}"/>
    <cellStyle name="Normal 3 9 2 7" xfId="5973" xr:uid="{F3200ADF-DAF4-4CBF-8C35-DCB2BB12350D}"/>
    <cellStyle name="Normal 3 9 3" xfId="3020" xr:uid="{330F775B-D10F-4B3F-B787-95506BC9D1F2}"/>
    <cellStyle name="Normal 3 9 3 2" xfId="3689" xr:uid="{EE795DE7-6555-4372-98BD-6B6263B6979F}"/>
    <cellStyle name="Normal 3 9 3 2 2" xfId="4163" xr:uid="{10044376-84FB-4F5D-A803-B710EFC9D0D3}"/>
    <cellStyle name="Normal 3 9 3 2 2 2" xfId="5490" xr:uid="{5072CD6A-BA23-499A-83E5-BDEA8E50A78D}"/>
    <cellStyle name="Normal 3 9 3 2 2 2 2" xfId="8107" xr:uid="{F8A0C797-012A-448B-BB15-8643D2397992}"/>
    <cellStyle name="Normal 3 9 3 2 2 3" xfId="6799" xr:uid="{E160A948-BDCE-49AF-9D24-72269F1BFAB2}"/>
    <cellStyle name="Normal 3 9 3 2 3" xfId="5018" xr:uid="{47FFCC9E-B45A-4501-AC2F-DA5E225851E4}"/>
    <cellStyle name="Normal 3 9 3 2 3 2" xfId="7635" xr:uid="{CD402149-1F02-43F2-AD58-745651B26BB7}"/>
    <cellStyle name="Normal 3 9 3 2 4" xfId="6327" xr:uid="{052162C0-7F65-40AD-A536-F3ECAAD6D483}"/>
    <cellStyle name="Normal 3 9 3 3" xfId="3934" xr:uid="{61235940-695F-46A3-B94D-7F9D0144F291}"/>
    <cellStyle name="Normal 3 9 3 3 2" xfId="5261" xr:uid="{2F69420A-8AFC-4F7C-B7B7-AC8401E6DFEA}"/>
    <cellStyle name="Normal 3 9 3 3 2 2" xfId="7878" xr:uid="{EC47AB81-D6D5-4B7F-A4E4-5F3870516DDB}"/>
    <cellStyle name="Normal 3 9 3 3 3" xfId="6570" xr:uid="{3A971424-5A6F-4E3D-A32E-03A213112ADE}"/>
    <cellStyle name="Normal 3 9 3 4" xfId="4399" xr:uid="{E19EBE2F-742B-4C94-8965-AA1ECEB58773}"/>
    <cellStyle name="Normal 3 9 3 4 2" xfId="5726" xr:uid="{E66232BD-6DE1-4306-972F-78915EBCAF2C}"/>
    <cellStyle name="Normal 3 9 3 4 2 2" xfId="8343" xr:uid="{6653AE6E-0A25-4DE6-A609-A9D0768B29C2}"/>
    <cellStyle name="Normal 3 9 3 4 3" xfId="7035" xr:uid="{F3484D3A-B07F-4B6F-8087-624FFE79EC60}"/>
    <cellStyle name="Normal 3 9 3 5" xfId="4789" xr:uid="{EEAFEA88-889F-471C-9E8A-C69B0533DED9}"/>
    <cellStyle name="Normal 3 9 3 5 2" xfId="7406" xr:uid="{ABD0B972-B7E1-4B98-AC3C-CDF30AA90BCD}"/>
    <cellStyle name="Normal 3 9 3 6" xfId="6098" xr:uid="{B4116CFC-27ED-4AED-848B-60703915B92B}"/>
    <cellStyle name="Normal 3 9 4" xfId="2924" xr:uid="{BAC23DD2-8035-4E02-BEDA-BC8AE034543F}"/>
    <cellStyle name="Normal 3 9 4 2" xfId="3593" xr:uid="{23ABD6F3-84EB-4393-B461-5D2B2F099B98}"/>
    <cellStyle name="Normal 3 9 4 2 2" xfId="4083" xr:uid="{054C7A90-5F83-4358-B18D-7F8F36F3C64F}"/>
    <cellStyle name="Normal 3 9 4 2 2 2" xfId="5410" xr:uid="{AEDFFE14-FD97-48DA-8D71-E582C0D7BDEB}"/>
    <cellStyle name="Normal 3 9 4 2 2 2 2" xfId="8027" xr:uid="{40346376-D4A2-43A0-A2DD-BFFA1E6ECD0B}"/>
    <cellStyle name="Normal 3 9 4 2 2 3" xfId="6719" xr:uid="{ACBC3CF1-CDA1-46A5-96E0-CC6C40106595}"/>
    <cellStyle name="Normal 3 9 4 2 3" xfId="4938" xr:uid="{CD463558-8D68-4161-AB88-74007E7CD7F3}"/>
    <cellStyle name="Normal 3 9 4 2 3 2" xfId="7555" xr:uid="{651FDC37-4BA1-4B1A-B653-BE9BAEB91208}"/>
    <cellStyle name="Normal 3 9 4 2 4" xfId="6247" xr:uid="{F07456FE-3DC9-4A0F-A191-3F76ED899F2F}"/>
    <cellStyle name="Normal 3 9 4 3" xfId="3854" xr:uid="{37012110-E450-4ECE-B602-19CC98444F53}"/>
    <cellStyle name="Normal 3 9 4 3 2" xfId="5181" xr:uid="{2F4BD804-7852-4CF7-A592-A6E43D3B8D22}"/>
    <cellStyle name="Normal 3 9 4 3 2 2" xfId="7798" xr:uid="{F4A438B5-D00D-47F9-9524-98E417EACFF2}"/>
    <cellStyle name="Normal 3 9 4 3 3" xfId="6490" xr:uid="{048D5159-292A-4E18-9CD9-86B58B11A52E}"/>
    <cellStyle name="Normal 3 9 4 4" xfId="4319" xr:uid="{E1122DF2-9F10-45D9-A024-1EA6924B6618}"/>
    <cellStyle name="Normal 3 9 4 4 2" xfId="5646" xr:uid="{93DC7679-5C50-42D4-962B-AC5ED593A47D}"/>
    <cellStyle name="Normal 3 9 4 4 2 2" xfId="8263" xr:uid="{D8B4E8BC-75B2-4FA3-BAB0-668D60A2828B}"/>
    <cellStyle name="Normal 3 9 4 4 3" xfId="6955" xr:uid="{092B2DB6-F095-4AC3-8135-22F6B5C81AF8}"/>
    <cellStyle name="Normal 3 9 4 5" xfId="4709" xr:uid="{9C1049B7-8577-4B36-83E9-022560AF85BB}"/>
    <cellStyle name="Normal 3 9 4 5 2" xfId="7326" xr:uid="{845D8856-AE5D-4DC8-B58E-3B4AF49281C6}"/>
    <cellStyle name="Normal 3 9 4 6" xfId="6018" xr:uid="{17EECA85-EFDD-4E82-B4AE-5F81FA401639}"/>
    <cellStyle name="Normal 3 9 5" xfId="3503" xr:uid="{3F0E68A4-505F-4743-A141-2A4ADDEC93C6}"/>
    <cellStyle name="Normal 3 9 5 2" xfId="3993" xr:uid="{1CC33130-59B4-44A3-AB70-110EB0FBD4A9}"/>
    <cellStyle name="Normal 3 9 5 2 2" xfId="5320" xr:uid="{EC879C6A-C3A5-4351-AF4B-FA352F5A885E}"/>
    <cellStyle name="Normal 3 9 5 2 2 2" xfId="7937" xr:uid="{0790EE26-1A18-4995-AFFB-CE17F484F3DB}"/>
    <cellStyle name="Normal 3 9 5 2 3" xfId="6629" xr:uid="{D8F8A24E-2B48-4231-8B36-BB4AF3CFEFD2}"/>
    <cellStyle name="Normal 3 9 5 3" xfId="4452" xr:uid="{A5A3F7F9-0DC6-4515-9B77-2ECE27261A2C}"/>
    <cellStyle name="Normal 3 9 5 3 2" xfId="5779" xr:uid="{17D93BC7-944C-4888-9794-01B0ACDCE8C3}"/>
    <cellStyle name="Normal 3 9 5 3 2 2" xfId="8396" xr:uid="{90D0103B-92F6-4623-A635-8A994F2C582A}"/>
    <cellStyle name="Normal 3 9 5 3 3" xfId="7088" xr:uid="{F5829065-E0F8-4D79-8512-212520C8DBDC}"/>
    <cellStyle name="Normal 3 9 5 4" xfId="4848" xr:uid="{A7D738B4-5C50-456E-9C99-178EF52D121F}"/>
    <cellStyle name="Normal 3 9 5 4 2" xfId="7465" xr:uid="{392613F1-2611-4663-A2D7-C498810E5809}"/>
    <cellStyle name="Normal 3 9 5 5" xfId="6157" xr:uid="{F5A00702-B962-493A-BF50-C07A7373D284}"/>
    <cellStyle name="Normal 3 9 6" xfId="3764" xr:uid="{D2DA07B4-B808-434A-BD1F-EFCA0F476F63}"/>
    <cellStyle name="Normal 3 9 6 2" xfId="4515" xr:uid="{0820598D-0B27-4619-A792-4381EBC733E5}"/>
    <cellStyle name="Normal 3 9 6 2 2" xfId="5824" xr:uid="{E8CC8DB8-89EE-49C4-A973-C2DBC1A7D8BF}"/>
    <cellStyle name="Normal 3 9 6 2 2 2" xfId="8441" xr:uid="{5E5F865D-EDF9-4178-869F-0DA9240F0D08}"/>
    <cellStyle name="Normal 3 9 6 2 3" xfId="7133" xr:uid="{A30B7CB4-75C4-401F-96A3-324CB68B50B4}"/>
    <cellStyle name="Normal 3 9 6 3" xfId="5091" xr:uid="{651D390C-2046-40C3-8059-3B356EF3B9A7}"/>
    <cellStyle name="Normal 3 9 6 3 2" xfId="7708" xr:uid="{70EABFA0-7514-4D5B-BDF3-4681A4F3CE25}"/>
    <cellStyle name="Normal 3 9 6 4" xfId="6400" xr:uid="{E5640063-B4EE-44CD-9A5A-30E54A957154}"/>
    <cellStyle name="Normal 3 9 7" xfId="4560" xr:uid="{D3F7E8DE-3C33-49ED-8E4C-42EB6A4D04F6}"/>
    <cellStyle name="Normal 3 9 7 2" xfId="5869" xr:uid="{8B7C7CD7-CA35-4D80-922D-1887AF33D513}"/>
    <cellStyle name="Normal 3 9 7 2 2" xfId="8486" xr:uid="{B1D980A5-688F-4CC7-B440-EF1F40842D2E}"/>
    <cellStyle name="Normal 3 9 7 3" xfId="7178" xr:uid="{46581D35-FBF7-4C67-92FD-3619700EC336}"/>
    <cellStyle name="Normal 3 9 8" xfId="4229" xr:uid="{C1377FEC-4F7A-4C67-9ECE-DCE0352E9141}"/>
    <cellStyle name="Normal 3 9 8 2" xfId="5556" xr:uid="{D2C259A7-78C1-4317-B4C4-43540D86C068}"/>
    <cellStyle name="Normal 3 9 8 2 2" xfId="8173" xr:uid="{49AFF504-861B-464D-8F7F-1308510DECE8}"/>
    <cellStyle name="Normal 3 9 8 3" xfId="6865" xr:uid="{3340B8C2-3BC0-4121-BFAB-5DE752E932EE}"/>
    <cellStyle name="Normal 3 9 9" xfId="4619" xr:uid="{9A6D076F-4887-4025-9B58-0DE19D67B685}"/>
    <cellStyle name="Normal 3 9 9 2" xfId="7236" xr:uid="{719BC4F8-7AC2-4A44-8410-5018329AF9C1}"/>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62" xr:uid="{3AC0A24B-DCF0-4E44-B534-48E9A6549A38}"/>
    <cellStyle name="Normal 4 10 2 2 2 2" xfId="5489" xr:uid="{6C7D4328-29CE-4293-9B4D-17131F94ECFF}"/>
    <cellStyle name="Normal 4 10 2 2 2 2 2" xfId="8106" xr:uid="{A6214FE0-AEDB-4DF6-A997-A95871194238}"/>
    <cellStyle name="Normal 4 10 2 2 2 3" xfId="6798" xr:uid="{1B1DCFFD-21BE-4A07-8B95-A2CC7E782B93}"/>
    <cellStyle name="Normal 4 10 2 2 3" xfId="5017" xr:uid="{11A06D20-90F6-4C4D-8DB4-F3D86136102B}"/>
    <cellStyle name="Normal 4 10 2 2 3 2" xfId="7634" xr:uid="{14DC2FAC-F12B-4E94-8FC9-CBDC243483B6}"/>
    <cellStyle name="Normal 4 10 2 2 4" xfId="6326" xr:uid="{05069144-28B1-4B96-ADE5-2A1B6AF14569}"/>
    <cellStyle name="Normal 4 10 2 3" xfId="3933" xr:uid="{F920E67F-25B9-4C70-95D3-2A949E52D235}"/>
    <cellStyle name="Normal 4 10 2 3 2" xfId="5260" xr:uid="{5028A570-BAEA-450C-B346-6040BB981312}"/>
    <cellStyle name="Normal 4 10 2 3 2 2" xfId="7877" xr:uid="{87A4BFA9-D618-4A45-A9AE-4C521B6AC9C1}"/>
    <cellStyle name="Normal 4 10 2 3 3" xfId="6569" xr:uid="{7CCF4DC8-4699-41BA-A3BF-1DA5C3D63429}"/>
    <cellStyle name="Normal 4 10 2 4" xfId="4398" xr:uid="{832FF8C2-2BD7-44ED-83A7-2AE5E712F4E3}"/>
    <cellStyle name="Normal 4 10 2 4 2" xfId="5725" xr:uid="{36F5AA3C-6FFE-425C-A6BC-23357880EF4A}"/>
    <cellStyle name="Normal 4 10 2 4 2 2" xfId="8342" xr:uid="{AB37934E-BA7A-4592-B3DD-273030385AF1}"/>
    <cellStyle name="Normal 4 10 2 4 3" xfId="7034" xr:uid="{CC8428B0-9A4C-446C-876B-EC2FDB84D849}"/>
    <cellStyle name="Normal 4 10 2 5" xfId="4788" xr:uid="{43066A6E-F10F-49BF-81A9-653C6E390E4D}"/>
    <cellStyle name="Normal 4 10 2 5 2" xfId="7405" xr:uid="{6F4FEF73-D45C-4FA2-ACA7-395B9EBCF6B8}"/>
    <cellStyle name="Normal 4 10 2 6" xfId="6097" xr:uid="{F69BF93A-5AAC-466B-86EE-17BAD0F99D30}"/>
    <cellStyle name="Normal 4 10 3" xfId="3542" xr:uid="{39EA222C-770B-41E7-A4CC-C117C50904EE}"/>
    <cellStyle name="Normal 4 10 3 2" xfId="4032" xr:uid="{135426DE-6435-4EF5-BCD0-FB515763D198}"/>
    <cellStyle name="Normal 4 10 3 2 2" xfId="5359" xr:uid="{219CEE48-D133-445B-AA42-D0CDD2BE5616}"/>
    <cellStyle name="Normal 4 10 3 2 2 2" xfId="7976" xr:uid="{EF9DAEC8-EB32-4FD0-935E-EB91BC4D71FD}"/>
    <cellStyle name="Normal 4 10 3 2 3" xfId="6668" xr:uid="{D6FC5A46-0707-4D48-A127-28924215B927}"/>
    <cellStyle name="Normal 4 10 3 3" xfId="4887" xr:uid="{069AE854-C257-4FDA-91BC-61100D25C641}"/>
    <cellStyle name="Normal 4 10 3 3 2" xfId="7504" xr:uid="{EF96937F-9BA7-4A30-9FC4-AB5A15866523}"/>
    <cellStyle name="Normal 4 10 3 4" xfId="6196" xr:uid="{CBF15548-E30F-48D0-9BF0-9622D85DBB72}"/>
    <cellStyle name="Normal 4 10 4" xfId="3803" xr:uid="{7B594664-AB5C-47BC-A6BA-B049FD434280}"/>
    <cellStyle name="Normal 4 10 4 2" xfId="5130" xr:uid="{8836E677-19E3-46DC-BD77-8723C90C8909}"/>
    <cellStyle name="Normal 4 10 4 2 2" xfId="7747" xr:uid="{F0945D07-1776-42C1-BEF2-C89042E0658D}"/>
    <cellStyle name="Normal 4 10 4 3" xfId="6439" xr:uid="{6CAE2887-35B7-4CAA-86D2-15A24EF7AD23}"/>
    <cellStyle name="Normal 4 10 5" xfId="4268" xr:uid="{F82951C6-C25B-4B94-90F6-06C5A981AAD0}"/>
    <cellStyle name="Normal 4 10 5 2" xfId="5595" xr:uid="{6721817D-8710-4654-AC40-C63609B81AA4}"/>
    <cellStyle name="Normal 4 10 5 2 2" xfId="8212" xr:uid="{CA6342BC-FB42-4DD4-8953-C779ABF552EE}"/>
    <cellStyle name="Normal 4 10 5 3" xfId="6904" xr:uid="{FDF51FAE-9524-4906-AEF5-746295F2579E}"/>
    <cellStyle name="Normal 4 10 6" xfId="4658" xr:uid="{948637F3-45B8-47F8-A803-50FC18984A6A}"/>
    <cellStyle name="Normal 4 10 6 2" xfId="7275" xr:uid="{1696C990-798A-4E43-A850-25B3755E0DB5}"/>
    <cellStyle name="Normal 4 10 7" xfId="5967" xr:uid="{E2366E36-E825-4677-8544-2DF8D699CB27}"/>
    <cellStyle name="Normal 4 11" xfId="3484" xr:uid="{E1E9D421-EAA4-4FD4-91B6-26A35DFAACCA}"/>
    <cellStyle name="Normal 4 11 2" xfId="3731" xr:uid="{6C3D6F15-8596-4BBF-9E70-FE8E148C2BD0}"/>
    <cellStyle name="Normal 4 11 2 2" xfId="4205" xr:uid="{13A995B8-9174-4463-94DB-FE99CC47811C}"/>
    <cellStyle name="Normal 4 11 2 2 2" xfId="5532" xr:uid="{02A2D61E-28F3-441E-9415-188A0868DA15}"/>
    <cellStyle name="Normal 4 11 2 2 2 2" xfId="8149" xr:uid="{1CCA0E8C-0052-47F6-81BB-6A89B559134D}"/>
    <cellStyle name="Normal 4 11 2 2 3" xfId="6841" xr:uid="{71E89EE2-DF45-41DB-B2A8-85F3DB41E63B}"/>
    <cellStyle name="Normal 4 11 2 3" xfId="5060" xr:uid="{A5CE257F-AD73-43EA-A738-AB40DFD843C7}"/>
    <cellStyle name="Normal 4 11 2 3 2" xfId="7677" xr:uid="{9794CED1-7C98-4010-82B4-83120E7E7540}"/>
    <cellStyle name="Normal 4 11 2 4" xfId="6369" xr:uid="{D722A765-AECD-45D3-8D3A-5435F5B1A03C}"/>
    <cellStyle name="Normal 4 11 3" xfId="3976" xr:uid="{B933DDDD-89AC-4546-9CBB-F686C5435F67}"/>
    <cellStyle name="Normal 4 11 3 2" xfId="5303" xr:uid="{874CE499-C426-47A9-9B32-954E27EA8E8F}"/>
    <cellStyle name="Normal 4 11 3 2 2" xfId="7920" xr:uid="{6F02DA7F-87A7-4019-83D9-2987FC42A03E}"/>
    <cellStyle name="Normal 4 11 3 3" xfId="6612" xr:uid="{2E26743C-E45D-433E-A445-ECE6A807000F}"/>
    <cellStyle name="Normal 4 11 4" xfId="4441" xr:uid="{B32D0335-5491-4457-B1BD-332C8B1E5E31}"/>
    <cellStyle name="Normal 4 11 4 2" xfId="5768" xr:uid="{F88B645F-E882-40DF-B323-BBEC2F89E09C}"/>
    <cellStyle name="Normal 4 11 4 2 2" xfId="8385" xr:uid="{95CBA37B-AD3D-4415-BC0C-7434D22CAC7F}"/>
    <cellStyle name="Normal 4 11 4 3" xfId="7077" xr:uid="{519BDA31-478A-4EA5-BA3D-7AB4476C0DB7}"/>
    <cellStyle name="Normal 4 11 5" xfId="4831" xr:uid="{DF6DC152-149E-4AE3-AF82-75C523BE35FE}"/>
    <cellStyle name="Normal 4 11 5 2" xfId="7448" xr:uid="{27A0AE93-1950-467F-8F36-EBDEB50694E2}"/>
    <cellStyle name="Normal 4 11 6" xfId="6140" xr:uid="{82B14E06-DB73-490F-9935-E9CF80EC1739}"/>
    <cellStyle name="Normal 4 12" xfId="2918" xr:uid="{776488AA-3726-479F-9BB8-4CE8059F9DA4}"/>
    <cellStyle name="Normal 4 12 2" xfId="3587" xr:uid="{FED39AA4-4B50-4DAA-B527-5CA2B810B28A}"/>
    <cellStyle name="Normal 4 12 2 2" xfId="4077" xr:uid="{AE352FC6-3E4C-4F5B-BA16-7843085E4B83}"/>
    <cellStyle name="Normal 4 12 2 2 2" xfId="5404" xr:uid="{55B67DB8-4098-48AA-A0FA-92D712AF33AC}"/>
    <cellStyle name="Normal 4 12 2 2 2 2" xfId="8021" xr:uid="{1F3D6F27-D222-4CE6-8C9C-3457A77C1580}"/>
    <cellStyle name="Normal 4 12 2 2 3" xfId="6713" xr:uid="{00DAFFE6-DC30-4144-8848-B7C947439B7A}"/>
    <cellStyle name="Normal 4 12 2 3" xfId="4932" xr:uid="{51690508-E6BE-4C1E-BEFD-281ACD07A76D}"/>
    <cellStyle name="Normal 4 12 2 3 2" xfId="7549" xr:uid="{E09D3FB9-BFFF-48F6-A7DB-378E2688A88B}"/>
    <cellStyle name="Normal 4 12 2 4" xfId="6241" xr:uid="{F4CDB405-2CBE-4FD8-BE27-195F2311B538}"/>
    <cellStyle name="Normal 4 12 3" xfId="3848" xr:uid="{9BEB125E-99FA-4113-B17B-21036918D5E4}"/>
    <cellStyle name="Normal 4 12 3 2" xfId="5175" xr:uid="{0333DAB1-8A68-4B20-AB09-6AFA07B19E04}"/>
    <cellStyle name="Normal 4 12 3 2 2" xfId="7792" xr:uid="{886309F6-FD10-4881-A5C2-58F084FAAFDB}"/>
    <cellStyle name="Normal 4 12 3 3" xfId="6484" xr:uid="{AEDC6AC2-925D-4E5F-8275-447AFF9501D6}"/>
    <cellStyle name="Normal 4 12 4" xfId="4313" xr:uid="{FF249F70-FAF8-4FB3-BE1E-75B20A1BD4C6}"/>
    <cellStyle name="Normal 4 12 4 2" xfId="5640" xr:uid="{E56A03A2-745F-42E4-8983-E8C4C97186A7}"/>
    <cellStyle name="Normal 4 12 4 2 2" xfId="8257" xr:uid="{CED5275B-05B1-45BC-A299-4E1BC27A0BFB}"/>
    <cellStyle name="Normal 4 12 4 3" xfId="6949" xr:uid="{81D03338-7D38-4629-A59F-CE5DD606CFD5}"/>
    <cellStyle name="Normal 4 12 5" xfId="4703" xr:uid="{408C731A-4ECD-4166-BE80-FC2C893C134C}"/>
    <cellStyle name="Normal 4 12 5 2" xfId="7320" xr:uid="{15C91BAE-6BF8-4D16-9F97-B39DF03C52D8}"/>
    <cellStyle name="Normal 4 12 6" xfId="6012" xr:uid="{B35CAE7D-CFC4-439C-8CA2-9F09B0F8BFA6}"/>
    <cellStyle name="Normal 4 13" xfId="3492" xr:uid="{BA64252E-E332-442C-AF6B-08C40B5879B8}"/>
    <cellStyle name="Normal 4 13 2" xfId="3982" xr:uid="{2082C189-E17A-4E75-8DB0-A6B2E43D930A}"/>
    <cellStyle name="Normal 4 13 2 2" xfId="5309" xr:uid="{0CC0838A-07B9-431A-AC6D-25BF295AC267}"/>
    <cellStyle name="Normal 4 13 2 2 2" xfId="7926" xr:uid="{5AA2D407-F378-4C4D-990B-AB680C5744E5}"/>
    <cellStyle name="Normal 4 13 2 3" xfId="6618" xr:uid="{26E9C907-1803-4FF4-8FD5-29081A44A993}"/>
    <cellStyle name="Normal 4 13 3" xfId="4446" xr:uid="{AB8E653F-B785-4EF8-9BA4-E0837C3DED8D}"/>
    <cellStyle name="Normal 4 13 3 2" xfId="5773" xr:uid="{CAEFDB3C-5BDB-43D8-8C68-61A8CB8E8FA7}"/>
    <cellStyle name="Normal 4 13 3 2 2" xfId="8390" xr:uid="{572601D0-01C1-4C8C-A433-2B8D4D35C05E}"/>
    <cellStyle name="Normal 4 13 3 3" xfId="7082" xr:uid="{595E2515-FE80-408E-96D0-1EAE969841A6}"/>
    <cellStyle name="Normal 4 13 4" xfId="4837" xr:uid="{745C77F8-D433-4220-9EBC-6DD435BE773D}"/>
    <cellStyle name="Normal 4 13 4 2" xfId="7454" xr:uid="{9E968210-CE49-42CA-8EB2-C644622C2147}"/>
    <cellStyle name="Normal 4 13 5" xfId="6146" xr:uid="{E7F0277B-BF68-4265-A630-C38CB8F2C780}"/>
    <cellStyle name="Normal 4 14" xfId="22" xr:uid="{8086ED49-FE76-4531-AB0E-FA4CAA2327F8}"/>
    <cellStyle name="Normal 4 14 2" xfId="3753" xr:uid="{CF24D5FE-4D05-4EBE-8ED0-2E9882A8606F}"/>
    <cellStyle name="Normal 4 14 2 2" xfId="5080" xr:uid="{D0718375-33CB-48CC-8986-A855A3E6A78A}"/>
    <cellStyle name="Normal 4 14 2 2 2" xfId="7697" xr:uid="{B60E2A61-3DC4-4C83-BADB-82C98074224B}"/>
    <cellStyle name="Normal 4 14 2 3" xfId="6389" xr:uid="{9B06E477-0A41-4E68-9CB4-3BC5BC1749BC}"/>
    <cellStyle name="Normal 4 14 3" xfId="4509" xr:uid="{608425A4-F564-4E46-807D-6051D61314F1}"/>
    <cellStyle name="Normal 4 14 3 2" xfId="5818" xr:uid="{7A4781A6-5091-4268-ACAF-8CBFD20E201B}"/>
    <cellStyle name="Normal 4 14 3 2 2" xfId="8435" xr:uid="{488548B9-E29B-48E6-9B61-423512851153}"/>
    <cellStyle name="Normal 4 14 3 3" xfId="7127" xr:uid="{F87BF794-21D1-4B36-AAD2-046C0AA241E0}"/>
    <cellStyle name="Normal 4 14 4" xfId="4608" xr:uid="{FD8F0482-CE2A-4066-8B23-F755AAD00C60}"/>
    <cellStyle name="Normal 4 14 4 2" xfId="7225" xr:uid="{87173145-3D63-47F9-AA24-E1ADF38542C8}"/>
    <cellStyle name="Normal 4 14 5" xfId="5917" xr:uid="{21C981EB-D50B-4F53-890A-6BD7D08CF2D3}"/>
    <cellStyle name="Normal 4 15" xfId="3747" xr:uid="{B83C6409-89A4-4DF9-9AD6-C8B3B8ED445D}"/>
    <cellStyle name="Normal 4 15 2" xfId="4554" xr:uid="{0D194A45-F453-4DF5-AEE2-27E51B40303F}"/>
    <cellStyle name="Normal 4 15 2 2" xfId="5863" xr:uid="{0CE82F6B-2586-416F-BFA2-827F2D5F81BB}"/>
    <cellStyle name="Normal 4 15 2 2 2" xfId="8480" xr:uid="{94E54478-23B1-4884-80F5-3E4D6466812C}"/>
    <cellStyle name="Normal 4 15 2 3" xfId="7172" xr:uid="{31ECE23C-E2DF-448C-B7E0-EB6C2A08267E}"/>
    <cellStyle name="Normal 4 15 3" xfId="5074" xr:uid="{36BDC207-A3E8-4171-A149-0EBBCA22C534}"/>
    <cellStyle name="Normal 4 15 3 2" xfId="7691" xr:uid="{97B3969A-FDC0-4D4B-BF55-59A7863FE486}"/>
    <cellStyle name="Normal 4 15 4" xfId="6383" xr:uid="{1B9857F1-3B9D-4975-BB5B-C568DDA47583}"/>
    <cellStyle name="Normal 4 16" xfId="4218" xr:uid="{BD6189E4-1774-4676-8672-C1FCFF1D155F}"/>
    <cellStyle name="Normal 4 16 2" xfId="5545" xr:uid="{58D201CB-6C94-4991-AAD9-2363AC84E1E0}"/>
    <cellStyle name="Normal 4 16 2 2" xfId="8162" xr:uid="{16FBFC57-EFBE-46EA-93FB-EDA4C210B52D}"/>
    <cellStyle name="Normal 4 16 3" xfId="6854" xr:uid="{F82F23AC-4ABC-4658-B1DD-73FDE771DB56}"/>
    <cellStyle name="Normal 4 17" xfId="4602" xr:uid="{B81CE754-7FD6-4586-87C7-0B6EB89C4E4E}"/>
    <cellStyle name="Normal 4 17 2" xfId="7219" xr:uid="{760783C8-BC5F-4D5D-B682-52DB7B505B8D}"/>
    <cellStyle name="Normal 4 18" xfId="5911" xr:uid="{16198F36-F4CA-4A02-8C17-E009DF075FD4}"/>
    <cellStyle name="Normal 4 2" xfId="2265" xr:uid="{DBDC362A-64F5-4967-9F60-3B8CD9F30DA6}"/>
    <cellStyle name="Normal 4 2 10" xfId="4628" xr:uid="{837032F3-D2D0-46BB-9E00-8B523070ABF5}"/>
    <cellStyle name="Normal 4 2 10 2" xfId="7245" xr:uid="{7499BB8E-2923-4163-A0E2-854AAEFC1C3F}"/>
    <cellStyle name="Normal 4 2 11" xfId="5937" xr:uid="{FAA928FA-6BD8-45CA-BE88-B124C6675689}"/>
    <cellStyle name="Normal 4 2 2" xfId="2858" xr:uid="{502E47E9-B174-4F23-BE74-4F364B9F3BE8}"/>
    <cellStyle name="Normal 4 2 2 10" xfId="5954" xr:uid="{621A7A3E-83E9-4FA1-BADA-656A6F20E1DE}"/>
    <cellStyle name="Normal 4 2 2 2" xfId="2905" xr:uid="{3E08A31E-B6E3-4B83-9DDA-3B7749DE1773}"/>
    <cellStyle name="Normal 4 2 2 2 2" xfId="3006" xr:uid="{42844626-037F-49BD-9784-6E723DC45654}"/>
    <cellStyle name="Normal 4 2 2 2 2 2" xfId="3675" xr:uid="{54CFD1C2-093A-44C9-A844-289FE1B511BF}"/>
    <cellStyle name="Normal 4 2 2 2 2 2 2" xfId="4149" xr:uid="{0C1B9A50-BB98-494B-B40E-CD3F41EE1352}"/>
    <cellStyle name="Normal 4 2 2 2 2 2 2 2" xfId="5476" xr:uid="{E45513EC-3687-4FC0-B2BB-A71911110D5B}"/>
    <cellStyle name="Normal 4 2 2 2 2 2 2 2 2" xfId="8093" xr:uid="{1F58FAAE-E29D-4BBA-A3D1-F7537FD84ACD}"/>
    <cellStyle name="Normal 4 2 2 2 2 2 2 3" xfId="6785" xr:uid="{398C1136-389B-4B7C-B1CE-C13F3088DA4D}"/>
    <cellStyle name="Normal 4 2 2 2 2 2 3" xfId="5004" xr:uid="{2578BBEA-6810-4CE8-8CFB-E28A42BB9231}"/>
    <cellStyle name="Normal 4 2 2 2 2 2 3 2" xfId="7621" xr:uid="{702581E2-DA29-4E28-98F7-8B774B47CE8A}"/>
    <cellStyle name="Normal 4 2 2 2 2 2 4" xfId="6313" xr:uid="{B671B05D-1E80-43B6-BEDE-FEE07CC8B0B9}"/>
    <cellStyle name="Normal 4 2 2 2 2 3" xfId="3920" xr:uid="{AB2F8761-419E-4C06-9FBF-7D901E412BDA}"/>
    <cellStyle name="Normal 4 2 2 2 2 3 2" xfId="5247" xr:uid="{B6519785-D8B1-4521-9187-793B1E284155}"/>
    <cellStyle name="Normal 4 2 2 2 2 3 2 2" xfId="7864" xr:uid="{83619302-C419-468C-BB92-131AE02B8DA8}"/>
    <cellStyle name="Normal 4 2 2 2 2 3 3" xfId="6556" xr:uid="{2CDAB373-87A1-4B3E-9A6C-63FCD82031B8}"/>
    <cellStyle name="Normal 4 2 2 2 2 4" xfId="4385" xr:uid="{09953348-1119-4DD1-974B-7F27E17E2B8D}"/>
    <cellStyle name="Normal 4 2 2 2 2 4 2" xfId="5712" xr:uid="{77DC41D9-0005-4361-9EBF-D2BB68F3AD84}"/>
    <cellStyle name="Normal 4 2 2 2 2 4 2 2" xfId="8329" xr:uid="{B122A3F7-27C9-4436-A5B2-6B99A0A68F1C}"/>
    <cellStyle name="Normal 4 2 2 2 2 4 3" xfId="7021" xr:uid="{EBC1FE42-F7B8-4A82-B45D-19B44634D456}"/>
    <cellStyle name="Normal 4 2 2 2 2 5" xfId="4775" xr:uid="{99564DC3-0770-445D-8F42-1D2CBEA1D721}"/>
    <cellStyle name="Normal 4 2 2 2 2 5 2" xfId="7392" xr:uid="{CAEDDE2C-7211-4577-A83C-4B22ABE87120}"/>
    <cellStyle name="Normal 4 2 2 2 2 6" xfId="6084" xr:uid="{CFD30791-98E6-440E-9D76-4FF99EDF9B8E}"/>
    <cellStyle name="Normal 4 2 2 2 3" xfId="3574" xr:uid="{DF14BEFE-7DC0-43AB-8B39-12BC4C643D9A}"/>
    <cellStyle name="Normal 4 2 2 2 3 2" xfId="4064" xr:uid="{FC46B7C4-19D6-46E5-900C-F629535EF295}"/>
    <cellStyle name="Normal 4 2 2 2 3 2 2" xfId="5391" xr:uid="{D5E5E561-9061-4535-85CF-10AE360208EA}"/>
    <cellStyle name="Normal 4 2 2 2 3 2 2 2" xfId="8008" xr:uid="{4511BBFE-588E-4683-8DF2-C50ECD6D4885}"/>
    <cellStyle name="Normal 4 2 2 2 3 2 3" xfId="6700" xr:uid="{D4B39DB6-3A98-4C54-8912-01AE6EEAD9BD}"/>
    <cellStyle name="Normal 4 2 2 2 3 3" xfId="4919" xr:uid="{D69BBB64-A04A-4D8B-8B1B-0DA1139BE492}"/>
    <cellStyle name="Normal 4 2 2 2 3 3 2" xfId="7536" xr:uid="{1AB4D167-3D6A-44F8-8F2C-BA54C98EC688}"/>
    <cellStyle name="Normal 4 2 2 2 3 4" xfId="6228" xr:uid="{C4090121-BC4E-4F9D-A0CD-D0380DFF1E78}"/>
    <cellStyle name="Normal 4 2 2 2 4" xfId="3835" xr:uid="{F0CE1BEC-E4AC-4448-9602-2630BFF75AB7}"/>
    <cellStyle name="Normal 4 2 2 2 4 2" xfId="5162" xr:uid="{FEAED743-4584-4D4E-A2F8-F1ED91D384BF}"/>
    <cellStyle name="Normal 4 2 2 2 4 2 2" xfId="7779" xr:uid="{A8DBC3B3-0E18-4A94-88DC-21655944022E}"/>
    <cellStyle name="Normal 4 2 2 2 4 3" xfId="6471" xr:uid="{BC1ED38C-FC41-49D4-B0C6-C185F4AF51D2}"/>
    <cellStyle name="Normal 4 2 2 2 5" xfId="4300" xr:uid="{EFEBD986-4DA7-4EEF-88E7-15BD53C73C80}"/>
    <cellStyle name="Normal 4 2 2 2 5 2" xfId="5627" xr:uid="{21F14CAE-E7E3-402A-B50A-A3C52C83C2C1}"/>
    <cellStyle name="Normal 4 2 2 2 5 2 2" xfId="8244" xr:uid="{BFF920D1-82DD-40B5-9AFF-1B39D8A69D1E}"/>
    <cellStyle name="Normal 4 2 2 2 5 3" xfId="6936" xr:uid="{ED84F55B-03FC-4263-BE07-59E5083D5DF8}"/>
    <cellStyle name="Normal 4 2 2 2 6" xfId="4690" xr:uid="{CED30E49-0339-403F-9F7B-738247967730}"/>
    <cellStyle name="Normal 4 2 2 2 6 2" xfId="7307" xr:uid="{4F72D11E-E673-4A7B-AF3E-D089B994287E}"/>
    <cellStyle name="Normal 4 2 2 2 7" xfId="5999" xr:uid="{FB62329B-F659-456E-B69B-C0630A15994F}"/>
    <cellStyle name="Normal 4 2 2 3" xfId="3450" xr:uid="{8A145DD6-8681-439E-A9C6-50BC7D1C8EE6}"/>
    <cellStyle name="Normal 4 2 2 3 2" xfId="3715" xr:uid="{2215DDA7-181D-4DE5-B5C9-757B742671F6}"/>
    <cellStyle name="Normal 4 2 2 3 2 2" xfId="4189" xr:uid="{D71C6740-D6BA-41E7-AAD9-60CF384BD6B8}"/>
    <cellStyle name="Normal 4 2 2 3 2 2 2" xfId="5516" xr:uid="{1B812B3E-B2FC-4204-AAE6-EC27A621478F}"/>
    <cellStyle name="Normal 4 2 2 3 2 2 2 2" xfId="8133" xr:uid="{6C156D07-C584-4A8E-8029-54AEA72B84D2}"/>
    <cellStyle name="Normal 4 2 2 3 2 2 3" xfId="6825" xr:uid="{7FF45EBA-4BE0-4DA9-8F06-91796D822B56}"/>
    <cellStyle name="Normal 4 2 2 3 2 3" xfId="5044" xr:uid="{96DF40C9-71E8-460B-A0C4-A68607EEBC00}"/>
    <cellStyle name="Normal 4 2 2 3 2 3 2" xfId="7661" xr:uid="{6EFCFFFF-99FE-4A32-8E79-E22229B31518}"/>
    <cellStyle name="Normal 4 2 2 3 2 4" xfId="6353" xr:uid="{22609BD2-BFF4-4AD7-B5D6-8CEE8FFD5FD9}"/>
    <cellStyle name="Normal 4 2 2 3 3" xfId="3960" xr:uid="{541E49F8-FAF6-4FA4-9C23-91951CA65F1C}"/>
    <cellStyle name="Normal 4 2 2 3 3 2" xfId="5287" xr:uid="{D9D2CDF2-A4CD-4344-BFA8-5BCD49BBFDFF}"/>
    <cellStyle name="Normal 4 2 2 3 3 2 2" xfId="7904" xr:uid="{B046E275-2E41-4DE9-B44C-240AB6783974}"/>
    <cellStyle name="Normal 4 2 2 3 3 3" xfId="6596" xr:uid="{BD77BDC6-F82D-4A0A-9159-E5A1D2E533B1}"/>
    <cellStyle name="Normal 4 2 2 3 4" xfId="4425" xr:uid="{2D67C7B9-DA57-41EB-A794-95FEDF1ADC36}"/>
    <cellStyle name="Normal 4 2 2 3 4 2" xfId="5752" xr:uid="{96698F6C-BC49-44C9-9BDC-5D97CFF034D1}"/>
    <cellStyle name="Normal 4 2 2 3 4 2 2" xfId="8369" xr:uid="{5CD2705A-6AF9-4791-974B-15A03F285397}"/>
    <cellStyle name="Normal 4 2 2 3 4 3" xfId="7061" xr:uid="{F4B55DEC-4F79-4617-9B32-DBCA6839F6DE}"/>
    <cellStyle name="Normal 4 2 2 3 5" xfId="4815" xr:uid="{2F2ACF92-C118-435B-9CEA-5C4A3C2CA06F}"/>
    <cellStyle name="Normal 4 2 2 3 5 2" xfId="7432" xr:uid="{05923B5A-5C3B-4370-A259-4F9948A2B555}"/>
    <cellStyle name="Normal 4 2 2 3 6" xfId="6124" xr:uid="{8F6DDEA9-C5C0-497C-B1F9-862A532BDC1B}"/>
    <cellStyle name="Normal 4 2 2 4" xfId="2950" xr:uid="{C95DDB79-805C-4C12-A415-C6FAA93F53B4}"/>
    <cellStyle name="Normal 4 2 2 4 2" xfId="3619" xr:uid="{DD3BD707-27A4-49A9-BF52-05B761F4D9B7}"/>
    <cellStyle name="Normal 4 2 2 4 2 2" xfId="4109" xr:uid="{1CA8629E-B514-4020-9FB0-E61D57EF64BD}"/>
    <cellStyle name="Normal 4 2 2 4 2 2 2" xfId="5436" xr:uid="{9C5DD3D0-AF74-4C76-8AE3-08F33C4D4973}"/>
    <cellStyle name="Normal 4 2 2 4 2 2 2 2" xfId="8053" xr:uid="{E8591AE4-5BC2-4A98-BE1A-0CC8E4CDBD9C}"/>
    <cellStyle name="Normal 4 2 2 4 2 2 3" xfId="6745" xr:uid="{6086A942-9565-4FBB-8DB8-575F0FAA3C4A}"/>
    <cellStyle name="Normal 4 2 2 4 2 3" xfId="4964" xr:uid="{02A62DE8-0E4F-4953-9D87-AA10A0106024}"/>
    <cellStyle name="Normal 4 2 2 4 2 3 2" xfId="7581" xr:uid="{792DB95F-21C7-49B3-86E3-A21AA4D920FD}"/>
    <cellStyle name="Normal 4 2 2 4 2 4" xfId="6273" xr:uid="{FC81A4DE-CA40-4F17-9822-F54DCE9B0D40}"/>
    <cellStyle name="Normal 4 2 2 4 3" xfId="3880" xr:uid="{18E2EBAF-A41B-42FF-9C8F-3AB49DF11140}"/>
    <cellStyle name="Normal 4 2 2 4 3 2" xfId="5207" xr:uid="{D66FB98B-85F9-4585-B549-187C9037FC97}"/>
    <cellStyle name="Normal 4 2 2 4 3 2 2" xfId="7824" xr:uid="{EF2D6949-7FE9-41E3-81AB-9F45666266F2}"/>
    <cellStyle name="Normal 4 2 2 4 3 3" xfId="6516" xr:uid="{95FA55BB-959B-4F25-B75E-627FE63EA3C3}"/>
    <cellStyle name="Normal 4 2 2 4 4" xfId="4345" xr:uid="{148F3641-06B4-4DE7-8256-A163FAE001C4}"/>
    <cellStyle name="Normal 4 2 2 4 4 2" xfId="5672" xr:uid="{C07C4262-9638-4B22-99BF-374F99ABFDB4}"/>
    <cellStyle name="Normal 4 2 2 4 4 2 2" xfId="8289" xr:uid="{B3F59D92-6DCA-4F1D-8612-785F1F2FDBD5}"/>
    <cellStyle name="Normal 4 2 2 4 4 3" xfId="6981" xr:uid="{6BC62C2E-5DA0-40FF-BC28-2F32EDACF470}"/>
    <cellStyle name="Normal 4 2 2 4 5" xfId="4735" xr:uid="{31FC6C17-129B-4E22-8EE4-4C68B0766AD6}"/>
    <cellStyle name="Normal 4 2 2 4 5 2" xfId="7352" xr:uid="{341F7C44-1392-4117-881C-E9D4E1FCF8F0}"/>
    <cellStyle name="Normal 4 2 2 4 6" xfId="6044" xr:uid="{7D939238-51A6-4527-9FA9-19BD229AE339}"/>
    <cellStyle name="Normal 4 2 2 5" xfId="3529" xr:uid="{B95641FF-C168-45AD-B8C9-C4F9D814D317}"/>
    <cellStyle name="Normal 4 2 2 5 2" xfId="4019" xr:uid="{85355AE2-CF75-433A-A000-DEDBFEDA4262}"/>
    <cellStyle name="Normal 4 2 2 5 2 2" xfId="5346" xr:uid="{39368AF8-A51A-40F8-943F-35D1D266313E}"/>
    <cellStyle name="Normal 4 2 2 5 2 2 2" xfId="7963" xr:uid="{ECCD640E-5F70-47F6-B41C-19D967C0682B}"/>
    <cellStyle name="Normal 4 2 2 5 2 3" xfId="6655" xr:uid="{E57616BE-C025-4914-86B0-F8F812C5F319}"/>
    <cellStyle name="Normal 4 2 2 5 3" xfId="4496" xr:uid="{2EBF6E7C-9884-4353-9144-A2B779A92C88}"/>
    <cellStyle name="Normal 4 2 2 5 3 2" xfId="5805" xr:uid="{D0210361-6A1B-40B6-826E-AD0D6770217D}"/>
    <cellStyle name="Normal 4 2 2 5 3 2 2" xfId="8422" xr:uid="{9E983E2A-35D4-4235-B84E-64B0BC1A75FE}"/>
    <cellStyle name="Normal 4 2 2 5 3 3" xfId="7114" xr:uid="{A1057D5C-928D-4501-AF55-61C1417E0086}"/>
    <cellStyle name="Normal 4 2 2 5 4" xfId="4874" xr:uid="{CED47A3E-10EB-497E-A8A9-8A5537497AB0}"/>
    <cellStyle name="Normal 4 2 2 5 4 2" xfId="7491" xr:uid="{AE38A2C9-BC34-47DD-AA69-4C583CC1C0AC}"/>
    <cellStyle name="Normal 4 2 2 5 5" xfId="6183" xr:uid="{E985F8F2-0E10-4F02-883E-49C5C3B335B9}"/>
    <cellStyle name="Normal 4 2 2 6" xfId="3790" xr:uid="{1CBE7EBD-5F22-4620-BD9E-B1B091B93F2F}"/>
    <cellStyle name="Normal 4 2 2 6 2" xfId="4541" xr:uid="{FB646E98-C077-4D16-B185-D9320749C409}"/>
    <cellStyle name="Normal 4 2 2 6 2 2" xfId="5850" xr:uid="{87061104-5837-46C8-A09A-082941F69ADE}"/>
    <cellStyle name="Normal 4 2 2 6 2 2 2" xfId="8467" xr:uid="{D5D1A766-6FF5-4F6B-8FA1-B4C3C83C4370}"/>
    <cellStyle name="Normal 4 2 2 6 2 3" xfId="7159" xr:uid="{68AF359D-A777-4C2C-B2AF-0DF2A6687E4A}"/>
    <cellStyle name="Normal 4 2 2 6 3" xfId="5117" xr:uid="{1D1E4D57-AAD3-42FA-9A40-7C70A7F33579}"/>
    <cellStyle name="Normal 4 2 2 6 3 2" xfId="7734" xr:uid="{19F5DD68-AA59-4F40-BA66-7D9E3DC9A9A9}"/>
    <cellStyle name="Normal 4 2 2 6 4" xfId="6426" xr:uid="{C1BF2D23-8661-4246-91C5-B042E4FCFE83}"/>
    <cellStyle name="Normal 4 2 2 7" xfId="4586" xr:uid="{B57DF8DF-F3A1-4BE5-806D-BA3B787DC49C}"/>
    <cellStyle name="Normal 4 2 2 7 2" xfId="5895" xr:uid="{142F4EB4-A815-42FD-8880-DA4C9E7D4D42}"/>
    <cellStyle name="Normal 4 2 2 7 2 2" xfId="8512" xr:uid="{066B0A2F-6D3B-4B10-BB22-29F77394BA09}"/>
    <cellStyle name="Normal 4 2 2 7 3" xfId="7204" xr:uid="{A02CD71D-6690-4EC3-9203-9AA6A2FDB5F1}"/>
    <cellStyle name="Normal 4 2 2 8" xfId="4255" xr:uid="{D36879D3-7224-4604-87EC-99050A50738B}"/>
    <cellStyle name="Normal 4 2 2 8 2" xfId="5582" xr:uid="{7BCEA34F-6F87-4CB6-A3E5-D4F2C586CF07}"/>
    <cellStyle name="Normal 4 2 2 8 2 2" xfId="8199" xr:uid="{642A00A3-A1B5-4502-82F9-1AF2DF6D680E}"/>
    <cellStyle name="Normal 4 2 2 8 3" xfId="6891" xr:uid="{8240D99A-47F1-4B9A-BB8D-1042C279383D}"/>
    <cellStyle name="Normal 4 2 2 9" xfId="4645" xr:uid="{AAB53F77-F83B-454E-A247-3E47C9DBEF79}"/>
    <cellStyle name="Normal 4 2 2 9 2" xfId="7262" xr:uid="{6A83926E-2B34-4498-BE28-ADF619D9FBF1}"/>
    <cellStyle name="Normal 4 2 3" xfId="2888" xr:uid="{32807B66-8F0E-4006-9465-31D3322D1FA5}"/>
    <cellStyle name="Normal 4 2 3 2" xfId="2989" xr:uid="{D2CD65BD-F44D-476A-8304-1002F84EE031}"/>
    <cellStyle name="Normal 4 2 3 2 2" xfId="3658" xr:uid="{7F9D4086-4BC7-4361-8FF1-EDBC554D495F}"/>
    <cellStyle name="Normal 4 2 3 2 2 2" xfId="4132" xr:uid="{58DE9AEF-E87D-4E09-AB52-50B6F36E9EF8}"/>
    <cellStyle name="Normal 4 2 3 2 2 2 2" xfId="5459" xr:uid="{97B0C174-67F5-476E-A5CA-854FDC292DC5}"/>
    <cellStyle name="Normal 4 2 3 2 2 2 2 2" xfId="8076" xr:uid="{7997DBEF-DB07-4719-BE04-A300A2B87D71}"/>
    <cellStyle name="Normal 4 2 3 2 2 2 3" xfId="6768" xr:uid="{81CF7261-A29B-4FA7-9D3B-039535954800}"/>
    <cellStyle name="Normal 4 2 3 2 2 3" xfId="4987" xr:uid="{1B9F9719-CADD-476D-84FB-2F12A92EF884}"/>
    <cellStyle name="Normal 4 2 3 2 2 3 2" xfId="7604" xr:uid="{8A1F6BA1-D114-48DF-AF7D-06183C9A0684}"/>
    <cellStyle name="Normal 4 2 3 2 2 4" xfId="6296" xr:uid="{6FBA7CF9-639C-467B-BD98-C836611A4A99}"/>
    <cellStyle name="Normal 4 2 3 2 3" xfId="3903" xr:uid="{12C1AAEF-E2B6-4803-9E20-BB6013541BE4}"/>
    <cellStyle name="Normal 4 2 3 2 3 2" xfId="5230" xr:uid="{C45ADFAE-4413-44D7-983B-B9386067E946}"/>
    <cellStyle name="Normal 4 2 3 2 3 2 2" xfId="7847" xr:uid="{E26AE89C-5D2E-4994-92F4-146F21CBDFD3}"/>
    <cellStyle name="Normal 4 2 3 2 3 3" xfId="6539" xr:uid="{8152E471-61EA-4B9B-9673-1782588482C9}"/>
    <cellStyle name="Normal 4 2 3 2 4" xfId="4368" xr:uid="{867F3E80-A946-4982-B24F-28D315FF545A}"/>
    <cellStyle name="Normal 4 2 3 2 4 2" xfId="5695" xr:uid="{B6F87F92-F6CD-4DFE-BEEB-A58DAD8D19B4}"/>
    <cellStyle name="Normal 4 2 3 2 4 2 2" xfId="8312" xr:uid="{E6EFCDE8-9022-45AC-AD87-D86A18D2AB8C}"/>
    <cellStyle name="Normal 4 2 3 2 4 3" xfId="7004" xr:uid="{70E89534-A391-48B7-B35E-59F96EE8D8EB}"/>
    <cellStyle name="Normal 4 2 3 2 5" xfId="4758" xr:uid="{9CE0FF23-420B-41CD-A50D-7449152359C7}"/>
    <cellStyle name="Normal 4 2 3 2 5 2" xfId="7375" xr:uid="{8BD5CE46-8C5B-4EC8-B4B6-FB07B70C56BA}"/>
    <cellStyle name="Normal 4 2 3 2 6" xfId="6067" xr:uid="{F6DD7E53-219C-41A6-8A56-BC2889203834}"/>
    <cellStyle name="Normal 4 2 3 3" xfId="3557" xr:uid="{A82876CE-3AC7-40AF-942A-CC71D7FE0E16}"/>
    <cellStyle name="Normal 4 2 3 3 2" xfId="4047" xr:uid="{15A7619E-B0C6-4C7D-B05B-4942A9882E64}"/>
    <cellStyle name="Normal 4 2 3 3 2 2" xfId="5374" xr:uid="{68A50367-ADBE-46B2-9051-2CE1CD5609B6}"/>
    <cellStyle name="Normal 4 2 3 3 2 2 2" xfId="7991" xr:uid="{396D941E-4385-49FD-A427-ACC5651DF058}"/>
    <cellStyle name="Normal 4 2 3 3 2 3" xfId="6683" xr:uid="{F8DFB1A7-B4DB-4FC1-B383-1A8E264261B9}"/>
    <cellStyle name="Normal 4 2 3 3 3" xfId="4902" xr:uid="{8DAC2528-160C-453E-912E-9DAEDD44EB20}"/>
    <cellStyle name="Normal 4 2 3 3 3 2" xfId="7519" xr:uid="{F49F2A9B-7908-46B5-9D90-7DE11496EE6F}"/>
    <cellStyle name="Normal 4 2 3 3 4" xfId="6211" xr:uid="{49CD7156-D49C-48FE-8102-5020792E728D}"/>
    <cellStyle name="Normal 4 2 3 4" xfId="3818" xr:uid="{E5C78F9A-4B81-41F9-9E2E-4BCE86DF4BCD}"/>
    <cellStyle name="Normal 4 2 3 4 2" xfId="5145" xr:uid="{9E650EE1-36FB-416E-BDA7-9D56E7574616}"/>
    <cellStyle name="Normal 4 2 3 4 2 2" xfId="7762" xr:uid="{15E04406-EC17-4AB7-88D8-DD418A6B3AD4}"/>
    <cellStyle name="Normal 4 2 3 4 3" xfId="6454" xr:uid="{086F6BCD-3C27-4B33-9ECA-5FD15F21C196}"/>
    <cellStyle name="Normal 4 2 3 5" xfId="4283" xr:uid="{75E31C7D-CEC2-4EAA-8542-B506E8276282}"/>
    <cellStyle name="Normal 4 2 3 5 2" xfId="5610" xr:uid="{84DE716D-6DD1-46AF-8FE0-BF99CCDF0CF1}"/>
    <cellStyle name="Normal 4 2 3 5 2 2" xfId="8227" xr:uid="{DC40D2F5-5DB3-456A-81D6-28FDA099A2F2}"/>
    <cellStyle name="Normal 4 2 3 5 3" xfId="6919" xr:uid="{F6464416-8155-4032-85DE-134D08DDC9F5}"/>
    <cellStyle name="Normal 4 2 3 6" xfId="4673" xr:uid="{28FDFAB8-A215-46B8-9F5A-95F973C14580}"/>
    <cellStyle name="Normal 4 2 3 6 2" xfId="7290" xr:uid="{3D4E5EDE-5752-4458-A9BC-C77FD80EECC8}"/>
    <cellStyle name="Normal 4 2 3 7" xfId="5982" xr:uid="{4AA43550-844F-4E7D-8FB0-DC0B1195F3B8}"/>
    <cellStyle name="Normal 4 2 4" xfId="3426" xr:uid="{394C2112-16E4-407C-8D72-54B8B4347EA6}"/>
    <cellStyle name="Normal 4 2 4 2" xfId="3698" xr:uid="{71AE0EC5-12FA-47C6-AC62-AAFF5AA9056E}"/>
    <cellStyle name="Normal 4 2 4 2 2" xfId="4172" xr:uid="{87E7FF21-20AF-4F38-9124-A76F9BFF7AAF}"/>
    <cellStyle name="Normal 4 2 4 2 2 2" xfId="5499" xr:uid="{AC7AD16E-F609-4CD4-AD3E-41F6AA13D98C}"/>
    <cellStyle name="Normal 4 2 4 2 2 2 2" xfId="8116" xr:uid="{2EBAC9CD-0129-4631-B143-361D7EC20E79}"/>
    <cellStyle name="Normal 4 2 4 2 2 3" xfId="6808" xr:uid="{B955DADA-743D-4754-A77C-0FAC0DEE0B8B}"/>
    <cellStyle name="Normal 4 2 4 2 3" xfId="5027" xr:uid="{F89A5B28-38EF-41BD-85D3-C7A99D60372A}"/>
    <cellStyle name="Normal 4 2 4 2 3 2" xfId="7644" xr:uid="{1BF2F863-1765-405D-AB19-28026460D7A2}"/>
    <cellStyle name="Normal 4 2 4 2 4" xfId="6336" xr:uid="{8D8AE9F6-BEF1-4E92-9A57-62576B8391F6}"/>
    <cellStyle name="Normal 4 2 4 3" xfId="3943" xr:uid="{032351A8-A912-4CC2-B11D-10B14FBD88CB}"/>
    <cellStyle name="Normal 4 2 4 3 2" xfId="5270" xr:uid="{62E4DDC9-B034-447A-8BA2-3AAEEB1376D2}"/>
    <cellStyle name="Normal 4 2 4 3 2 2" xfId="7887" xr:uid="{ABD1ADE3-5B29-4339-9EFC-88F829DB1485}"/>
    <cellStyle name="Normal 4 2 4 3 3" xfId="6579" xr:uid="{1C4DE303-FA8A-45DF-B5C8-528086A18AF9}"/>
    <cellStyle name="Normal 4 2 4 4" xfId="4408" xr:uid="{447A6435-987A-4596-A029-6BE63071492C}"/>
    <cellStyle name="Normal 4 2 4 4 2" xfId="5735" xr:uid="{B8C108A3-9C91-44FD-B5D0-9FB4A3EA914A}"/>
    <cellStyle name="Normal 4 2 4 4 2 2" xfId="8352" xr:uid="{6C4C20CC-5AD8-4284-B3BB-11848F8C0729}"/>
    <cellStyle name="Normal 4 2 4 4 3" xfId="7044" xr:uid="{D8C1EA33-2451-48FB-A47E-1495E700F2B7}"/>
    <cellStyle name="Normal 4 2 4 5" xfId="4798" xr:uid="{6F5F3099-A2DA-4114-9AE3-9A2E662967A1}"/>
    <cellStyle name="Normal 4 2 4 5 2" xfId="7415" xr:uid="{EA071FFD-2B81-44F0-B714-8BEA4AF566A1}"/>
    <cellStyle name="Normal 4 2 4 6" xfId="6107" xr:uid="{0702D366-D5B4-4DDB-B06F-9FAD022867F9}"/>
    <cellStyle name="Normal 4 2 5" xfId="2933" xr:uid="{7422A233-B604-4CEF-8DB3-3B38D3B76A4F}"/>
    <cellStyle name="Normal 4 2 5 2" xfId="3602" xr:uid="{B3A4FAF7-0A25-4FD0-99A6-9D242DCD9793}"/>
    <cellStyle name="Normal 4 2 5 2 2" xfId="4092" xr:uid="{2436D9EF-FF48-44E7-BD34-AFA08A49697F}"/>
    <cellStyle name="Normal 4 2 5 2 2 2" xfId="5419" xr:uid="{C96A1304-5D2A-457A-B09F-96A39F108269}"/>
    <cellStyle name="Normal 4 2 5 2 2 2 2" xfId="8036" xr:uid="{54605760-82E8-4CBE-9573-05AED660EDD6}"/>
    <cellStyle name="Normal 4 2 5 2 2 3" xfId="6728" xr:uid="{29B0195D-D725-4EAC-B8F5-EF8883EBCD2D}"/>
    <cellStyle name="Normal 4 2 5 2 3" xfId="4947" xr:uid="{6B3E54F3-223B-474F-BFFE-1C2F7A765191}"/>
    <cellStyle name="Normal 4 2 5 2 3 2" xfId="7564" xr:uid="{67262C43-106E-41C0-8B87-5F7DDD1A035F}"/>
    <cellStyle name="Normal 4 2 5 2 4" xfId="6256" xr:uid="{2A65AA54-5FB9-4760-95B5-2CCDA7EE6D16}"/>
    <cellStyle name="Normal 4 2 5 3" xfId="3863" xr:uid="{D5952D58-1497-4859-B9BF-EEAB68663D17}"/>
    <cellStyle name="Normal 4 2 5 3 2" xfId="5190" xr:uid="{5D43BD29-EAED-4355-B8FE-9EE9815C04BE}"/>
    <cellStyle name="Normal 4 2 5 3 2 2" xfId="7807" xr:uid="{6D216E53-DBBD-478C-BF24-972013B2BF91}"/>
    <cellStyle name="Normal 4 2 5 3 3" xfId="6499" xr:uid="{9AE70929-8863-4354-822C-8428329E985B}"/>
    <cellStyle name="Normal 4 2 5 4" xfId="4328" xr:uid="{80B7B833-6DD7-47AA-A017-8E6A14677B2C}"/>
    <cellStyle name="Normal 4 2 5 4 2" xfId="5655" xr:uid="{98E0E66B-ADB2-4F52-BE2B-DC76C07B890A}"/>
    <cellStyle name="Normal 4 2 5 4 2 2" xfId="8272" xr:uid="{C1363DBA-61DD-4669-8E86-38598C91EC65}"/>
    <cellStyle name="Normal 4 2 5 4 3" xfId="6964" xr:uid="{60A2FE0B-26D8-4820-B3E4-77480561C0F0}"/>
    <cellStyle name="Normal 4 2 5 5" xfId="4718" xr:uid="{D26F8D4A-31D3-4691-B71F-37EA8955CA6F}"/>
    <cellStyle name="Normal 4 2 5 5 2" xfId="7335" xr:uid="{CFED2460-2601-4BD2-B0CE-8A4C36994BC4}"/>
    <cellStyle name="Normal 4 2 5 6" xfId="6027" xr:uid="{D43D1A9A-71D7-4EE0-8748-0729181D35E9}"/>
    <cellStyle name="Normal 4 2 6" xfId="3512" xr:uid="{4499489B-EA7A-4C79-88EE-8A8C8CDEE43E}"/>
    <cellStyle name="Normal 4 2 6 2" xfId="4002" xr:uid="{4B088BB6-6B00-449E-8D8B-B65B5B9C8DAD}"/>
    <cellStyle name="Normal 4 2 6 2 2" xfId="5329" xr:uid="{4B54A1B7-E1D8-472C-BB87-F631B658AAE4}"/>
    <cellStyle name="Normal 4 2 6 2 2 2" xfId="7946" xr:uid="{7FC2A5F3-2508-48AE-98DB-337FC9122B14}"/>
    <cellStyle name="Normal 4 2 6 2 3" xfId="6638" xr:uid="{1A987B47-1122-49C5-9ECB-0B747012E922}"/>
    <cellStyle name="Normal 4 2 6 3" xfId="4478" xr:uid="{9B07BF67-5404-4F01-91C6-5A30FDDBECC3}"/>
    <cellStyle name="Normal 4 2 6 3 2" xfId="5788" xr:uid="{D9893489-E49A-42C4-9D11-B552B3E2659A}"/>
    <cellStyle name="Normal 4 2 6 3 2 2" xfId="8405" xr:uid="{802BA639-B7C5-4866-ADA9-FE3978C2E1C7}"/>
    <cellStyle name="Normal 4 2 6 3 3" xfId="7097" xr:uid="{7A2A90CE-BEB3-4F75-A8A2-2F94ACBF7EB4}"/>
    <cellStyle name="Normal 4 2 6 4" xfId="4857" xr:uid="{690DF04B-DA69-4ACC-B030-051F98FA020E}"/>
    <cellStyle name="Normal 4 2 6 4 2" xfId="7474" xr:uid="{D669F809-8FAE-447C-8571-E34B8C81B9A9}"/>
    <cellStyle name="Normal 4 2 6 5" xfId="6166" xr:uid="{AA44060B-2245-45B2-A072-5F90D1374C4E}"/>
    <cellStyle name="Normal 4 2 7" xfId="3773" xr:uid="{FD17BB32-3D9C-45FD-AA2E-45176CA9320F}"/>
    <cellStyle name="Normal 4 2 7 2" xfId="4524" xr:uid="{9E7E688B-A929-4F19-8928-C715FEBC234A}"/>
    <cellStyle name="Normal 4 2 7 2 2" xfId="5833" xr:uid="{3EE31E61-7776-4C93-905A-633B31A85F66}"/>
    <cellStyle name="Normal 4 2 7 2 2 2" xfId="8450" xr:uid="{FE9BA71D-1F14-471C-8682-BD3FBF4A9FBC}"/>
    <cellStyle name="Normal 4 2 7 2 3" xfId="7142" xr:uid="{E51EDDE0-49F8-47E2-B216-5C238F6D0550}"/>
    <cellStyle name="Normal 4 2 7 3" xfId="5100" xr:uid="{223D3C81-E185-481F-8F9F-13BBFAC17427}"/>
    <cellStyle name="Normal 4 2 7 3 2" xfId="7717" xr:uid="{6925AD5E-C87C-4BEF-A505-34148F35900E}"/>
    <cellStyle name="Normal 4 2 7 4" xfId="6409" xr:uid="{5627F554-C1CF-4DCC-A131-755D88DF84E6}"/>
    <cellStyle name="Normal 4 2 8" xfId="4569" xr:uid="{3250749C-D2FA-4985-9499-40BC513F79AD}"/>
    <cellStyle name="Normal 4 2 8 2" xfId="5878" xr:uid="{FF4D3467-6392-461D-B51A-4D14AA569042}"/>
    <cellStyle name="Normal 4 2 8 2 2" xfId="8495" xr:uid="{A939B4F6-C3E1-4669-91A1-311814969359}"/>
    <cellStyle name="Normal 4 2 8 3" xfId="7187" xr:uid="{DAC385C2-C100-41DD-A256-4C0E5A8D6E49}"/>
    <cellStyle name="Normal 4 2 9" xfId="4238" xr:uid="{C0673040-077E-402C-A55B-75200D4F0534}"/>
    <cellStyle name="Normal 4 2 9 2" xfId="5565" xr:uid="{3CD88CE8-2C70-47D5-9791-2E005E077E67}"/>
    <cellStyle name="Normal 4 2 9 2 2" xfId="8182" xr:uid="{99E71785-B21C-4E05-B3F3-696D157F245B}"/>
    <cellStyle name="Normal 4 2 9 3" xfId="6874" xr:uid="{3E46DA2D-BCE2-4A95-81F2-2BB73EF654F9}"/>
    <cellStyle name="Normal 4 3" xfId="2543" xr:uid="{918D0AE9-E5FF-4630-BA05-01194FA592A7}"/>
    <cellStyle name="Normal 4 3 10" xfId="4632" xr:uid="{94830ABD-1DA7-45AF-B138-1588E7CC06B3}"/>
    <cellStyle name="Normal 4 3 10 2" xfId="7249" xr:uid="{B946A1A5-114E-46E9-A30A-DD95DBD1A349}"/>
    <cellStyle name="Normal 4 3 11" xfId="5941" xr:uid="{286BDE22-1C5E-47E6-94E1-43BE0F30A091}"/>
    <cellStyle name="Normal 4 3 2" xfId="2862" xr:uid="{9308B8F3-7CE6-46C1-A75D-049C6385FC8D}"/>
    <cellStyle name="Normal 4 3 2 10" xfId="5958" xr:uid="{DF71E266-D25A-45D8-8196-320EEE0494A1}"/>
    <cellStyle name="Normal 4 3 2 2" xfId="2909" xr:uid="{641F7540-879F-45AA-9C0A-C59E50BF4057}"/>
    <cellStyle name="Normal 4 3 2 2 2" xfId="3010" xr:uid="{F6C4FED6-3C1A-4E38-8D52-2356BFED5434}"/>
    <cellStyle name="Normal 4 3 2 2 2 2" xfId="3679" xr:uid="{9BB7E6B7-70F9-47A6-94F7-5F831ABB233A}"/>
    <cellStyle name="Normal 4 3 2 2 2 2 2" xfId="4153" xr:uid="{63FAF301-5221-43FF-84CF-29E727245E64}"/>
    <cellStyle name="Normal 4 3 2 2 2 2 2 2" xfId="5480" xr:uid="{CE211EEC-7F88-481E-B27D-B5172B297216}"/>
    <cellStyle name="Normal 4 3 2 2 2 2 2 2 2" xfId="8097" xr:uid="{46CB7723-E35A-44AF-8334-9AEFA7BD5133}"/>
    <cellStyle name="Normal 4 3 2 2 2 2 2 3" xfId="6789" xr:uid="{FFFAF769-26BA-459A-B1B3-5C0289B35A41}"/>
    <cellStyle name="Normal 4 3 2 2 2 2 3" xfId="5008" xr:uid="{36AE685F-D365-47C4-BF9A-ED157D3DB6EB}"/>
    <cellStyle name="Normal 4 3 2 2 2 2 3 2" xfId="7625" xr:uid="{ABD97B40-D509-4A76-B358-ECF8F78978F3}"/>
    <cellStyle name="Normal 4 3 2 2 2 2 4" xfId="6317" xr:uid="{EACEC74D-E65C-4B01-95A4-0FA521E1CBC6}"/>
    <cellStyle name="Normal 4 3 2 2 2 3" xfId="3924" xr:uid="{7FBC74B6-7AB1-4F4C-AE46-6DC370CE1FEC}"/>
    <cellStyle name="Normal 4 3 2 2 2 3 2" xfId="5251" xr:uid="{BFDEFF36-1FE9-47AF-A460-04289107D980}"/>
    <cellStyle name="Normal 4 3 2 2 2 3 2 2" xfId="7868" xr:uid="{A5FE8227-898E-455F-9DE0-BEEBB2C56D6E}"/>
    <cellStyle name="Normal 4 3 2 2 2 3 3" xfId="6560" xr:uid="{47C42BD2-39DB-427A-8504-E3272C8D123F}"/>
    <cellStyle name="Normal 4 3 2 2 2 4" xfId="4389" xr:uid="{EB048D6F-9115-4BD8-BE64-2D34F2975C98}"/>
    <cellStyle name="Normal 4 3 2 2 2 4 2" xfId="5716" xr:uid="{DF8412ED-3315-4E3F-8F9C-61F7C89912FE}"/>
    <cellStyle name="Normal 4 3 2 2 2 4 2 2" xfId="8333" xr:uid="{A4700B52-A184-4046-866C-5A531982F47C}"/>
    <cellStyle name="Normal 4 3 2 2 2 4 3" xfId="7025" xr:uid="{964C6E91-A3AC-4425-B187-A4915ED0D2A1}"/>
    <cellStyle name="Normal 4 3 2 2 2 5" xfId="4779" xr:uid="{CA2F14CF-DBBA-4487-9091-D74C7D6F5467}"/>
    <cellStyle name="Normal 4 3 2 2 2 5 2" xfId="7396" xr:uid="{EBC0FA7C-0A9D-49BB-B6C2-B366D365E7D5}"/>
    <cellStyle name="Normal 4 3 2 2 2 6" xfId="6088" xr:uid="{54B70555-F297-4947-A74E-B00A08FEBF11}"/>
    <cellStyle name="Normal 4 3 2 2 3" xfId="3578" xr:uid="{3502D45F-E9A4-483F-A01F-19140A102337}"/>
    <cellStyle name="Normal 4 3 2 2 3 2" xfId="4068" xr:uid="{A1B5AD3F-01C8-46E8-B40F-6F0ED1DA5538}"/>
    <cellStyle name="Normal 4 3 2 2 3 2 2" xfId="5395" xr:uid="{2DD1D491-0C0B-44C9-BE5E-46DDB9F20B87}"/>
    <cellStyle name="Normal 4 3 2 2 3 2 2 2" xfId="8012" xr:uid="{FFFEE8E3-DEAA-47E9-90E3-8DD9E884C1D1}"/>
    <cellStyle name="Normal 4 3 2 2 3 2 3" xfId="6704" xr:uid="{7241447B-03E9-47EE-9323-1548556F09B3}"/>
    <cellStyle name="Normal 4 3 2 2 3 3" xfId="4923" xr:uid="{F4E987C2-EE45-418D-A316-93E973702AC4}"/>
    <cellStyle name="Normal 4 3 2 2 3 3 2" xfId="7540" xr:uid="{E44B6105-2303-4745-84FA-136A9E08A56B}"/>
    <cellStyle name="Normal 4 3 2 2 3 4" xfId="6232" xr:uid="{53BC8D7B-0326-4A8F-AA02-C1A6B12886BB}"/>
    <cellStyle name="Normal 4 3 2 2 4" xfId="3839" xr:uid="{E2D6B90C-9439-4695-84E3-F3F9DCD376FE}"/>
    <cellStyle name="Normal 4 3 2 2 4 2" xfId="5166" xr:uid="{EDB69A50-EEBC-4067-82BC-4101C67B70E6}"/>
    <cellStyle name="Normal 4 3 2 2 4 2 2" xfId="7783" xr:uid="{61A0DA1F-8A2B-4236-AC2A-16626D4E5527}"/>
    <cellStyle name="Normal 4 3 2 2 4 3" xfId="6475" xr:uid="{3FD6C6DC-EF92-4056-8939-7C0C69C01846}"/>
    <cellStyle name="Normal 4 3 2 2 5" xfId="4304" xr:uid="{B4A11DB6-49C0-4516-8BD4-00D649E23DEC}"/>
    <cellStyle name="Normal 4 3 2 2 5 2" xfId="5631" xr:uid="{67617F19-830B-4FCE-9C12-E5BF2631E92F}"/>
    <cellStyle name="Normal 4 3 2 2 5 2 2" xfId="8248" xr:uid="{CF702B23-F8CB-4B9B-A8C7-777850E76AE0}"/>
    <cellStyle name="Normal 4 3 2 2 5 3" xfId="6940" xr:uid="{CF56A683-4439-4691-96CD-219B3A50987D}"/>
    <cellStyle name="Normal 4 3 2 2 6" xfId="4694" xr:uid="{113FBD30-C836-4D2E-9C84-75E287996B57}"/>
    <cellStyle name="Normal 4 3 2 2 6 2" xfId="7311" xr:uid="{6AE6C779-6158-4B72-8028-5EED4C226B97}"/>
    <cellStyle name="Normal 4 3 2 2 7" xfId="6003" xr:uid="{C2D74F05-17E0-4D42-BB0E-6338B26DAC4E}"/>
    <cellStyle name="Normal 4 3 2 3" xfId="3454" xr:uid="{40666BB9-5300-4A90-A041-C2B05E0212C7}"/>
    <cellStyle name="Normal 4 3 2 3 2" xfId="3719" xr:uid="{27CD0467-DAC3-4379-9F87-015AC64E0485}"/>
    <cellStyle name="Normal 4 3 2 3 2 2" xfId="4193" xr:uid="{3FF48245-FCA1-46E6-A65D-C7227B97C575}"/>
    <cellStyle name="Normal 4 3 2 3 2 2 2" xfId="5520" xr:uid="{8D67E441-34CA-40FE-B8DB-148595ADD97A}"/>
    <cellStyle name="Normal 4 3 2 3 2 2 2 2" xfId="8137" xr:uid="{19F766AE-F26E-4DFF-90AC-F46B3AE4C9F7}"/>
    <cellStyle name="Normal 4 3 2 3 2 2 3" xfId="6829" xr:uid="{3DF7FCBC-C59C-4E1C-9E90-766FB61FD2A2}"/>
    <cellStyle name="Normal 4 3 2 3 2 3" xfId="5048" xr:uid="{5A2A44DB-91C8-491D-8E12-049ECB82E724}"/>
    <cellStyle name="Normal 4 3 2 3 2 3 2" xfId="7665" xr:uid="{B389C7B5-63B1-4E7B-A657-325BA9F02F86}"/>
    <cellStyle name="Normal 4 3 2 3 2 4" xfId="6357" xr:uid="{D5114269-016D-443A-909E-9E88FB1D7C05}"/>
    <cellStyle name="Normal 4 3 2 3 3" xfId="3964" xr:uid="{DFBFA6B4-E2BA-420B-B169-D5CE153A835F}"/>
    <cellStyle name="Normal 4 3 2 3 3 2" xfId="5291" xr:uid="{6CA13A80-1FEF-4734-B393-A5FB6737A4A7}"/>
    <cellStyle name="Normal 4 3 2 3 3 2 2" xfId="7908" xr:uid="{7A3E8A70-DB93-42D9-9249-3763EE8BD619}"/>
    <cellStyle name="Normal 4 3 2 3 3 3" xfId="6600" xr:uid="{DB13D298-92DF-4BA5-BEFB-FF0D6EB97822}"/>
    <cellStyle name="Normal 4 3 2 3 4" xfId="4429" xr:uid="{D3745479-BDA0-4963-9426-3FA7E4C52EF8}"/>
    <cellStyle name="Normal 4 3 2 3 4 2" xfId="5756" xr:uid="{85F2E246-3B73-434D-A650-691D9ADF5ABD}"/>
    <cellStyle name="Normal 4 3 2 3 4 2 2" xfId="8373" xr:uid="{E2DDB75D-1F60-4C9C-B0DF-26D5D54429B9}"/>
    <cellStyle name="Normal 4 3 2 3 4 3" xfId="7065" xr:uid="{99C751A5-FF17-46F7-8BAC-F5AE6B114F20}"/>
    <cellStyle name="Normal 4 3 2 3 5" xfId="4819" xr:uid="{F9F34E00-0247-4934-AA5B-4A97863A8F47}"/>
    <cellStyle name="Normal 4 3 2 3 5 2" xfId="7436" xr:uid="{3B3DD200-E27D-46B4-8B7D-359637FDADAB}"/>
    <cellStyle name="Normal 4 3 2 3 6" xfId="6128" xr:uid="{AD846F6B-3AA5-48B5-9D91-897AC68CB5DE}"/>
    <cellStyle name="Normal 4 3 2 4" xfId="2954" xr:uid="{A9FD7A50-AF92-46E9-B0DE-DEF8A5AB0621}"/>
    <cellStyle name="Normal 4 3 2 4 2" xfId="3623" xr:uid="{1861C970-CC5A-4BEB-AD97-887F2A8BE552}"/>
    <cellStyle name="Normal 4 3 2 4 2 2" xfId="4113" xr:uid="{F94AF5AB-6D4F-4BD0-8DC9-F6171DA1A7DD}"/>
    <cellStyle name="Normal 4 3 2 4 2 2 2" xfId="5440" xr:uid="{1E53C87F-442A-4C8D-8DA2-AE598A17BA5E}"/>
    <cellStyle name="Normal 4 3 2 4 2 2 2 2" xfId="8057" xr:uid="{32E92E15-37B3-4021-8E4E-6F721E8D593C}"/>
    <cellStyle name="Normal 4 3 2 4 2 2 3" xfId="6749" xr:uid="{BED86073-9E0C-43F1-8D80-07C41340FEE7}"/>
    <cellStyle name="Normal 4 3 2 4 2 3" xfId="4968" xr:uid="{F3563C2C-46AC-4A15-A47A-938C28EF8D2A}"/>
    <cellStyle name="Normal 4 3 2 4 2 3 2" xfId="7585" xr:uid="{8C06AEF5-F102-4235-9A4F-A8896091BC76}"/>
    <cellStyle name="Normal 4 3 2 4 2 4" xfId="6277" xr:uid="{95E68023-50C5-4401-9B6F-B08EB7174F60}"/>
    <cellStyle name="Normal 4 3 2 4 3" xfId="3884" xr:uid="{B5A05E43-7B3F-4E94-8977-201B6BD92FF6}"/>
    <cellStyle name="Normal 4 3 2 4 3 2" xfId="5211" xr:uid="{799B7F3A-E4D7-4ED8-9E01-AE631C07F742}"/>
    <cellStyle name="Normal 4 3 2 4 3 2 2" xfId="7828" xr:uid="{EC0CE1CF-8799-4D65-90E3-1DCF1FA871ED}"/>
    <cellStyle name="Normal 4 3 2 4 3 3" xfId="6520" xr:uid="{43CB06FA-6694-4116-BC8F-EDDEEF1BDA89}"/>
    <cellStyle name="Normal 4 3 2 4 4" xfId="4349" xr:uid="{619C36EE-030C-4C43-8AA1-72D02F7975DC}"/>
    <cellStyle name="Normal 4 3 2 4 4 2" xfId="5676" xr:uid="{81C61221-E900-47D8-9B4F-C82F2DDEF674}"/>
    <cellStyle name="Normal 4 3 2 4 4 2 2" xfId="8293" xr:uid="{3CD7738C-D622-4E85-9AA8-815EDC22B502}"/>
    <cellStyle name="Normal 4 3 2 4 4 3" xfId="6985" xr:uid="{23416727-5AD0-4650-A6CF-9E7C8951C039}"/>
    <cellStyle name="Normal 4 3 2 4 5" xfId="4739" xr:uid="{F9A83FD1-7157-48A2-AD5D-5A13685EC5F0}"/>
    <cellStyle name="Normal 4 3 2 4 5 2" xfId="7356" xr:uid="{BDD49419-2BF8-4E71-A8F9-429A17B95657}"/>
    <cellStyle name="Normal 4 3 2 4 6" xfId="6048" xr:uid="{4B9A40AC-CC7D-4149-BD32-F9134B683926}"/>
    <cellStyle name="Normal 4 3 2 5" xfId="3533" xr:uid="{2A1BC6D7-965B-4D75-8A88-2EC268E535D0}"/>
    <cellStyle name="Normal 4 3 2 5 2" xfId="4023" xr:uid="{8BD08DBA-EC8C-42F5-A1AE-6A10202FE4D0}"/>
    <cellStyle name="Normal 4 3 2 5 2 2" xfId="5350" xr:uid="{5EEE8278-5C4B-4E7A-A40A-815DC90D22E6}"/>
    <cellStyle name="Normal 4 3 2 5 2 2 2" xfId="7967" xr:uid="{D1DD4C81-944F-4D57-894C-D3D80C0255F9}"/>
    <cellStyle name="Normal 4 3 2 5 2 3" xfId="6659" xr:uid="{6F38B7F0-8A62-471C-B0F9-2FEEC497C595}"/>
    <cellStyle name="Normal 4 3 2 5 3" xfId="4500" xr:uid="{DA4A311E-4172-484B-8769-B4B35D4279B6}"/>
    <cellStyle name="Normal 4 3 2 5 3 2" xfId="5809" xr:uid="{4BE0826C-E831-4BBE-BBF3-CA4D79846668}"/>
    <cellStyle name="Normal 4 3 2 5 3 2 2" xfId="8426" xr:uid="{156D0814-814A-4CE0-9503-3A1C9C974A2F}"/>
    <cellStyle name="Normal 4 3 2 5 3 3" xfId="7118" xr:uid="{041A704A-2259-4CC5-AD86-3BE130F5869F}"/>
    <cellStyle name="Normal 4 3 2 5 4" xfId="4878" xr:uid="{7BF458C9-5657-495F-8EA7-353FFF58018A}"/>
    <cellStyle name="Normal 4 3 2 5 4 2" xfId="7495" xr:uid="{F875519C-827F-4999-9F56-CBF8BF2B488D}"/>
    <cellStyle name="Normal 4 3 2 5 5" xfId="6187" xr:uid="{7787EA4B-F4DE-4A38-85C4-D42731EB0851}"/>
    <cellStyle name="Normal 4 3 2 6" xfId="3794" xr:uid="{6077901D-2D2F-4B0B-B9BB-20AB77B1AA1E}"/>
    <cellStyle name="Normal 4 3 2 6 2" xfId="4545" xr:uid="{CCEC375E-CFFD-4F67-BD58-782AB7912243}"/>
    <cellStyle name="Normal 4 3 2 6 2 2" xfId="5854" xr:uid="{069EB650-329A-4529-89B8-1EA373EB00E7}"/>
    <cellStyle name="Normal 4 3 2 6 2 2 2" xfId="8471" xr:uid="{664D13CD-CF40-44C4-8040-2D73E6991C49}"/>
    <cellStyle name="Normal 4 3 2 6 2 3" xfId="7163" xr:uid="{7076B5CC-E2FF-483F-83AB-D24889A25037}"/>
    <cellStyle name="Normal 4 3 2 6 3" xfId="5121" xr:uid="{5FE6F151-AFBB-4C89-8642-78D340761686}"/>
    <cellStyle name="Normal 4 3 2 6 3 2" xfId="7738" xr:uid="{40941BE1-D4AC-4489-8CEB-3E2F3FE58886}"/>
    <cellStyle name="Normal 4 3 2 6 4" xfId="6430" xr:uid="{7A59AD8B-D8A7-4F1F-8242-A6CC22FAE195}"/>
    <cellStyle name="Normal 4 3 2 7" xfId="4590" xr:uid="{B65BB7D4-6730-4F3E-BA70-1FF448D9E33D}"/>
    <cellStyle name="Normal 4 3 2 7 2" xfId="5899" xr:uid="{D6D690B6-EC5C-4700-B260-C91A6E36DE0C}"/>
    <cellStyle name="Normal 4 3 2 7 2 2" xfId="8516" xr:uid="{F0AED8BC-7B9C-433F-8AA5-D59863CCE433}"/>
    <cellStyle name="Normal 4 3 2 7 3" xfId="7208" xr:uid="{CDAFCE88-27D9-45AF-80E2-286458BE7E5B}"/>
    <cellStyle name="Normal 4 3 2 8" xfId="4259" xr:uid="{2DC74A1E-29D9-4137-B182-1F36B68314EB}"/>
    <cellStyle name="Normal 4 3 2 8 2" xfId="5586" xr:uid="{D7405BD2-F964-40D5-A459-F46E9E7A9295}"/>
    <cellStyle name="Normal 4 3 2 8 2 2" xfId="8203" xr:uid="{D4F7BED4-63C6-48A5-828B-051E6C33591C}"/>
    <cellStyle name="Normal 4 3 2 8 3" xfId="6895" xr:uid="{D2E4BBE2-4B5C-4AAB-9ED6-5B2AA5974784}"/>
    <cellStyle name="Normal 4 3 2 9" xfId="4649" xr:uid="{5EB74CC7-E816-4A82-A10A-D427D09C8B37}"/>
    <cellStyle name="Normal 4 3 2 9 2" xfId="7266" xr:uid="{4296F0A2-6061-4AB2-ADF1-F6E1DAEA0D47}"/>
    <cellStyle name="Normal 4 3 3" xfId="2892" xr:uid="{6C5564FB-3250-4620-823E-01C2904A3432}"/>
    <cellStyle name="Normal 4 3 3 2" xfId="2993" xr:uid="{C673568D-B830-421D-9F57-682A545B10F2}"/>
    <cellStyle name="Normal 4 3 3 2 2" xfId="3662" xr:uid="{7993FE68-3A7B-45CD-8A86-C8FF0BCD0CE9}"/>
    <cellStyle name="Normal 4 3 3 2 2 2" xfId="4136" xr:uid="{2AA88946-7399-45A8-8F6A-0251769B07D8}"/>
    <cellStyle name="Normal 4 3 3 2 2 2 2" xfId="5463" xr:uid="{A17DD75A-6B38-4DFC-A8B3-4F16AAB4E560}"/>
    <cellStyle name="Normal 4 3 3 2 2 2 2 2" xfId="8080" xr:uid="{1D1F068A-FA92-4AB9-A846-F24FD59C9EB5}"/>
    <cellStyle name="Normal 4 3 3 2 2 2 3" xfId="6772" xr:uid="{8A56A9D7-6B47-4BF0-8EE2-E0DFF20A6F1B}"/>
    <cellStyle name="Normal 4 3 3 2 2 3" xfId="4991" xr:uid="{DC35C6BF-834C-4FE5-922E-21C9F2F37CB2}"/>
    <cellStyle name="Normal 4 3 3 2 2 3 2" xfId="7608" xr:uid="{A75BE1B6-A09E-4914-A2E3-6B8168C8DE60}"/>
    <cellStyle name="Normal 4 3 3 2 2 4" xfId="6300" xr:uid="{BE0E8813-1D2A-4187-AAFC-700B974581FB}"/>
    <cellStyle name="Normal 4 3 3 2 3" xfId="3907" xr:uid="{91C32F7D-4B58-4EB6-BE1F-350E6E85BF22}"/>
    <cellStyle name="Normal 4 3 3 2 3 2" xfId="5234" xr:uid="{DAA2F9EC-3884-4068-9259-23C5BF0B3F56}"/>
    <cellStyle name="Normal 4 3 3 2 3 2 2" xfId="7851" xr:uid="{A5443562-C9B9-46D4-A2F5-2E1AFA94D519}"/>
    <cellStyle name="Normal 4 3 3 2 3 3" xfId="6543" xr:uid="{AD86565C-063F-4329-A67D-AA40EBA49589}"/>
    <cellStyle name="Normal 4 3 3 2 4" xfId="4372" xr:uid="{41818823-5148-46D1-9D20-4B0A0C891D08}"/>
    <cellStyle name="Normal 4 3 3 2 4 2" xfId="5699" xr:uid="{6CF94D00-9FEE-4723-8428-157AE83D40F3}"/>
    <cellStyle name="Normal 4 3 3 2 4 2 2" xfId="8316" xr:uid="{C59500EF-2A09-472C-BE50-96F9B8337E6D}"/>
    <cellStyle name="Normal 4 3 3 2 4 3" xfId="7008" xr:uid="{5566E714-9EFB-4E32-B6B8-EA3E9056E27E}"/>
    <cellStyle name="Normal 4 3 3 2 5" xfId="4762" xr:uid="{31547FEE-A8BA-41E1-81EB-AD35E79E8AAA}"/>
    <cellStyle name="Normal 4 3 3 2 5 2" xfId="7379" xr:uid="{4845E5ED-4C90-4D6E-8160-8AB1ACC6DFC0}"/>
    <cellStyle name="Normal 4 3 3 2 6" xfId="6071" xr:uid="{4524CB6C-26FE-434E-86D0-CE1CADE2CD51}"/>
    <cellStyle name="Normal 4 3 3 3" xfId="3561" xr:uid="{EBFA198F-0452-4CF7-B47B-FF3047664F36}"/>
    <cellStyle name="Normal 4 3 3 3 2" xfId="4051" xr:uid="{52231A74-8B16-4300-990E-B2F5A97515D9}"/>
    <cellStyle name="Normal 4 3 3 3 2 2" xfId="5378" xr:uid="{E1D17CCC-7154-4AD2-AF81-1C565BC0E593}"/>
    <cellStyle name="Normal 4 3 3 3 2 2 2" xfId="7995" xr:uid="{D0D6A455-F124-4517-86CC-726E4D63AEAE}"/>
    <cellStyle name="Normal 4 3 3 3 2 3" xfId="6687" xr:uid="{C1A27965-9682-4B48-819E-09EDE847E1E0}"/>
    <cellStyle name="Normal 4 3 3 3 3" xfId="4906" xr:uid="{A9117ADE-97F5-4542-BB39-EB6DCCDBAABC}"/>
    <cellStyle name="Normal 4 3 3 3 3 2" xfId="7523" xr:uid="{EABD53F6-CAFF-48A0-A077-5FF4CEB8F47B}"/>
    <cellStyle name="Normal 4 3 3 3 4" xfId="6215" xr:uid="{FE673922-53E6-454A-948E-586E096BB70D}"/>
    <cellStyle name="Normal 4 3 3 4" xfId="3822" xr:uid="{F88CD1C7-EC3B-40CB-85EE-88FA2D2AA361}"/>
    <cellStyle name="Normal 4 3 3 4 2" xfId="5149" xr:uid="{148FAF55-FFA1-4072-9BA3-6ACA16909EEB}"/>
    <cellStyle name="Normal 4 3 3 4 2 2" xfId="7766" xr:uid="{D12C3AA7-37E2-42FB-99BB-33E0C1EAA493}"/>
    <cellStyle name="Normal 4 3 3 4 3" xfId="6458" xr:uid="{47EDBD4C-1A55-4D2F-B5D4-520C085BA267}"/>
    <cellStyle name="Normal 4 3 3 5" xfId="4287" xr:uid="{87EB48C4-29BF-4326-98D6-170268B14A4D}"/>
    <cellStyle name="Normal 4 3 3 5 2" xfId="5614" xr:uid="{DFCE8EC1-97F0-4E27-BC27-90D03D121DF2}"/>
    <cellStyle name="Normal 4 3 3 5 2 2" xfId="8231" xr:uid="{A7094DD1-92FD-492A-B53B-6F7C9E998931}"/>
    <cellStyle name="Normal 4 3 3 5 3" xfId="6923" xr:uid="{4EFBB30F-D0F2-4A17-A5AB-720B06062B44}"/>
    <cellStyle name="Normal 4 3 3 6" xfId="4677" xr:uid="{4F18F052-7846-48D9-8669-4C59C720EA33}"/>
    <cellStyle name="Normal 4 3 3 6 2" xfId="7294" xr:uid="{AED7F3E5-E136-4DB9-9A98-6F8ECA8BF473}"/>
    <cellStyle name="Normal 4 3 3 7" xfId="5986" xr:uid="{AD0C2B14-1A0D-43DA-AD4D-8A4E80A4A5B4}"/>
    <cellStyle name="Normal 4 3 4" xfId="3436" xr:uid="{9D31176D-BE12-49D1-828B-B3658E91ABDD}"/>
    <cellStyle name="Normal 4 3 4 2" xfId="3702" xr:uid="{8B3D2050-B085-477E-9C06-E5213BFE71A6}"/>
    <cellStyle name="Normal 4 3 4 2 2" xfId="4176" xr:uid="{E857B5D9-7588-4FF7-9690-74FD96D6E31E}"/>
    <cellStyle name="Normal 4 3 4 2 2 2" xfId="5503" xr:uid="{515B7355-8526-49DE-AC52-22BE9CC21419}"/>
    <cellStyle name="Normal 4 3 4 2 2 2 2" xfId="8120" xr:uid="{90FC441D-458B-49A4-AE35-D4CE622FB60C}"/>
    <cellStyle name="Normal 4 3 4 2 2 3" xfId="6812" xr:uid="{CF438576-F24B-46E2-9F9E-92875BF035C5}"/>
    <cellStyle name="Normal 4 3 4 2 3" xfId="5031" xr:uid="{82EF8457-A768-4952-BED6-2F236A49A419}"/>
    <cellStyle name="Normal 4 3 4 2 3 2" xfId="7648" xr:uid="{13069E99-71CC-417D-BE26-B41B8B63568F}"/>
    <cellStyle name="Normal 4 3 4 2 4" xfId="6340" xr:uid="{C0D562A7-74BF-4C94-B1BE-81E10E20A06D}"/>
    <cellStyle name="Normal 4 3 4 3" xfId="3947" xr:uid="{41048E62-3824-49D4-9600-061E1D4E6E15}"/>
    <cellStyle name="Normal 4 3 4 3 2" xfId="5274" xr:uid="{234CD8C1-FE7E-425B-97E5-397AECBA823D}"/>
    <cellStyle name="Normal 4 3 4 3 2 2" xfId="7891" xr:uid="{AB351C4E-5135-4997-B590-38C7619E1322}"/>
    <cellStyle name="Normal 4 3 4 3 3" xfId="6583" xr:uid="{E032BA5B-D971-4DB7-AD26-872CD917620C}"/>
    <cellStyle name="Normal 4 3 4 4" xfId="4412" xr:uid="{1B8603F3-31D9-4410-82F2-1FDA09047A0A}"/>
    <cellStyle name="Normal 4 3 4 4 2" xfId="5739" xr:uid="{74393793-3179-4584-875E-D1D008FC47F5}"/>
    <cellStyle name="Normal 4 3 4 4 2 2" xfId="8356" xr:uid="{07BC2519-FA0D-4C55-8BBA-444AC6118AA3}"/>
    <cellStyle name="Normal 4 3 4 4 3" xfId="7048" xr:uid="{A884FA7E-CA44-4B93-A05D-9EB30F96DEA2}"/>
    <cellStyle name="Normal 4 3 4 5" xfId="4802" xr:uid="{7CFEA8FC-A8EC-4E84-929E-FD13A92B69ED}"/>
    <cellStyle name="Normal 4 3 4 5 2" xfId="7419" xr:uid="{4A2F558F-6A1E-44A1-8ABB-48D83E193768}"/>
    <cellStyle name="Normal 4 3 4 6" xfId="6111" xr:uid="{713FC0BD-3A4C-46F7-AFBB-97895FF7E938}"/>
    <cellStyle name="Normal 4 3 5" xfId="2937" xr:uid="{5A091B88-F41A-4AF7-91C4-1F079688941A}"/>
    <cellStyle name="Normal 4 3 5 2" xfId="3606" xr:uid="{6B8C2F25-0AB1-45B2-AE85-87D20184DFAC}"/>
    <cellStyle name="Normal 4 3 5 2 2" xfId="4096" xr:uid="{5169CE8E-A180-48A1-BC1F-648AD6AC79F7}"/>
    <cellStyle name="Normal 4 3 5 2 2 2" xfId="5423" xr:uid="{0D70890C-D386-4213-A703-8A362C649060}"/>
    <cellStyle name="Normal 4 3 5 2 2 2 2" xfId="8040" xr:uid="{DA345634-1B4D-4BAA-A548-950CC588DACA}"/>
    <cellStyle name="Normal 4 3 5 2 2 3" xfId="6732" xr:uid="{78893D7A-0C56-4FBD-96C2-27883E7CAAD4}"/>
    <cellStyle name="Normal 4 3 5 2 3" xfId="4951" xr:uid="{51F1A991-403E-4689-BA94-5988345F954C}"/>
    <cellStyle name="Normal 4 3 5 2 3 2" xfId="7568" xr:uid="{28FAB7C5-48F4-4BD2-A2CC-BF5E6CF202FB}"/>
    <cellStyle name="Normal 4 3 5 2 4" xfId="6260" xr:uid="{237572D3-873F-4837-B957-DE93BC514D5F}"/>
    <cellStyle name="Normal 4 3 5 3" xfId="3867" xr:uid="{D5BA73BB-208C-4913-B195-88029F470ACB}"/>
    <cellStyle name="Normal 4 3 5 3 2" xfId="5194" xr:uid="{74613FC5-84A4-44D4-A047-8F4DD41D099F}"/>
    <cellStyle name="Normal 4 3 5 3 2 2" xfId="7811" xr:uid="{D88A495E-FB8E-421C-A450-B413B708A143}"/>
    <cellStyle name="Normal 4 3 5 3 3" xfId="6503" xr:uid="{D0AB8AC7-1AF5-4BB6-BA3F-DBC8BBECD99A}"/>
    <cellStyle name="Normal 4 3 5 4" xfId="4332" xr:uid="{9913999F-31B2-4B89-B5A2-73077C8ED24D}"/>
    <cellStyle name="Normal 4 3 5 4 2" xfId="5659" xr:uid="{E5D64132-0B17-4CCD-B9E3-2B951816DC8D}"/>
    <cellStyle name="Normal 4 3 5 4 2 2" xfId="8276" xr:uid="{3DCC3B4A-88B6-43CC-9681-51CA4D18BBDE}"/>
    <cellStyle name="Normal 4 3 5 4 3" xfId="6968" xr:uid="{2A258F88-43E8-4DB0-B7D9-3E5016650C19}"/>
    <cellStyle name="Normal 4 3 5 5" xfId="4722" xr:uid="{26F76E38-1511-4230-ADA5-D92E6CB8D942}"/>
    <cellStyle name="Normal 4 3 5 5 2" xfId="7339" xr:uid="{3EA97EFE-16FE-484F-898F-5C65EF408465}"/>
    <cellStyle name="Normal 4 3 5 6" xfId="6031" xr:uid="{0A3430E0-3283-4B94-98D3-5C7633EF522D}"/>
    <cellStyle name="Normal 4 3 6" xfId="3516" xr:uid="{7C95A12E-99DA-4C3A-82F2-8515CBB4FDA4}"/>
    <cellStyle name="Normal 4 3 6 2" xfId="4006" xr:uid="{97193602-428B-4F4B-9B85-709BB2DB640C}"/>
    <cellStyle name="Normal 4 3 6 2 2" xfId="5333" xr:uid="{CCB2CAF3-79A3-4B88-A33F-CD3DE8D02178}"/>
    <cellStyle name="Normal 4 3 6 2 2 2" xfId="7950" xr:uid="{EBAF23A0-71B3-4E89-9F64-F27BC490C9E9}"/>
    <cellStyle name="Normal 4 3 6 2 3" xfId="6642" xr:uid="{B110E1F4-1A69-411F-B571-EC7F49FCF5A3}"/>
    <cellStyle name="Normal 4 3 6 3" xfId="4482" xr:uid="{82977DD3-D682-401E-9E58-5481B6FB2030}"/>
    <cellStyle name="Normal 4 3 6 3 2" xfId="5792" xr:uid="{2635FCDE-C242-4FE7-A001-9384C5F36F59}"/>
    <cellStyle name="Normal 4 3 6 3 2 2" xfId="8409" xr:uid="{40BAE3F8-38FA-484A-85F0-1B76ABB05989}"/>
    <cellStyle name="Normal 4 3 6 3 3" xfId="7101" xr:uid="{3FBC5D9A-97F1-43E8-A384-C5B3ACBACC74}"/>
    <cellStyle name="Normal 4 3 6 4" xfId="4861" xr:uid="{EA59A034-C6E7-4056-A630-90FFC5CA3314}"/>
    <cellStyle name="Normal 4 3 6 4 2" xfId="7478" xr:uid="{E1BAAC23-B767-43F6-9243-69A3CFDCAC06}"/>
    <cellStyle name="Normal 4 3 6 5" xfId="6170" xr:uid="{2E43608B-6453-48CA-9745-6D99DC6BDD1E}"/>
    <cellStyle name="Normal 4 3 7" xfId="3777" xr:uid="{CA217086-D376-4D21-9036-15BC4A16C098}"/>
    <cellStyle name="Normal 4 3 7 2" xfId="4528" xr:uid="{9B399069-FF87-4DCA-AE1C-19FBDCB4C475}"/>
    <cellStyle name="Normal 4 3 7 2 2" xfId="5837" xr:uid="{6DDC9BD2-86EB-4A74-890B-ED58EDBD76E1}"/>
    <cellStyle name="Normal 4 3 7 2 2 2" xfId="8454" xr:uid="{7B96B3F1-DE2D-465C-9CD6-EA52F71A6A37}"/>
    <cellStyle name="Normal 4 3 7 2 3" xfId="7146" xr:uid="{D24954EE-9642-4CC6-A4EF-62772E2847DA}"/>
    <cellStyle name="Normal 4 3 7 3" xfId="5104" xr:uid="{9844539E-0E63-4FFD-87BC-01DF0B57FE9C}"/>
    <cellStyle name="Normal 4 3 7 3 2" xfId="7721" xr:uid="{91930EC4-EAED-4FC3-A66C-4880E9D9A7AE}"/>
    <cellStyle name="Normal 4 3 7 4" xfId="6413" xr:uid="{2DAA38ED-8461-4139-A063-ACB566533189}"/>
    <cellStyle name="Normal 4 3 8" xfId="4573" xr:uid="{A9CDF2F9-AB1F-40CF-A493-8720CE8F9FEE}"/>
    <cellStyle name="Normal 4 3 8 2" xfId="5882" xr:uid="{FEB7730F-1099-466E-9EB6-99B4ACCBAFFE}"/>
    <cellStyle name="Normal 4 3 8 2 2" xfId="8499" xr:uid="{6A33073D-E43F-4FB6-8367-6B7272E9F01F}"/>
    <cellStyle name="Normal 4 3 8 3" xfId="7191" xr:uid="{ADB9C60C-21FB-4186-B700-7B3214714A36}"/>
    <cellStyle name="Normal 4 3 9" xfId="4242" xr:uid="{AE7FB03F-9B14-4969-AB46-7253DA76B694}"/>
    <cellStyle name="Normal 4 3 9 2" xfId="5569" xr:uid="{96ED2319-42D6-43A5-9AAC-860DF059764A}"/>
    <cellStyle name="Normal 4 3 9 2 2" xfId="8186" xr:uid="{337EFC95-EE27-4A51-B289-BADDC6D3320F}"/>
    <cellStyle name="Normal 4 3 9 3" xfId="6878" xr:uid="{2608D5D5-26C7-454E-8228-FAEB66F7F143}"/>
    <cellStyle name="Normal 4 4" xfId="2547" xr:uid="{683AFC97-582C-4E34-8067-EC09875A9AB9}"/>
    <cellStyle name="Normal 4 4 10" xfId="4635" xr:uid="{2BFA9A51-3644-4AF5-B325-7DF12986FDC6}"/>
    <cellStyle name="Normal 4 4 10 2" xfId="7252" xr:uid="{7E4A61C0-0257-4402-B060-D57996C488BB}"/>
    <cellStyle name="Normal 4 4 11" xfId="5944" xr:uid="{AEA4FBD4-608E-4599-993D-D7525E9D7C4A}"/>
    <cellStyle name="Normal 4 4 2" xfId="2865" xr:uid="{8216E676-0380-4418-BBFC-D0237243BF10}"/>
    <cellStyle name="Normal 4 4 2 10" xfId="5961" xr:uid="{9500E93F-EC20-49D0-9959-7D7765536949}"/>
    <cellStyle name="Normal 4 4 2 2" xfId="2912" xr:uid="{D1C3E5ED-8916-4F22-A0A3-ABA9B2E6149C}"/>
    <cellStyle name="Normal 4 4 2 2 2" xfId="3013" xr:uid="{538B5F16-6918-4B66-BF89-2DBE9395F28D}"/>
    <cellStyle name="Normal 4 4 2 2 2 2" xfId="3682" xr:uid="{335B424C-FD44-4748-84AD-75C32F4C7FE9}"/>
    <cellStyle name="Normal 4 4 2 2 2 2 2" xfId="4156" xr:uid="{F4AE748F-9BC0-4DB3-A66F-2FD65205AB4E}"/>
    <cellStyle name="Normal 4 4 2 2 2 2 2 2" xfId="5483" xr:uid="{DC782154-2E23-45EE-B4FC-C33CB491D1CC}"/>
    <cellStyle name="Normal 4 4 2 2 2 2 2 2 2" xfId="8100" xr:uid="{4AE9D0B2-5726-4374-AF04-B39A85AF1D69}"/>
    <cellStyle name="Normal 4 4 2 2 2 2 2 3" xfId="6792" xr:uid="{CBDC1FBC-A360-41DB-99D2-79105B7915D7}"/>
    <cellStyle name="Normal 4 4 2 2 2 2 3" xfId="5011" xr:uid="{D33DCE87-50CD-4605-87DB-59D98C377423}"/>
    <cellStyle name="Normal 4 4 2 2 2 2 3 2" xfId="7628" xr:uid="{6FD7E000-5167-4E51-97C0-21C3845B5F6A}"/>
    <cellStyle name="Normal 4 4 2 2 2 2 4" xfId="6320" xr:uid="{4F5CCB77-F9A6-48F0-9EAD-823A40F87081}"/>
    <cellStyle name="Normal 4 4 2 2 2 3" xfId="3927" xr:uid="{A2EC21A1-E199-482C-9887-6E8B7D35CDF3}"/>
    <cellStyle name="Normal 4 4 2 2 2 3 2" xfId="5254" xr:uid="{FEDC0D86-D959-4227-91F9-3C9F67797B16}"/>
    <cellStyle name="Normal 4 4 2 2 2 3 2 2" xfId="7871" xr:uid="{7879BD6E-D9AA-410F-958F-E6A2A9224C38}"/>
    <cellStyle name="Normal 4 4 2 2 2 3 3" xfId="6563" xr:uid="{8B52A29C-D0C2-46AE-8C45-12B01EDA7BD4}"/>
    <cellStyle name="Normal 4 4 2 2 2 4" xfId="4392" xr:uid="{4908F9CE-3014-4477-A688-17C628FCB2B7}"/>
    <cellStyle name="Normal 4 4 2 2 2 4 2" xfId="5719" xr:uid="{B7C3C930-AF64-40C8-89B3-A4AB75E0B5B3}"/>
    <cellStyle name="Normal 4 4 2 2 2 4 2 2" xfId="8336" xr:uid="{4E71D4BF-F926-4370-B9AE-6BE29EF9748F}"/>
    <cellStyle name="Normal 4 4 2 2 2 4 3" xfId="7028" xr:uid="{8114003C-25F6-422A-B60E-80BD5B8D069E}"/>
    <cellStyle name="Normal 4 4 2 2 2 5" xfId="4782" xr:uid="{BCC27236-2B47-4B9B-B167-20459FA98B17}"/>
    <cellStyle name="Normal 4 4 2 2 2 5 2" xfId="7399" xr:uid="{AD8FBFAF-6170-4030-99EA-7927FCAC51DD}"/>
    <cellStyle name="Normal 4 4 2 2 2 6" xfId="6091" xr:uid="{32868A77-E395-41C0-8B53-0B1F972D4CEB}"/>
    <cellStyle name="Normal 4 4 2 2 3" xfId="3581" xr:uid="{48EED8D4-76B9-4A46-A51F-BC81D3E1D646}"/>
    <cellStyle name="Normal 4 4 2 2 3 2" xfId="4071" xr:uid="{FBEFDB96-E684-4C47-8898-7EFD4CE5AC86}"/>
    <cellStyle name="Normal 4 4 2 2 3 2 2" xfId="5398" xr:uid="{9C74F3F9-E40F-4180-82A9-CC18AD4D194C}"/>
    <cellStyle name="Normal 4 4 2 2 3 2 2 2" xfId="8015" xr:uid="{11D042C3-4A4A-4A73-B14E-F09AA87B3944}"/>
    <cellStyle name="Normal 4 4 2 2 3 2 3" xfId="6707" xr:uid="{DDA8E4D7-BC99-4F34-80D6-2EC6DEABE470}"/>
    <cellStyle name="Normal 4 4 2 2 3 3" xfId="4926" xr:uid="{F3CF3B84-9748-44B7-9742-DAC01CA7A530}"/>
    <cellStyle name="Normal 4 4 2 2 3 3 2" xfId="7543" xr:uid="{0BAB33B2-F9BC-4F64-9625-23DF5854EEF6}"/>
    <cellStyle name="Normal 4 4 2 2 3 4" xfId="6235" xr:uid="{D7F47516-A95C-4D78-B9E3-8D76F3CD4A50}"/>
    <cellStyle name="Normal 4 4 2 2 4" xfId="3842" xr:uid="{6F82F6B8-A8D5-437B-8E0B-B5E9478A6A45}"/>
    <cellStyle name="Normal 4 4 2 2 4 2" xfId="5169" xr:uid="{5A7C0637-017C-4A31-A73D-6E52066DC711}"/>
    <cellStyle name="Normal 4 4 2 2 4 2 2" xfId="7786" xr:uid="{51E1FF68-69EE-456E-A589-0D15E2800D3D}"/>
    <cellStyle name="Normal 4 4 2 2 4 3" xfId="6478" xr:uid="{621F1F9B-5509-46DA-A7F7-E6A23CDBC002}"/>
    <cellStyle name="Normal 4 4 2 2 5" xfId="4307" xr:uid="{332060BC-70D8-4D79-A0B1-CE02D40650E9}"/>
    <cellStyle name="Normal 4 4 2 2 5 2" xfId="5634" xr:uid="{34A34CEB-810A-4254-BE94-9F1A30BF4A91}"/>
    <cellStyle name="Normal 4 4 2 2 5 2 2" xfId="8251" xr:uid="{E709F8E2-F6D1-444B-86F7-DF8F03B17C0C}"/>
    <cellStyle name="Normal 4 4 2 2 5 3" xfId="6943" xr:uid="{CC42AB5C-A7D8-4FAE-A3B7-1554DAA6A087}"/>
    <cellStyle name="Normal 4 4 2 2 6" xfId="4697" xr:uid="{13F1738E-2F07-40FD-B4D9-3EE91DDF3939}"/>
    <cellStyle name="Normal 4 4 2 2 6 2" xfId="7314" xr:uid="{B83F424D-6D1D-4E13-9732-82408DB2CAF4}"/>
    <cellStyle name="Normal 4 4 2 2 7" xfId="6006" xr:uid="{FF96CCF2-0BE9-45F3-9978-4EC7CED1AF7B}"/>
    <cellStyle name="Normal 4 4 2 3" xfId="3457" xr:uid="{603BC009-A252-49E1-A966-6BBF24B62296}"/>
    <cellStyle name="Normal 4 4 2 3 2" xfId="3722" xr:uid="{244380B4-5AEC-48D0-A2EF-A95450406E38}"/>
    <cellStyle name="Normal 4 4 2 3 2 2" xfId="4196" xr:uid="{F8BD6EBA-82F6-461F-A90D-D2748B81A0FB}"/>
    <cellStyle name="Normal 4 4 2 3 2 2 2" xfId="5523" xr:uid="{AD1A8EFC-5ACE-4C21-A239-EB5B985389DC}"/>
    <cellStyle name="Normal 4 4 2 3 2 2 2 2" xfId="8140" xr:uid="{B1B7BCE2-C721-4DFE-B50D-37D6F653D76B}"/>
    <cellStyle name="Normal 4 4 2 3 2 2 3" xfId="6832" xr:uid="{CD49CD23-D64A-4895-813B-3B244901804A}"/>
    <cellStyle name="Normal 4 4 2 3 2 3" xfId="5051" xr:uid="{2E30E2AE-078B-436C-8EC0-BD913F7B11D7}"/>
    <cellStyle name="Normal 4 4 2 3 2 3 2" xfId="7668" xr:uid="{CBC94E64-8749-42DD-9ACC-94623050FAF8}"/>
    <cellStyle name="Normal 4 4 2 3 2 4" xfId="6360" xr:uid="{7DF54FF7-F83E-4384-9E83-4651BDD887E8}"/>
    <cellStyle name="Normal 4 4 2 3 3" xfId="3967" xr:uid="{4CAB7B5A-027D-481A-A39C-DAE08C7726E2}"/>
    <cellStyle name="Normal 4 4 2 3 3 2" xfId="5294" xr:uid="{AD587C31-A40E-4E59-8BCD-B93032BDB0CE}"/>
    <cellStyle name="Normal 4 4 2 3 3 2 2" xfId="7911" xr:uid="{E51CDEAC-4BA4-4A5A-A9BD-B2102E9A522B}"/>
    <cellStyle name="Normal 4 4 2 3 3 3" xfId="6603" xr:uid="{4B3BD645-B0ED-4B19-8CF8-FE624649F0DB}"/>
    <cellStyle name="Normal 4 4 2 3 4" xfId="4432" xr:uid="{CC6D8CC3-1B81-442F-8F9E-FA91D8879F46}"/>
    <cellStyle name="Normal 4 4 2 3 4 2" xfId="5759" xr:uid="{162B80BB-F567-428F-8AF2-4286EEE48A27}"/>
    <cellStyle name="Normal 4 4 2 3 4 2 2" xfId="8376" xr:uid="{457562BA-2680-4953-A4C5-1BA87662F3BC}"/>
    <cellStyle name="Normal 4 4 2 3 4 3" xfId="7068" xr:uid="{B62CFCA0-752F-4B74-A235-F22B03C8EE88}"/>
    <cellStyle name="Normal 4 4 2 3 5" xfId="4822" xr:uid="{1C097D66-8E18-43EB-8F49-E5017BB6721B}"/>
    <cellStyle name="Normal 4 4 2 3 5 2" xfId="7439" xr:uid="{68EED83B-4D37-45F9-83B2-820B4A9B90C1}"/>
    <cellStyle name="Normal 4 4 2 3 6" xfId="6131" xr:uid="{26BBABCB-3C9C-4082-AB5C-3ECBD842AA67}"/>
    <cellStyle name="Normal 4 4 2 4" xfId="2957" xr:uid="{B6BD8F4B-7DE3-4A49-8A75-171644DE4B45}"/>
    <cellStyle name="Normal 4 4 2 4 2" xfId="3626" xr:uid="{C6ED27FC-A2F5-473D-B52E-DA25506805BC}"/>
    <cellStyle name="Normal 4 4 2 4 2 2" xfId="4116" xr:uid="{198149C7-378D-4700-AFCC-291D4D7D3375}"/>
    <cellStyle name="Normal 4 4 2 4 2 2 2" xfId="5443" xr:uid="{049ADCFB-7B26-4F9D-955A-A98AAE8DCB35}"/>
    <cellStyle name="Normal 4 4 2 4 2 2 2 2" xfId="8060" xr:uid="{9AA8E1FD-E059-482C-830C-829E7235CA3D}"/>
    <cellStyle name="Normal 4 4 2 4 2 2 3" xfId="6752" xr:uid="{4C7C1AB2-B786-48A3-9D16-8F50F251633B}"/>
    <cellStyle name="Normal 4 4 2 4 2 3" xfId="4971" xr:uid="{B0B04ADA-08F7-40F1-AC3C-286C579637DF}"/>
    <cellStyle name="Normal 4 4 2 4 2 3 2" xfId="7588" xr:uid="{1ABBF8DB-AAE0-4430-AF22-7A3A614CAA08}"/>
    <cellStyle name="Normal 4 4 2 4 2 4" xfId="6280" xr:uid="{E88F9776-12AB-4E02-BDFD-538A0BEAC66B}"/>
    <cellStyle name="Normal 4 4 2 4 3" xfId="3887" xr:uid="{CE6C14AD-23BA-4286-9DBD-3004590DC331}"/>
    <cellStyle name="Normal 4 4 2 4 3 2" xfId="5214" xr:uid="{A39BD4CA-B90A-4A2E-80F1-62ECEA1E7FC6}"/>
    <cellStyle name="Normal 4 4 2 4 3 2 2" xfId="7831" xr:uid="{25AE4296-07F1-4B4F-B25E-91049EAD2E68}"/>
    <cellStyle name="Normal 4 4 2 4 3 3" xfId="6523" xr:uid="{A53FB465-337E-4857-AA5B-ACD0312E8EBF}"/>
    <cellStyle name="Normal 4 4 2 4 4" xfId="4352" xr:uid="{B32458C7-8D92-4EF6-B54B-72E68C803125}"/>
    <cellStyle name="Normal 4 4 2 4 4 2" xfId="5679" xr:uid="{FC3E375F-073C-4F36-AC93-830DEABF711D}"/>
    <cellStyle name="Normal 4 4 2 4 4 2 2" xfId="8296" xr:uid="{11F72784-F64A-4F2C-B222-2571D7BDAD4D}"/>
    <cellStyle name="Normal 4 4 2 4 4 3" xfId="6988" xr:uid="{FB52F5A6-6328-4547-8435-D7A5D9FE39BD}"/>
    <cellStyle name="Normal 4 4 2 4 5" xfId="4742" xr:uid="{9E8F3C95-3BAF-4FB6-A098-776B60EC10EB}"/>
    <cellStyle name="Normal 4 4 2 4 5 2" xfId="7359" xr:uid="{C017A775-AF1F-4A0D-AA50-E6F184701587}"/>
    <cellStyle name="Normal 4 4 2 4 6" xfId="6051" xr:uid="{37362E96-D484-4266-ADB3-EB6B017ABC20}"/>
    <cellStyle name="Normal 4 4 2 5" xfId="3536" xr:uid="{1B9216E6-0302-4DDB-842E-1C4D5D558AF7}"/>
    <cellStyle name="Normal 4 4 2 5 2" xfId="4026" xr:uid="{33289139-6BE0-4DC6-ABC8-9BE72C88F89A}"/>
    <cellStyle name="Normal 4 4 2 5 2 2" xfId="5353" xr:uid="{938521F5-A10B-4BB6-8984-3B4F1545F483}"/>
    <cellStyle name="Normal 4 4 2 5 2 2 2" xfId="7970" xr:uid="{F693FE06-9DC6-4438-980C-9CDD4C1ED8A6}"/>
    <cellStyle name="Normal 4 4 2 5 2 3" xfId="6662" xr:uid="{C3CB30A4-21A6-49D3-85B6-E984AAC44708}"/>
    <cellStyle name="Normal 4 4 2 5 3" xfId="4503" xr:uid="{3E0B76C8-19D7-49EA-9DD3-31591E6F01E6}"/>
    <cellStyle name="Normal 4 4 2 5 3 2" xfId="5812" xr:uid="{803EBA03-3E7D-49F5-A862-C395F06E90DE}"/>
    <cellStyle name="Normal 4 4 2 5 3 2 2" xfId="8429" xr:uid="{4B538866-07EA-482C-A61F-C8B07A3A4A9D}"/>
    <cellStyle name="Normal 4 4 2 5 3 3" xfId="7121" xr:uid="{B83A8F0B-0CBA-4111-BAF2-9EFB5EAB26D7}"/>
    <cellStyle name="Normal 4 4 2 5 4" xfId="4881" xr:uid="{24B0AF04-FB89-4935-A11F-0A5D6C7D0D09}"/>
    <cellStyle name="Normal 4 4 2 5 4 2" xfId="7498" xr:uid="{0D7269C2-47B9-4B71-B3C3-4ECBFA5BB656}"/>
    <cellStyle name="Normal 4 4 2 5 5" xfId="6190" xr:uid="{BB9F79BB-02F1-42D5-B980-8B624EC44D07}"/>
    <cellStyle name="Normal 4 4 2 6" xfId="3797" xr:uid="{FA2FE860-6AE4-445F-A8C7-01E2B75791ED}"/>
    <cellStyle name="Normal 4 4 2 6 2" xfId="4548" xr:uid="{1DE90D70-5F84-49BF-BE92-3C5FEBC000F4}"/>
    <cellStyle name="Normal 4 4 2 6 2 2" xfId="5857" xr:uid="{D374085C-ADC7-42ED-9F5B-6C1795B2392A}"/>
    <cellStyle name="Normal 4 4 2 6 2 2 2" xfId="8474" xr:uid="{C7AA3342-D341-42C8-A8E2-3DC275F18EFA}"/>
    <cellStyle name="Normal 4 4 2 6 2 3" xfId="7166" xr:uid="{3DEC5AC3-928A-4C83-8D74-FB12C0F9FAE0}"/>
    <cellStyle name="Normal 4 4 2 6 3" xfId="5124" xr:uid="{E2727F87-EA8A-4068-B032-B839FF8BF52C}"/>
    <cellStyle name="Normal 4 4 2 6 3 2" xfId="7741" xr:uid="{FF06917A-0F2A-494D-98F5-A47AA4A13BFB}"/>
    <cellStyle name="Normal 4 4 2 6 4" xfId="6433" xr:uid="{CDB77D82-C05D-4468-A0FE-3E96BEC92E3D}"/>
    <cellStyle name="Normal 4 4 2 7" xfId="4593" xr:uid="{3B83119E-F723-4802-AA08-301915F12DFF}"/>
    <cellStyle name="Normal 4 4 2 7 2" xfId="5902" xr:uid="{4A006E24-CAA8-4E5A-B1B7-FE23F9C225EB}"/>
    <cellStyle name="Normal 4 4 2 7 2 2" xfId="8519" xr:uid="{49B37137-F49A-4FE9-BCB2-7B0AF115FEB5}"/>
    <cellStyle name="Normal 4 4 2 7 3" xfId="7211" xr:uid="{4B9AC16C-BC37-481D-99B2-05A9E5D49EE3}"/>
    <cellStyle name="Normal 4 4 2 8" xfId="4262" xr:uid="{677F6878-520A-4DEC-9118-D0C2640B9F1E}"/>
    <cellStyle name="Normal 4 4 2 8 2" xfId="5589" xr:uid="{4292864E-47CF-4873-820E-B8A7DC6638CD}"/>
    <cellStyle name="Normal 4 4 2 8 2 2" xfId="8206" xr:uid="{D0509CE4-72B1-4F0A-8A5A-5A2E0ADB07C7}"/>
    <cellStyle name="Normal 4 4 2 8 3" xfId="6898" xr:uid="{07C5FE37-7CF8-469B-9873-F77E33BA0980}"/>
    <cellStyle name="Normal 4 4 2 9" xfId="4652" xr:uid="{2FF77BFC-18FB-4832-B10A-7F9D82E043A2}"/>
    <cellStyle name="Normal 4 4 2 9 2" xfId="7269" xr:uid="{8BE81F0C-4D47-46ED-BF58-EB8F2CF0EA26}"/>
    <cellStyle name="Normal 4 4 3" xfId="2895" xr:uid="{31D89E02-9E55-42A5-9DC4-1228FD145ADF}"/>
    <cellStyle name="Normal 4 4 3 2" xfId="2996" xr:uid="{08E4F956-9DC8-4470-AAB7-3C6C658BCCD1}"/>
    <cellStyle name="Normal 4 4 3 2 2" xfId="3665" xr:uid="{56F916F1-3B59-4C13-B7CF-6FFD72C16681}"/>
    <cellStyle name="Normal 4 4 3 2 2 2" xfId="4139" xr:uid="{8BA41A7D-AA14-4541-B7CA-F8BCD832EEB5}"/>
    <cellStyle name="Normal 4 4 3 2 2 2 2" xfId="5466" xr:uid="{9938142B-CEA1-4F50-BCD4-D624431D0B54}"/>
    <cellStyle name="Normal 4 4 3 2 2 2 2 2" xfId="8083" xr:uid="{7798F8C8-96DF-44F8-A804-B047093FE0D9}"/>
    <cellStyle name="Normal 4 4 3 2 2 2 3" xfId="6775" xr:uid="{C7A91BCD-5E53-41DA-87A8-2DB9BB32251B}"/>
    <cellStyle name="Normal 4 4 3 2 2 3" xfId="4994" xr:uid="{A7128827-7686-4E58-8FA0-F57DDA046CAE}"/>
    <cellStyle name="Normal 4 4 3 2 2 3 2" xfId="7611" xr:uid="{0FB71165-3566-47CA-81D3-5D70BB6E7ACC}"/>
    <cellStyle name="Normal 4 4 3 2 2 4" xfId="6303" xr:uid="{28B1C4B1-4645-4B52-9796-C86A0822B667}"/>
    <cellStyle name="Normal 4 4 3 2 3" xfId="3910" xr:uid="{FF2B92B5-CDC6-4801-AB8F-C1CBFD66152A}"/>
    <cellStyle name="Normal 4 4 3 2 3 2" xfId="5237" xr:uid="{F56AA0C7-37CA-437B-909E-60937EADA0E8}"/>
    <cellStyle name="Normal 4 4 3 2 3 2 2" xfId="7854" xr:uid="{93C9AD6A-02A4-436C-A9CF-8D79C7276F48}"/>
    <cellStyle name="Normal 4 4 3 2 3 3" xfId="6546" xr:uid="{1CB1C94C-78FA-49D1-A535-E3F4745FF959}"/>
    <cellStyle name="Normal 4 4 3 2 4" xfId="4375" xr:uid="{6806C671-316A-4EF4-9A2E-08A3867AB290}"/>
    <cellStyle name="Normal 4 4 3 2 4 2" xfId="5702" xr:uid="{530D7279-1503-4BF9-ACD7-8FB2F5808EA9}"/>
    <cellStyle name="Normal 4 4 3 2 4 2 2" xfId="8319" xr:uid="{CBBA1567-8B44-42F0-9A9B-FE73CCAAE69F}"/>
    <cellStyle name="Normal 4 4 3 2 4 3" xfId="7011" xr:uid="{57B9253C-ABC4-4613-8E14-58CE3C6FAE8B}"/>
    <cellStyle name="Normal 4 4 3 2 5" xfId="4765" xr:uid="{C3669CE6-964C-4FAA-B6E5-7CD3DF67E01F}"/>
    <cellStyle name="Normal 4 4 3 2 5 2" xfId="7382" xr:uid="{EC4820D3-BED6-41FD-AAFC-4DCE4411F044}"/>
    <cellStyle name="Normal 4 4 3 2 6" xfId="6074" xr:uid="{F7AD438E-9A7A-4087-A5B6-BD66ABB07414}"/>
    <cellStyle name="Normal 4 4 3 3" xfId="3564" xr:uid="{94591AE2-72AD-46F7-A8E0-36A4C1395603}"/>
    <cellStyle name="Normal 4 4 3 3 2" xfId="4054" xr:uid="{13C03065-456D-45D3-B806-DF8885B98C48}"/>
    <cellStyle name="Normal 4 4 3 3 2 2" xfId="5381" xr:uid="{2C3AB75E-F956-46F7-B9E6-01F1CFEFDA8D}"/>
    <cellStyle name="Normal 4 4 3 3 2 2 2" xfId="7998" xr:uid="{F670411D-930F-4BD1-97B1-8D2772A09C84}"/>
    <cellStyle name="Normal 4 4 3 3 2 3" xfId="6690" xr:uid="{B11BBEF4-F651-42E1-ADE4-0E0ADAA0824D}"/>
    <cellStyle name="Normal 4 4 3 3 3" xfId="4909" xr:uid="{3CCF26D2-4CFE-4A74-9AC9-556FE38DF2D2}"/>
    <cellStyle name="Normal 4 4 3 3 3 2" xfId="7526" xr:uid="{54966921-C814-4056-977B-3FD43053CFC2}"/>
    <cellStyle name="Normal 4 4 3 3 4" xfId="6218" xr:uid="{D8B2D1D6-9A2C-46B7-A915-E4CD2F4ABC8E}"/>
    <cellStyle name="Normal 4 4 3 4" xfId="3825" xr:uid="{8C4B7F15-84A3-452D-BC5E-C8554CDA190A}"/>
    <cellStyle name="Normal 4 4 3 4 2" xfId="5152" xr:uid="{EF7B145F-AA58-4B48-8D80-EBE23B9E0F8D}"/>
    <cellStyle name="Normal 4 4 3 4 2 2" xfId="7769" xr:uid="{FC89AE88-F68E-4D3F-BC5F-9DB06B129074}"/>
    <cellStyle name="Normal 4 4 3 4 3" xfId="6461" xr:uid="{72090CD9-9B1D-4CA2-BDA6-FAC7C886112D}"/>
    <cellStyle name="Normal 4 4 3 5" xfId="4290" xr:uid="{2A210A49-3A8A-406E-ABF3-222A096D60D2}"/>
    <cellStyle name="Normal 4 4 3 5 2" xfId="5617" xr:uid="{1F708F6F-2B17-459A-876E-4B403C9AD970}"/>
    <cellStyle name="Normal 4 4 3 5 2 2" xfId="8234" xr:uid="{FA2DB19B-D4D5-4B62-BF84-07B53DF128BB}"/>
    <cellStyle name="Normal 4 4 3 5 3" xfId="6926" xr:uid="{215783F0-917A-49DC-8F55-ED2E478C1C49}"/>
    <cellStyle name="Normal 4 4 3 6" xfId="4680" xr:uid="{F1C92D9A-BA6C-41C7-ADCB-03DC12CEE9AE}"/>
    <cellStyle name="Normal 4 4 3 6 2" xfId="7297" xr:uid="{3106946C-EB05-4F8D-BCC7-92538B1CB580}"/>
    <cellStyle name="Normal 4 4 3 7" xfId="5989" xr:uid="{BC784CD2-1963-43CA-A7E2-A6A7A6842EE2}"/>
    <cellStyle name="Normal 4 4 4" xfId="3439" xr:uid="{2C59E7BB-97B5-4DF7-829F-EE7A50649E81}"/>
    <cellStyle name="Normal 4 4 4 2" xfId="3705" xr:uid="{98E0296E-A976-4DB9-9CA4-2839128A46C2}"/>
    <cellStyle name="Normal 4 4 4 2 2" xfId="4179" xr:uid="{1AF05B35-E6A7-470D-8E89-051201F01562}"/>
    <cellStyle name="Normal 4 4 4 2 2 2" xfId="5506" xr:uid="{7BE4CC96-7795-4516-B138-17E091156541}"/>
    <cellStyle name="Normal 4 4 4 2 2 2 2" xfId="8123" xr:uid="{E999DB51-AF6B-4F28-A354-974FBAEA5486}"/>
    <cellStyle name="Normal 4 4 4 2 2 3" xfId="6815" xr:uid="{769CDB75-4180-4AE7-A02E-D7E53D2799B8}"/>
    <cellStyle name="Normal 4 4 4 2 3" xfId="5034" xr:uid="{CCEF0F00-75DC-4952-BD9C-2DE96F65A543}"/>
    <cellStyle name="Normal 4 4 4 2 3 2" xfId="7651" xr:uid="{E777A05C-F1CC-43A6-88F5-BDF8D52C4E3E}"/>
    <cellStyle name="Normal 4 4 4 2 4" xfId="6343" xr:uid="{B45E0746-31A2-4C1B-A9E5-90535D43ADA6}"/>
    <cellStyle name="Normal 4 4 4 3" xfId="3950" xr:uid="{30A48CBF-3EF5-447D-B9CA-770A93266642}"/>
    <cellStyle name="Normal 4 4 4 3 2" xfId="5277" xr:uid="{C725B801-5C60-4180-9E72-73D5E36F9A86}"/>
    <cellStyle name="Normal 4 4 4 3 2 2" xfId="7894" xr:uid="{2B84FD07-7597-4F3B-B8A6-E1245A5C1514}"/>
    <cellStyle name="Normal 4 4 4 3 3" xfId="6586" xr:uid="{17F57195-A088-4E71-98E1-E3C1A32B479F}"/>
    <cellStyle name="Normal 4 4 4 4" xfId="4415" xr:uid="{538DC7BC-A12E-489E-AFA6-B922FD76CAEC}"/>
    <cellStyle name="Normal 4 4 4 4 2" xfId="5742" xr:uid="{5C9D4025-16E3-4D75-914D-B754C002B7BA}"/>
    <cellStyle name="Normal 4 4 4 4 2 2" xfId="8359" xr:uid="{36228670-75FA-4C43-AA75-20DB19B8AF51}"/>
    <cellStyle name="Normal 4 4 4 4 3" xfId="7051" xr:uid="{30D39B37-7AF9-45D7-9424-DA3B6DE87197}"/>
    <cellStyle name="Normal 4 4 4 5" xfId="4805" xr:uid="{C4659CF0-177B-43C4-B36C-7A0F64F4FD12}"/>
    <cellStyle name="Normal 4 4 4 5 2" xfId="7422" xr:uid="{ACAC1F60-1B53-456D-A578-7570AACF9D9E}"/>
    <cellStyle name="Normal 4 4 4 6" xfId="6114" xr:uid="{E1C9A4B4-6995-4717-82F1-6241EE51C65C}"/>
    <cellStyle name="Normal 4 4 5" xfId="2940" xr:uid="{D339D396-524A-4FC5-93FD-8ADCB9EC87F1}"/>
    <cellStyle name="Normal 4 4 5 2" xfId="3609" xr:uid="{8A005C51-8150-44F5-B3F9-8A689A25B884}"/>
    <cellStyle name="Normal 4 4 5 2 2" xfId="4099" xr:uid="{B7678BEA-79CF-42D7-A217-23420D951DEA}"/>
    <cellStyle name="Normal 4 4 5 2 2 2" xfId="5426" xr:uid="{DCFAE445-D013-4DF1-93B6-E1456C7CD788}"/>
    <cellStyle name="Normal 4 4 5 2 2 2 2" xfId="8043" xr:uid="{820DB93C-B7B1-4F2D-9BF7-5E1B0F994702}"/>
    <cellStyle name="Normal 4 4 5 2 2 3" xfId="6735" xr:uid="{FA2FC1BB-BC52-42F4-B682-9F1A0C4D2C20}"/>
    <cellStyle name="Normal 4 4 5 2 3" xfId="4954" xr:uid="{695EDADD-53F2-46CF-86CC-70FB32469F8B}"/>
    <cellStyle name="Normal 4 4 5 2 3 2" xfId="7571" xr:uid="{2AC4FFF7-DF39-4A3C-8A4E-2910B313BCEF}"/>
    <cellStyle name="Normal 4 4 5 2 4" xfId="6263" xr:uid="{EEEC8296-C54D-4DCD-A337-2D2D5B456F15}"/>
    <cellStyle name="Normal 4 4 5 3" xfId="3870" xr:uid="{46B9DC72-66A8-4DED-B2DB-B38EEB1D490E}"/>
    <cellStyle name="Normal 4 4 5 3 2" xfId="5197" xr:uid="{29D54BE6-8AD4-4091-A142-9F4640A303E6}"/>
    <cellStyle name="Normal 4 4 5 3 2 2" xfId="7814" xr:uid="{820244A9-B57A-41D7-9910-760E7CE39FE3}"/>
    <cellStyle name="Normal 4 4 5 3 3" xfId="6506" xr:uid="{98247B4D-3D04-43BF-9B0D-ED9D86F4A422}"/>
    <cellStyle name="Normal 4 4 5 4" xfId="4335" xr:uid="{DEDB84D9-2622-42B8-9A69-533ECD00B1EC}"/>
    <cellStyle name="Normal 4 4 5 4 2" xfId="5662" xr:uid="{23C4E888-027E-49FD-9DFC-0C648F9B823E}"/>
    <cellStyle name="Normal 4 4 5 4 2 2" xfId="8279" xr:uid="{972B69BE-BFA1-4C13-ABA2-944C2B22EA78}"/>
    <cellStyle name="Normal 4 4 5 4 3" xfId="6971" xr:uid="{4E5D1EF8-A929-4030-ACAC-89A7BFE73612}"/>
    <cellStyle name="Normal 4 4 5 5" xfId="4725" xr:uid="{0FDE7335-8BA2-4642-9F40-4593C54325D7}"/>
    <cellStyle name="Normal 4 4 5 5 2" xfId="7342" xr:uid="{CB241B7E-264D-4BF4-821D-B7C25D4237CF}"/>
    <cellStyle name="Normal 4 4 5 6" xfId="6034" xr:uid="{513E058F-7000-434E-8480-A0840FE76F55}"/>
    <cellStyle name="Normal 4 4 6" xfId="3519" xr:uid="{12B38230-8BF1-4B5B-A331-B6FB04606618}"/>
    <cellStyle name="Normal 4 4 6 2" xfId="4009" xr:uid="{E3CFC559-D0DF-4215-97E2-5165A18EB7C7}"/>
    <cellStyle name="Normal 4 4 6 2 2" xfId="5336" xr:uid="{01087CE7-F1E4-4041-AC1B-5695BF94C385}"/>
    <cellStyle name="Normal 4 4 6 2 2 2" xfId="7953" xr:uid="{8B131C4F-291A-4582-A12D-EDB09EE5BEED}"/>
    <cellStyle name="Normal 4 4 6 2 3" xfId="6645" xr:uid="{9C29C5C9-30FE-43A7-A94C-7771C1B378FB}"/>
    <cellStyle name="Normal 4 4 6 3" xfId="4485" xr:uid="{0BD717D9-ABF8-461D-AE70-A5F0A72DD915}"/>
    <cellStyle name="Normal 4 4 6 3 2" xfId="5795" xr:uid="{99BB567C-8EA9-46E7-BBDB-B9103FD96893}"/>
    <cellStyle name="Normal 4 4 6 3 2 2" xfId="8412" xr:uid="{A8D53294-2C17-4CF1-A606-DD42D3E1EFAE}"/>
    <cellStyle name="Normal 4 4 6 3 3" xfId="7104" xr:uid="{6AEB454C-A442-4475-99AA-ACCB6BEFD227}"/>
    <cellStyle name="Normal 4 4 6 4" xfId="4864" xr:uid="{23AA032B-45E1-4BDF-8518-1A9763B4359C}"/>
    <cellStyle name="Normal 4 4 6 4 2" xfId="7481" xr:uid="{E5E69577-072E-4A21-AB95-577DBAE0D07F}"/>
    <cellStyle name="Normal 4 4 6 5" xfId="6173" xr:uid="{BCB4EB0F-5FCF-4E5E-A36D-3F63B507A638}"/>
    <cellStyle name="Normal 4 4 7" xfId="3780" xr:uid="{19EB1AFA-DCB1-4424-B4F7-34A0D146C958}"/>
    <cellStyle name="Normal 4 4 7 2" xfId="4531" xr:uid="{6037901E-671A-4D54-B1CF-31BA2EA87205}"/>
    <cellStyle name="Normal 4 4 7 2 2" xfId="5840" xr:uid="{46AC2B1C-1E80-495A-A21F-BD1C48C177E8}"/>
    <cellStyle name="Normal 4 4 7 2 2 2" xfId="8457" xr:uid="{CBE5F5A0-ECD5-4A1C-ABE5-788011CD1AB5}"/>
    <cellStyle name="Normal 4 4 7 2 3" xfId="7149" xr:uid="{29159359-4DC5-4A46-9A4A-50AA67F805CB}"/>
    <cellStyle name="Normal 4 4 7 3" xfId="5107" xr:uid="{B3C566BD-BEA7-4BAB-A204-78ADF671706A}"/>
    <cellStyle name="Normal 4 4 7 3 2" xfId="7724" xr:uid="{3C79C128-0079-4FD3-AAA3-0DA6910B99C0}"/>
    <cellStyle name="Normal 4 4 7 4" xfId="6416" xr:uid="{7264840A-E531-46D1-A7BE-3B6B05AAE583}"/>
    <cellStyle name="Normal 4 4 8" xfId="4576" xr:uid="{04B3EDFC-0014-44FC-A0F7-574E3BEBE69C}"/>
    <cellStyle name="Normal 4 4 8 2" xfId="5885" xr:uid="{3F1F31CC-5DB6-4479-B12D-9510C7221BFE}"/>
    <cellStyle name="Normal 4 4 8 2 2" xfId="8502" xr:uid="{2681BD6F-B6C6-4968-8565-A0896195316F}"/>
    <cellStyle name="Normal 4 4 8 3" xfId="7194" xr:uid="{CB07594B-F475-4ED7-A742-7B816B09582C}"/>
    <cellStyle name="Normal 4 4 9" xfId="4245" xr:uid="{3E286167-A524-47C0-AF47-8B84F6A58467}"/>
    <cellStyle name="Normal 4 4 9 2" xfId="5572" xr:uid="{CFCF5D39-533F-48B8-8555-A55DABA0DE47}"/>
    <cellStyle name="Normal 4 4 9 2 2" xfId="8189" xr:uid="{264793FD-6155-4589-8329-724AD03ADDEE}"/>
    <cellStyle name="Normal 4 4 9 3" xfId="6881" xr:uid="{7A4C85FC-29F5-4823-81DD-6F71B86ACB4A}"/>
    <cellStyle name="Normal 4 5" xfId="225" xr:uid="{8CF63C10-DC47-48BD-A651-508081AEDDEF}"/>
    <cellStyle name="Normal 4 5 10" xfId="5934" xr:uid="{333008C3-CDAC-4C2A-8E74-4C3A3CEBC14E}"/>
    <cellStyle name="Normal 4 5 2" xfId="2885" xr:uid="{A8DCCA32-5E75-40C7-B21F-3ADF6F86E9D9}"/>
    <cellStyle name="Normal 4 5 2 2" xfId="2979" xr:uid="{B83334FF-A5A3-4233-A7C8-6A92D06CEFE8}"/>
    <cellStyle name="Normal 4 5 2 2 2" xfId="3648" xr:uid="{8D301BFA-DCF3-4A7A-A44D-12C5306B4AB8}"/>
    <cellStyle name="Normal 4 5 2 2 2 2" xfId="4129" xr:uid="{12ECE496-B491-4F73-8931-983A7BAED181}"/>
    <cellStyle name="Normal 4 5 2 2 2 2 2" xfId="5456" xr:uid="{6E89E096-9B27-4289-94B6-7CC1F2803248}"/>
    <cellStyle name="Normal 4 5 2 2 2 2 2 2" xfId="8073" xr:uid="{DFD0AC31-4B87-41E0-A19B-3052E6017953}"/>
    <cellStyle name="Normal 4 5 2 2 2 2 3" xfId="6765" xr:uid="{0B9B60E4-7FEB-4DDA-B650-2CB74825353A}"/>
    <cellStyle name="Normal 4 5 2 2 2 3" xfId="4984" xr:uid="{6EA043A7-C045-46EA-97AF-92305FCAAE1F}"/>
    <cellStyle name="Normal 4 5 2 2 2 3 2" xfId="7601" xr:uid="{D06574CE-50C7-42BB-B456-FD5E9E5E1EF9}"/>
    <cellStyle name="Normal 4 5 2 2 2 4" xfId="6293" xr:uid="{18ECF035-94E7-4580-A804-F975EA490D5F}"/>
    <cellStyle name="Normal 4 5 2 2 3" xfId="3900" xr:uid="{060CAA05-6E01-4F2F-9942-4367369CD631}"/>
    <cellStyle name="Normal 4 5 2 2 3 2" xfId="5227" xr:uid="{44C01D40-9D32-4E82-9FE5-40B1B26D2462}"/>
    <cellStyle name="Normal 4 5 2 2 3 2 2" xfId="7844" xr:uid="{64FBC356-25F9-493E-B42E-DFE4B3412E43}"/>
    <cellStyle name="Normal 4 5 2 2 3 3" xfId="6536" xr:uid="{CF3B6ECA-1932-4D63-86F8-FE19724950C4}"/>
    <cellStyle name="Normal 4 5 2 2 4" xfId="4365" xr:uid="{1C5D3A8C-2751-4A96-980D-11E3E34FC2CD}"/>
    <cellStyle name="Normal 4 5 2 2 4 2" xfId="5692" xr:uid="{B928F204-C07F-4776-9999-F46EE85B00F3}"/>
    <cellStyle name="Normal 4 5 2 2 4 2 2" xfId="8309" xr:uid="{3DD37A93-2227-4BF1-BD7B-57EF3CED444C}"/>
    <cellStyle name="Normal 4 5 2 2 4 3" xfId="7001" xr:uid="{4997034D-9C90-4687-9B00-087A50B93F22}"/>
    <cellStyle name="Normal 4 5 2 2 5" xfId="4755" xr:uid="{585E87DA-B1E1-44EE-906C-D915524FACB6}"/>
    <cellStyle name="Normal 4 5 2 2 5 2" xfId="7372" xr:uid="{3852FA43-B39E-4877-BEEA-2E5DF9AC8B19}"/>
    <cellStyle name="Normal 4 5 2 2 6" xfId="6064" xr:uid="{4D5247E9-CFFB-4B63-8367-A2ED2A7AFBB1}"/>
    <cellStyle name="Normal 4 5 2 3" xfId="3554" xr:uid="{7D9911A8-E0D2-4AE2-829D-199C5E3823B4}"/>
    <cellStyle name="Normal 4 5 2 3 2" xfId="4044" xr:uid="{F3E7A71B-37DD-4D2C-B78A-CF644F47B783}"/>
    <cellStyle name="Normal 4 5 2 3 2 2" xfId="5371" xr:uid="{9E1992FA-BDA5-41CD-9544-9DAAE21914B5}"/>
    <cellStyle name="Normal 4 5 2 3 2 2 2" xfId="7988" xr:uid="{620249CD-0B21-45DB-A860-C64F43AF9E4E}"/>
    <cellStyle name="Normal 4 5 2 3 2 3" xfId="6680" xr:uid="{6F30B6D5-4862-4A1F-B39E-BC054698E844}"/>
    <cellStyle name="Normal 4 5 2 3 3" xfId="4899" xr:uid="{2D712BC2-9817-4B5A-8D21-9A16B390EFC2}"/>
    <cellStyle name="Normal 4 5 2 3 3 2" xfId="7516" xr:uid="{666D6765-49D5-40A2-BE37-3B4AEF797B40}"/>
    <cellStyle name="Normal 4 5 2 3 4" xfId="6208" xr:uid="{A91159DD-D635-45F5-B714-E17E1BDDA6A6}"/>
    <cellStyle name="Normal 4 5 2 4" xfId="3815" xr:uid="{F679A3E6-BE21-4094-8CFB-412C53DBEAC1}"/>
    <cellStyle name="Normal 4 5 2 4 2" xfId="5142" xr:uid="{8E1C57D4-A49B-4DA5-81B0-6B4C8C380B6D}"/>
    <cellStyle name="Normal 4 5 2 4 2 2" xfId="7759" xr:uid="{A6904671-5AF0-45D7-9129-35E03CACBEBA}"/>
    <cellStyle name="Normal 4 5 2 4 3" xfId="6451" xr:uid="{D44C99C4-7612-4B16-9DF1-F9CD41A32613}"/>
    <cellStyle name="Normal 4 5 2 5" xfId="4280" xr:uid="{A41F2019-2631-40BA-9611-8027593EB85E}"/>
    <cellStyle name="Normal 4 5 2 5 2" xfId="5607" xr:uid="{61EEFAE1-B0C6-451D-B865-79755D57CCFF}"/>
    <cellStyle name="Normal 4 5 2 5 2 2" xfId="8224" xr:uid="{3D7CB254-AD0C-46B4-83F6-A6350344AC7A}"/>
    <cellStyle name="Normal 4 5 2 5 3" xfId="6916" xr:uid="{917C97ED-483A-46A4-A127-C6668420D996}"/>
    <cellStyle name="Normal 4 5 2 6" xfId="4670" xr:uid="{B2BB13F7-D8E0-42D9-B5DF-091BE7B4585E}"/>
    <cellStyle name="Normal 4 5 2 6 2" xfId="7287" xr:uid="{48C13A52-FE6A-4985-B32A-1A76B2472A14}"/>
    <cellStyle name="Normal 4 5 2 7" xfId="5979" xr:uid="{EB9FB2A3-09EC-4C85-ACD8-2BA3F17DCA9D}"/>
    <cellStyle name="Normal 4 5 3" xfId="3040" xr:uid="{FF07AB09-14AA-4828-B57E-B817117672A2}"/>
    <cellStyle name="Normal 4 5 3 2" xfId="3695" xr:uid="{83F37EC2-5319-4AE8-87C5-D0A028B6C2FB}"/>
    <cellStyle name="Normal 4 5 3 2 2" xfId="4169" xr:uid="{FB079E2D-42B5-4C44-AC49-1E82AB1AB3B2}"/>
    <cellStyle name="Normal 4 5 3 2 2 2" xfId="5496" xr:uid="{CBF06DF4-177F-4E60-B0C8-26F2522E75F4}"/>
    <cellStyle name="Normal 4 5 3 2 2 2 2" xfId="8113" xr:uid="{AC27933E-3B50-4183-AB3B-737FA352EA8F}"/>
    <cellStyle name="Normal 4 5 3 2 2 3" xfId="6805" xr:uid="{497CF5AB-559D-4455-A124-5EBEA3BD5A2F}"/>
    <cellStyle name="Normal 4 5 3 2 3" xfId="5024" xr:uid="{FD34AED4-EBFD-40D9-AB0B-DAC70B5ABE6E}"/>
    <cellStyle name="Normal 4 5 3 2 3 2" xfId="7641" xr:uid="{643EA016-37FF-46BC-9B7C-E9B80B656FEB}"/>
    <cellStyle name="Normal 4 5 3 2 4" xfId="6333" xr:uid="{9C8A063D-C501-4D2D-BF4B-C91A737E2EC4}"/>
    <cellStyle name="Normal 4 5 3 3" xfId="3940" xr:uid="{41328A98-3B94-49C1-95B8-993DE6AC02EC}"/>
    <cellStyle name="Normal 4 5 3 3 2" xfId="5267" xr:uid="{E950B8A2-4EAD-48AD-8A68-45E228A96BE3}"/>
    <cellStyle name="Normal 4 5 3 3 2 2" xfId="7884" xr:uid="{7A044221-0BC9-4107-BD9A-A32F99BB874A}"/>
    <cellStyle name="Normal 4 5 3 3 3" xfId="6576" xr:uid="{B18BDB94-2D97-4529-A154-C24B855322AF}"/>
    <cellStyle name="Normal 4 5 3 4" xfId="4405" xr:uid="{4A3DA606-1625-48C6-B943-462250FFBAF8}"/>
    <cellStyle name="Normal 4 5 3 4 2" xfId="5732" xr:uid="{DB87F094-8A7B-427E-BD00-D849B1759C58}"/>
    <cellStyle name="Normal 4 5 3 4 2 2" xfId="8349" xr:uid="{95134CE7-ACE7-4FAD-97F8-10AFC100BBEC}"/>
    <cellStyle name="Normal 4 5 3 4 3" xfId="7041" xr:uid="{D3182E71-37DA-48B7-88E8-754FE060052F}"/>
    <cellStyle name="Normal 4 5 3 5" xfId="4795" xr:uid="{AB22EAF8-5B59-423A-9F2F-ADB997DAFEC9}"/>
    <cellStyle name="Normal 4 5 3 5 2" xfId="7412" xr:uid="{991BD5AE-6C3D-49DF-A26A-DAD8F6AF443B}"/>
    <cellStyle name="Normal 4 5 3 6" xfId="6104" xr:uid="{446C23FE-58A7-4D74-B0EE-C5DDD1BA9FFD}"/>
    <cellStyle name="Normal 4 5 4" xfId="2930" xr:uid="{127037BD-9E37-413D-9A1B-89CC01040EA9}"/>
    <cellStyle name="Normal 4 5 4 2" xfId="3599" xr:uid="{50DE78CD-2FF4-4B6C-996B-38AC7BD3C038}"/>
    <cellStyle name="Normal 4 5 4 2 2" xfId="4089" xr:uid="{3373CF00-CEFE-42FE-A432-DC0768B979A2}"/>
    <cellStyle name="Normal 4 5 4 2 2 2" xfId="5416" xr:uid="{A354B0A2-B782-48CF-AF74-0C922ADD2BAD}"/>
    <cellStyle name="Normal 4 5 4 2 2 2 2" xfId="8033" xr:uid="{11D18BEF-FCD0-4883-8A2C-C7D0E4F15502}"/>
    <cellStyle name="Normal 4 5 4 2 2 3" xfId="6725" xr:uid="{28A9BCA7-5075-4039-8191-BD2251043CAE}"/>
    <cellStyle name="Normal 4 5 4 2 3" xfId="4944" xr:uid="{1EA49265-6917-48A4-8D54-0794527AEA44}"/>
    <cellStyle name="Normal 4 5 4 2 3 2" xfId="7561" xr:uid="{499910D0-3F23-4897-A763-449B7F586239}"/>
    <cellStyle name="Normal 4 5 4 2 4" xfId="6253" xr:uid="{07A2251C-BB87-42D9-A145-28B16AEE8C3C}"/>
    <cellStyle name="Normal 4 5 4 3" xfId="3860" xr:uid="{01E6D5AA-15AD-44D9-90B5-AE1FF35E867E}"/>
    <cellStyle name="Normal 4 5 4 3 2" xfId="5187" xr:uid="{A40B1778-1622-4A9B-B558-9A1ABF14D2AC}"/>
    <cellStyle name="Normal 4 5 4 3 2 2" xfId="7804" xr:uid="{9F7C9AF0-0365-4228-BB9E-47DE0A5AAFC0}"/>
    <cellStyle name="Normal 4 5 4 3 3" xfId="6496" xr:uid="{F82894B2-BCEA-404E-92D2-D56F5D001864}"/>
    <cellStyle name="Normal 4 5 4 4" xfId="4325" xr:uid="{66A25AC7-E334-4F51-9424-E887E15DF302}"/>
    <cellStyle name="Normal 4 5 4 4 2" xfId="5652" xr:uid="{6C20D267-3C04-415E-81C2-96C2C4D8CB53}"/>
    <cellStyle name="Normal 4 5 4 4 2 2" xfId="8269" xr:uid="{D1838044-85DC-4204-8C88-A17C68A5C003}"/>
    <cellStyle name="Normal 4 5 4 4 3" xfId="6961" xr:uid="{C595239B-DE27-4F92-AE35-D14F27100539}"/>
    <cellStyle name="Normal 4 5 4 5" xfId="4715" xr:uid="{BE983AC3-5F57-4121-ABE5-175AC347CA76}"/>
    <cellStyle name="Normal 4 5 4 5 2" xfId="7332" xr:uid="{C6B41D86-FA6B-4F52-B9BD-BDC812438548}"/>
    <cellStyle name="Normal 4 5 4 6" xfId="6024" xr:uid="{6603E463-0A9A-4B3C-8D76-E0CB9BDC7478}"/>
    <cellStyle name="Normal 4 5 5" xfId="3509" xr:uid="{EE80D27D-FF68-47E9-B3FD-412ABF79C8FA}"/>
    <cellStyle name="Normal 4 5 5 2" xfId="3999" xr:uid="{04A3EFA8-5871-4B32-9F47-212E6D9F40D2}"/>
    <cellStyle name="Normal 4 5 5 2 2" xfId="5326" xr:uid="{E702E29D-DD12-4853-AE7D-D15C4322B561}"/>
    <cellStyle name="Normal 4 5 5 2 2 2" xfId="7943" xr:uid="{2A812DDF-A2EC-4340-A648-FF1F3688711E}"/>
    <cellStyle name="Normal 4 5 5 2 3" xfId="6635" xr:uid="{F0BBC9DD-E92D-4FAB-87E7-6D9BE22DA0F6}"/>
    <cellStyle name="Normal 4 5 5 3" xfId="4472" xr:uid="{E952BAA7-F1AA-4168-983B-9B4E4039BA71}"/>
    <cellStyle name="Normal 4 5 5 3 2" xfId="5785" xr:uid="{550F1C0C-BA79-4BAA-B369-BEABEB816574}"/>
    <cellStyle name="Normal 4 5 5 3 2 2" xfId="8402" xr:uid="{A4C71455-10B7-4275-8830-532482F49FB6}"/>
    <cellStyle name="Normal 4 5 5 3 3" xfId="7094" xr:uid="{38170B8C-1AF4-42A6-A459-6E7F874CBF0F}"/>
    <cellStyle name="Normal 4 5 5 4" xfId="4854" xr:uid="{B2372887-EFEE-4BE7-A573-111DDC65FE03}"/>
    <cellStyle name="Normal 4 5 5 4 2" xfId="7471" xr:uid="{086F1179-F88B-4AED-97BD-685B765C6FC7}"/>
    <cellStyle name="Normal 4 5 5 5" xfId="6163" xr:uid="{B396CE26-6CA0-4B1C-A7B4-CFD3956B9145}"/>
    <cellStyle name="Normal 4 5 6" xfId="3770" xr:uid="{C78618E4-B822-4E76-9ACE-CBC521C73B2B}"/>
    <cellStyle name="Normal 4 5 6 2" xfId="4521" xr:uid="{F57404AF-3451-4FA1-921B-3ED6AAFDB1F1}"/>
    <cellStyle name="Normal 4 5 6 2 2" xfId="5830" xr:uid="{E04B6E14-CF4A-4ECA-BA7A-C1BBABA248CC}"/>
    <cellStyle name="Normal 4 5 6 2 2 2" xfId="8447" xr:uid="{A1DCABA1-7DDE-4DE9-9DD4-1AE252868B9B}"/>
    <cellStyle name="Normal 4 5 6 2 3" xfId="7139" xr:uid="{878E02D6-6FF0-4E23-A92D-9202B51AB432}"/>
    <cellStyle name="Normal 4 5 6 3" xfId="5097" xr:uid="{B51E8698-F7D3-4628-8020-E41C86A93D48}"/>
    <cellStyle name="Normal 4 5 6 3 2" xfId="7714" xr:uid="{9B8139B4-843A-4756-92ED-201CA3766170}"/>
    <cellStyle name="Normal 4 5 6 4" xfId="6406" xr:uid="{89F12D2B-692F-4619-A7C8-145C5B4B60BC}"/>
    <cellStyle name="Normal 4 5 7" xfId="4566" xr:uid="{D030A6CE-D6D6-4309-9314-DAA27763B21D}"/>
    <cellStyle name="Normal 4 5 7 2" xfId="5875" xr:uid="{BEAFF39E-8A54-4942-B63F-9F8796994785}"/>
    <cellStyle name="Normal 4 5 7 2 2" xfId="8492" xr:uid="{37A48F89-7857-44FB-9002-5D1F74318583}"/>
    <cellStyle name="Normal 4 5 7 3" xfId="7184" xr:uid="{D1BD0417-6CDB-448E-A249-A78DDC75AC25}"/>
    <cellStyle name="Normal 4 5 8" xfId="4235" xr:uid="{6ADFCEDC-D226-4FE3-8687-921DF1386D41}"/>
    <cellStyle name="Normal 4 5 8 2" xfId="5562" xr:uid="{41EEBAB0-4A5C-49E8-921F-89CC6B75E4E6}"/>
    <cellStyle name="Normal 4 5 8 2 2" xfId="8179" xr:uid="{81B465AC-6906-4983-83E9-1B42C7949621}"/>
    <cellStyle name="Normal 4 5 8 3" xfId="6871" xr:uid="{F5584E0B-1B71-460F-9790-5E41971C1944}"/>
    <cellStyle name="Normal 4 5 9" xfId="4625" xr:uid="{4150E54A-D227-4A07-9B98-A8835A5EEC4B}"/>
    <cellStyle name="Normal 4 5 9 2" xfId="7242" xr:uid="{3C9539F2-301C-414F-AC4F-0B63CDFD10BD}"/>
    <cellStyle name="Normal 4 6" xfId="2855" xr:uid="{FEDCF7AB-993C-4420-A4F5-5EE613D4C405}"/>
    <cellStyle name="Normal 4 6 10" xfId="5951" xr:uid="{DDF3DDF9-8599-49CA-A046-D53B015A7A61}"/>
    <cellStyle name="Normal 4 6 2" xfId="2902" xr:uid="{9FB69464-4E72-45C4-89C2-E5A4078FD10E}"/>
    <cellStyle name="Normal 4 6 2 2" xfId="3003" xr:uid="{87D8DE95-D539-4F64-A58C-8A135196F36E}"/>
    <cellStyle name="Normal 4 6 2 2 2" xfId="3672" xr:uid="{CB913017-4652-463F-8494-5F4C3E62647A}"/>
    <cellStyle name="Normal 4 6 2 2 2 2" xfId="4146" xr:uid="{F747B565-2E16-4812-B971-7244BFF3F91D}"/>
    <cellStyle name="Normal 4 6 2 2 2 2 2" xfId="5473" xr:uid="{B8A7B022-2CD3-4C3F-9D0D-D20102FD043A}"/>
    <cellStyle name="Normal 4 6 2 2 2 2 2 2" xfId="8090" xr:uid="{99E2AE0D-C5F9-48F7-A9C0-705F9DB286C0}"/>
    <cellStyle name="Normal 4 6 2 2 2 2 3" xfId="6782" xr:uid="{00EC93D6-C958-4FB2-A441-2C91EBAE1DC6}"/>
    <cellStyle name="Normal 4 6 2 2 2 3" xfId="5001" xr:uid="{C7D1D991-BF73-4864-A844-DA9039076B39}"/>
    <cellStyle name="Normal 4 6 2 2 2 3 2" xfId="7618" xr:uid="{AE000266-1F3A-4A98-AA3B-E19E0E2E6F4B}"/>
    <cellStyle name="Normal 4 6 2 2 2 4" xfId="6310" xr:uid="{14688D68-36CC-459D-8E89-97C6289CE6A0}"/>
    <cellStyle name="Normal 4 6 2 2 3" xfId="3917" xr:uid="{F9D728DB-8CD9-437F-96CC-E4B9907BA3ED}"/>
    <cellStyle name="Normal 4 6 2 2 3 2" xfId="5244" xr:uid="{82BA54DB-BEE0-41E1-97AB-BAA1AB2719A9}"/>
    <cellStyle name="Normal 4 6 2 2 3 2 2" xfId="7861" xr:uid="{DFA44773-AF20-4C81-8522-93237AA96C2B}"/>
    <cellStyle name="Normal 4 6 2 2 3 3" xfId="6553" xr:uid="{6CDEFEF4-32E7-4F3D-AB49-C4DFC41A535F}"/>
    <cellStyle name="Normal 4 6 2 2 4" xfId="4382" xr:uid="{1C443EE9-EF60-4875-B5C6-7EB7B31F9638}"/>
    <cellStyle name="Normal 4 6 2 2 4 2" xfId="5709" xr:uid="{0B1AFE62-6C9E-428D-A392-3239C0AC74EE}"/>
    <cellStyle name="Normal 4 6 2 2 4 2 2" xfId="8326" xr:uid="{F9819E29-A984-4578-B4D0-9F40255B779D}"/>
    <cellStyle name="Normal 4 6 2 2 4 3" xfId="7018" xr:uid="{96EBE2FA-02E0-435B-95C8-65528AF15337}"/>
    <cellStyle name="Normal 4 6 2 2 5" xfId="4772" xr:uid="{F73FD1AA-5623-44C6-8CFD-B6862E1BC399}"/>
    <cellStyle name="Normal 4 6 2 2 5 2" xfId="7389" xr:uid="{D572E1DD-800B-48E5-B8D0-8E94756EAF02}"/>
    <cellStyle name="Normal 4 6 2 2 6" xfId="6081" xr:uid="{11A962F8-1347-4729-98D9-56F1D4AE9054}"/>
    <cellStyle name="Normal 4 6 2 3" xfId="3571" xr:uid="{0A1A40D1-C1B0-41DA-AF95-6D0B88ADA848}"/>
    <cellStyle name="Normal 4 6 2 3 2" xfId="4061" xr:uid="{8DCE0358-4068-4DE2-8625-2152B3E963D4}"/>
    <cellStyle name="Normal 4 6 2 3 2 2" xfId="5388" xr:uid="{A51A0192-E310-4CF3-88AF-AB362772DBF2}"/>
    <cellStyle name="Normal 4 6 2 3 2 2 2" xfId="8005" xr:uid="{6F9AE52E-46EF-40F7-B08A-FA218848AD71}"/>
    <cellStyle name="Normal 4 6 2 3 2 3" xfId="6697" xr:uid="{0C9511B3-0C16-4092-ABA8-75D4D95E84F8}"/>
    <cellStyle name="Normal 4 6 2 3 3" xfId="4916" xr:uid="{A9426AB0-7EF1-4D5A-AF86-9F18506DA7A5}"/>
    <cellStyle name="Normal 4 6 2 3 3 2" xfId="7533" xr:uid="{A89DCC6D-5CB1-499E-A3A3-B68E88D642A0}"/>
    <cellStyle name="Normal 4 6 2 3 4" xfId="6225" xr:uid="{41661FCB-C636-468C-827E-CBBD4F0E7C8B}"/>
    <cellStyle name="Normal 4 6 2 4" xfId="3832" xr:uid="{F46B2018-9BBC-4CB4-9F0F-D47A79670E12}"/>
    <cellStyle name="Normal 4 6 2 4 2" xfId="5159" xr:uid="{C3FFD36D-09C7-4D93-A9D9-5F7AB32B6E40}"/>
    <cellStyle name="Normal 4 6 2 4 2 2" xfId="7776" xr:uid="{2362459E-8E32-4F34-9C7D-197A1F64AA91}"/>
    <cellStyle name="Normal 4 6 2 4 3" xfId="6468" xr:uid="{78E1006F-6B72-4D33-A772-C20EB459D690}"/>
    <cellStyle name="Normal 4 6 2 5" xfId="4297" xr:uid="{7D4C69AA-AF67-4645-ABD8-2C1E4AB8CF47}"/>
    <cellStyle name="Normal 4 6 2 5 2" xfId="5624" xr:uid="{D5BE294D-6F51-4939-8BFC-48291DD6F3C2}"/>
    <cellStyle name="Normal 4 6 2 5 2 2" xfId="8241" xr:uid="{39D31BE3-33A2-4EFF-AC72-337DBFB66954}"/>
    <cellStyle name="Normal 4 6 2 5 3" xfId="6933" xr:uid="{911041A4-DAE8-4FD3-9D9E-59DEAFA79EB1}"/>
    <cellStyle name="Normal 4 6 2 6" xfId="4687" xr:uid="{FA5AEF6C-B7CB-40FA-9428-7A414AB318CE}"/>
    <cellStyle name="Normal 4 6 2 6 2" xfId="7304" xr:uid="{0731D1C0-DF65-4618-997F-EE36B54DF8C3}"/>
    <cellStyle name="Normal 4 6 2 7" xfId="5996" xr:uid="{CDEB9E90-99EB-4090-B59F-2DF59F8B5869}"/>
    <cellStyle name="Normal 4 6 3" xfId="3447" xr:uid="{5403DFEF-8DF5-4821-A5AD-BE962DCD5622}"/>
    <cellStyle name="Normal 4 6 3 2" xfId="3712" xr:uid="{94C7A8FA-212A-4E84-8519-272318F7EBA8}"/>
    <cellStyle name="Normal 4 6 3 2 2" xfId="4186" xr:uid="{0DE2058C-36F8-4CDD-AACC-918BC3BC5E4D}"/>
    <cellStyle name="Normal 4 6 3 2 2 2" xfId="5513" xr:uid="{906C2522-8CFA-48C6-850A-88563171F58C}"/>
    <cellStyle name="Normal 4 6 3 2 2 2 2" xfId="8130" xr:uid="{AD107BD6-9308-47E3-92D5-520558A4FD0C}"/>
    <cellStyle name="Normal 4 6 3 2 2 3" xfId="6822" xr:uid="{74E1F589-2219-4478-B789-0EA27797D239}"/>
    <cellStyle name="Normal 4 6 3 2 3" xfId="5041" xr:uid="{FF429022-C7FD-4396-AB96-550CBBD092AA}"/>
    <cellStyle name="Normal 4 6 3 2 3 2" xfId="7658" xr:uid="{C4231367-3F25-4F85-BA1B-7A08D955A5DA}"/>
    <cellStyle name="Normal 4 6 3 2 4" xfId="6350" xr:uid="{A5F0BD5B-3FE5-4659-8983-9620095E9762}"/>
    <cellStyle name="Normal 4 6 3 3" xfId="3957" xr:uid="{0D01FA1A-899E-4A16-A278-E840EA419011}"/>
    <cellStyle name="Normal 4 6 3 3 2" xfId="5284" xr:uid="{9BC56976-21D7-4497-BB15-09D23E59A339}"/>
    <cellStyle name="Normal 4 6 3 3 2 2" xfId="7901" xr:uid="{30A67D26-122B-4C92-99C5-5F0665EEEDEC}"/>
    <cellStyle name="Normal 4 6 3 3 3" xfId="6593" xr:uid="{1CD142A5-1EE4-4F6B-8A31-CB09BB26CBB5}"/>
    <cellStyle name="Normal 4 6 3 4" xfId="4422" xr:uid="{51B2FE66-66B6-49D5-AF0E-EBE5EF0F7C12}"/>
    <cellStyle name="Normal 4 6 3 4 2" xfId="5749" xr:uid="{DC47723B-8641-4E45-A97A-224268A43406}"/>
    <cellStyle name="Normal 4 6 3 4 2 2" xfId="8366" xr:uid="{E300784E-588B-4BD6-8018-F1C6FCD22248}"/>
    <cellStyle name="Normal 4 6 3 4 3" xfId="7058" xr:uid="{3A55797F-9F33-4292-8FBC-043425A5C88F}"/>
    <cellStyle name="Normal 4 6 3 5" xfId="4812" xr:uid="{D665D2F8-8720-4F5B-BAE8-3EB44F76B6EE}"/>
    <cellStyle name="Normal 4 6 3 5 2" xfId="7429" xr:uid="{6D08FA9E-91BB-4683-A7B0-0BD6903D63CA}"/>
    <cellStyle name="Normal 4 6 3 6" xfId="6121" xr:uid="{8F2E2B8C-8F02-42FB-BE96-863225BC9AFF}"/>
    <cellStyle name="Normal 4 6 4" xfId="2947" xr:uid="{A671DB3F-E4AD-4FC7-940F-2A343291A944}"/>
    <cellStyle name="Normal 4 6 4 2" xfId="3616" xr:uid="{300DBA71-10EE-416C-8D9C-3A6BE45C10B1}"/>
    <cellStyle name="Normal 4 6 4 2 2" xfId="4106" xr:uid="{E9B45095-8B00-41DD-8E29-92FD7B0B79DD}"/>
    <cellStyle name="Normal 4 6 4 2 2 2" xfId="5433" xr:uid="{1A2DE8F6-1C93-44E7-AC22-B076C9510E04}"/>
    <cellStyle name="Normal 4 6 4 2 2 2 2" xfId="8050" xr:uid="{B4D813B5-25E8-4830-B8E3-75C21C9B7DDB}"/>
    <cellStyle name="Normal 4 6 4 2 2 3" xfId="6742" xr:uid="{26E6473B-1366-4D6B-9AF1-6EDF5BA29011}"/>
    <cellStyle name="Normal 4 6 4 2 3" xfId="4961" xr:uid="{23DC2CE1-CCC6-4389-A57D-0CC83F42E665}"/>
    <cellStyle name="Normal 4 6 4 2 3 2" xfId="7578" xr:uid="{0DCB3F09-6F4A-48EE-A5B2-329CBB7B9EA0}"/>
    <cellStyle name="Normal 4 6 4 2 4" xfId="6270" xr:uid="{10B20CF2-E129-4FAB-A447-9E007CF02728}"/>
    <cellStyle name="Normal 4 6 4 3" xfId="3877" xr:uid="{95BAC3ED-4C05-4CE7-B90B-6994A5AC3DF9}"/>
    <cellStyle name="Normal 4 6 4 3 2" xfId="5204" xr:uid="{545B9025-BAED-4246-BF54-0EDC5CEED036}"/>
    <cellStyle name="Normal 4 6 4 3 2 2" xfId="7821" xr:uid="{FBA28D0A-62D3-4E46-BDAC-5CC810EA9023}"/>
    <cellStyle name="Normal 4 6 4 3 3" xfId="6513" xr:uid="{C7554AE7-67B3-4CB4-ABB9-67FA043C2DC6}"/>
    <cellStyle name="Normal 4 6 4 4" xfId="4342" xr:uid="{9DA20712-EFAE-4B69-9440-02093FB5FC59}"/>
    <cellStyle name="Normal 4 6 4 4 2" xfId="5669" xr:uid="{1DF0E373-9F23-4F0C-800B-781462FB10CF}"/>
    <cellStyle name="Normal 4 6 4 4 2 2" xfId="8286" xr:uid="{4BDDB1B6-817C-4939-A078-2C1CF779D822}"/>
    <cellStyle name="Normal 4 6 4 4 3" xfId="6978" xr:uid="{E18B44AF-796C-458A-A36D-376E9392289A}"/>
    <cellStyle name="Normal 4 6 4 5" xfId="4732" xr:uid="{2663B15E-B148-4E9D-BA52-FC8B6C3AEDCB}"/>
    <cellStyle name="Normal 4 6 4 5 2" xfId="7349" xr:uid="{E8860256-E639-42DA-A663-5980F4452330}"/>
    <cellStyle name="Normal 4 6 4 6" xfId="6041" xr:uid="{A11E5847-8929-417C-855C-DA896B153392}"/>
    <cellStyle name="Normal 4 6 5" xfId="3526" xr:uid="{B066C5EF-CD9C-4F81-8FC7-F8B1C146D8B9}"/>
    <cellStyle name="Normal 4 6 5 2" xfId="4016" xr:uid="{6220A1A9-3344-4E38-B1EF-13B6192A0C00}"/>
    <cellStyle name="Normal 4 6 5 2 2" xfId="5343" xr:uid="{B2DA51B5-9BFC-4DA6-B7B5-0327DC662EDB}"/>
    <cellStyle name="Normal 4 6 5 2 2 2" xfId="7960" xr:uid="{E8EE4409-C81A-46F7-9233-44E2AF9D8E79}"/>
    <cellStyle name="Normal 4 6 5 2 3" xfId="6652" xr:uid="{6F70B6B1-6DBF-4DFA-A1B8-3E41D6E20B16}"/>
    <cellStyle name="Normal 4 6 5 3" xfId="4493" xr:uid="{7B4ABD6F-FADB-431F-9284-0EC1CB8AA1D5}"/>
    <cellStyle name="Normal 4 6 5 3 2" xfId="5802" xr:uid="{E7E4D5CE-8345-4CAD-8F71-5F05CAF092BF}"/>
    <cellStyle name="Normal 4 6 5 3 2 2" xfId="8419" xr:uid="{09B32712-7D7F-4C61-82E3-120C08C56F60}"/>
    <cellStyle name="Normal 4 6 5 3 3" xfId="7111" xr:uid="{D3F271FD-695E-4D75-AD95-AE0F04961BAD}"/>
    <cellStyle name="Normal 4 6 5 4" xfId="4871" xr:uid="{CFE36842-8AC3-417F-A8D2-DC632082465E}"/>
    <cellStyle name="Normal 4 6 5 4 2" xfId="7488" xr:uid="{C21E7A14-D3E0-4690-851F-B480CD318E06}"/>
    <cellStyle name="Normal 4 6 5 5" xfId="6180" xr:uid="{A8ABF298-8CFD-40A1-861A-1F696D66D6EE}"/>
    <cellStyle name="Normal 4 6 6" xfId="3787" xr:uid="{3BB72B99-7C73-4D79-9AA1-97919E2E9C89}"/>
    <cellStyle name="Normal 4 6 6 2" xfId="4538" xr:uid="{55CAC52A-61E7-415B-A6D9-4EF7638B7527}"/>
    <cellStyle name="Normal 4 6 6 2 2" xfId="5847" xr:uid="{2FE0DE87-93BD-4F21-A48D-8CE229DBEF08}"/>
    <cellStyle name="Normal 4 6 6 2 2 2" xfId="8464" xr:uid="{BA694323-CA78-47E5-BA4C-CA352581E91B}"/>
    <cellStyle name="Normal 4 6 6 2 3" xfId="7156" xr:uid="{BDF960DC-026B-42A3-8425-A4AE58EBDCA9}"/>
    <cellStyle name="Normal 4 6 6 3" xfId="5114" xr:uid="{257247F5-5396-4283-9DCB-2F50D77D209F}"/>
    <cellStyle name="Normal 4 6 6 3 2" xfId="7731" xr:uid="{CE17029C-3519-4436-96F9-698C5F89CB6B}"/>
    <cellStyle name="Normal 4 6 6 4" xfId="6423" xr:uid="{0C97D478-4180-4F3B-B1F8-AF596B793C57}"/>
    <cellStyle name="Normal 4 6 7" xfId="4583" xr:uid="{222C7ADF-CC2F-426A-82CB-87CEF70B02C7}"/>
    <cellStyle name="Normal 4 6 7 2" xfId="5892" xr:uid="{87384AB4-F0CC-4A19-A1A2-E80118580B9B}"/>
    <cellStyle name="Normal 4 6 7 2 2" xfId="8509" xr:uid="{532EB957-1335-418D-8C14-A0E88AA10D3A}"/>
    <cellStyle name="Normal 4 6 7 3" xfId="7201" xr:uid="{CE25F653-56D6-43E7-981B-B94EBDA54825}"/>
    <cellStyle name="Normal 4 6 8" xfId="4252" xr:uid="{7F9D39DD-1040-4C22-8603-6A079380DEAF}"/>
    <cellStyle name="Normal 4 6 8 2" xfId="5579" xr:uid="{97AA607B-E4A7-4934-8B53-8115D0FE2EF1}"/>
    <cellStyle name="Normal 4 6 8 2 2" xfId="8196" xr:uid="{6DAE2379-77F3-4824-9BA3-85016F1763E4}"/>
    <cellStyle name="Normal 4 6 8 3" xfId="6888" xr:uid="{6D8B2228-A0A6-4D9E-BABF-FFF3DD32CD4C}"/>
    <cellStyle name="Normal 4 6 9" xfId="4642" xr:uid="{5AF16CC4-A9CD-4D6C-8E61-C0925A7263AE}"/>
    <cellStyle name="Normal 4 6 9 2" xfId="7259" xr:uid="{5C3E25D2-CC53-4FFA-8F32-908A3C83DB61}"/>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7" xr:uid="{64FE9D33-D8BC-4E45-9067-67D2B751EECE}"/>
    <cellStyle name="Normal 4 8 2 2 2 2" xfId="5364" xr:uid="{1821B0ED-0F38-416D-97C0-B4D6502ACA34}"/>
    <cellStyle name="Normal 4 8 2 2 2 2 2" xfId="7981" xr:uid="{52CBDCD2-7D35-40D1-B5E2-03BBBE8F10D6}"/>
    <cellStyle name="Normal 4 8 2 2 2 3" xfId="6673" xr:uid="{EC8EE8B8-113F-467E-BC57-CA8CD731F9F1}"/>
    <cellStyle name="Normal 4 8 2 2 3" xfId="4892" xr:uid="{A7846E05-3477-4048-968B-52DAB04E4441}"/>
    <cellStyle name="Normal 4 8 2 2 3 2" xfId="7509" xr:uid="{AEF86214-0FC5-486E-AC68-B7CD962BCB08}"/>
    <cellStyle name="Normal 4 8 2 2 4" xfId="6201" xr:uid="{CDF94FB2-6175-4602-9C65-14250BA1DE74}"/>
    <cellStyle name="Normal 4 8 2 3" xfId="3808" xr:uid="{6C213372-FFD2-407C-83C4-A33A4C410624}"/>
    <cellStyle name="Normal 4 8 2 3 2" xfId="5135" xr:uid="{1804C142-21A4-4279-A0A9-6481F1D6A7F9}"/>
    <cellStyle name="Normal 4 8 2 3 2 2" xfId="7752" xr:uid="{665CECFD-0CEB-47F8-92A8-E04E19E391AF}"/>
    <cellStyle name="Normal 4 8 2 3 3" xfId="6444" xr:uid="{A70D2507-8BC4-4A6F-9243-A289BFF589BC}"/>
    <cellStyle name="Normal 4 8 2 4" xfId="4273" xr:uid="{69040530-2B2B-4A98-8815-B848C0F8D8D7}"/>
    <cellStyle name="Normal 4 8 2 4 2" xfId="5600" xr:uid="{1A548057-A1EE-4400-89AB-A6F0BE619FAF}"/>
    <cellStyle name="Normal 4 8 2 4 2 2" xfId="8217" xr:uid="{5B2C723A-304F-49F6-BEE3-B04B85D9C446}"/>
    <cellStyle name="Normal 4 8 2 4 3" xfId="6909" xr:uid="{438B3CE4-C777-4C0B-8012-2A794508FC1A}"/>
    <cellStyle name="Normal 4 8 2 5" xfId="4663" xr:uid="{59782F2F-A5C7-4BF9-8D12-F2CA2105DFC7}"/>
    <cellStyle name="Normal 4 8 2 5 2" xfId="7280" xr:uid="{FCB8657E-F6E1-477C-AA3E-68FEC47BBB37}"/>
    <cellStyle name="Normal 4 8 2 6" xfId="5972" xr:uid="{2C5ED217-9A8F-4C33-8778-A5B7C5F41016}"/>
    <cellStyle name="Normal 4 8 3" xfId="2923" xr:uid="{F834450C-FB76-4614-87A2-14233A0E8F61}"/>
    <cellStyle name="Normal 4 8 3 2" xfId="3592" xr:uid="{95336BC0-AF1C-441E-B761-6F87729A275C}"/>
    <cellStyle name="Normal 4 8 3 2 2" xfId="4082" xr:uid="{AC45BBFB-7A4C-4FE3-8595-DF0DECA48B8D}"/>
    <cellStyle name="Normal 4 8 3 2 2 2" xfId="5409" xr:uid="{2B15750B-8E7B-43B8-A933-72223AFFB190}"/>
    <cellStyle name="Normal 4 8 3 2 2 2 2" xfId="8026" xr:uid="{A7912518-E0C9-407F-B4B3-BBC09DEB76E1}"/>
    <cellStyle name="Normal 4 8 3 2 2 3" xfId="6718" xr:uid="{9B4D7ED3-49C3-4532-932B-7F85E31FB206}"/>
    <cellStyle name="Normal 4 8 3 2 3" xfId="4937" xr:uid="{E761D35F-9386-45A4-A746-E25957723D9E}"/>
    <cellStyle name="Normal 4 8 3 2 3 2" xfId="7554" xr:uid="{17908530-6D19-484B-B741-7BA1B361F847}"/>
    <cellStyle name="Normal 4 8 3 2 4" xfId="6246" xr:uid="{90078B10-C2BA-4204-BD5B-E0F9DFA95915}"/>
    <cellStyle name="Normal 4 8 3 3" xfId="3853" xr:uid="{F186488B-EFC2-4E1B-B5BF-57152ADE4C56}"/>
    <cellStyle name="Normal 4 8 3 3 2" xfId="5180" xr:uid="{1944E2CE-62F1-4EB1-B022-5D4A5AF5DE18}"/>
    <cellStyle name="Normal 4 8 3 3 2 2" xfId="7797" xr:uid="{FD55BC7C-1D15-4970-B18D-7AFE46D561A7}"/>
    <cellStyle name="Normal 4 8 3 3 3" xfId="6489" xr:uid="{4C89AB7F-EEE9-4BCF-8F86-7D623D04C55C}"/>
    <cellStyle name="Normal 4 8 3 4" xfId="4318" xr:uid="{1C0BFE33-D32A-4509-AD97-DB5193B9C95B}"/>
    <cellStyle name="Normal 4 8 3 4 2" xfId="5645" xr:uid="{2D6F983F-C64D-474F-90EB-F96952BA564B}"/>
    <cellStyle name="Normal 4 8 3 4 2 2" xfId="8262" xr:uid="{C79CBA80-E215-4F9B-86C4-8D552F493028}"/>
    <cellStyle name="Normal 4 8 3 4 3" xfId="6954" xr:uid="{79108137-7400-4186-83BE-41518A03E24B}"/>
    <cellStyle name="Normal 4 8 3 5" xfId="4708" xr:uid="{E1CF0CB3-59F6-4E6E-90B2-C380A8B9200F}"/>
    <cellStyle name="Normal 4 8 3 5 2" xfId="7325" xr:uid="{1DA1C24A-3D3D-4AF9-A2E3-1D95B79BA246}"/>
    <cellStyle name="Normal 4 8 3 6" xfId="6017" xr:uid="{5F599D45-2349-4DEE-83C6-258EF38502CE}"/>
    <cellStyle name="Normal 4 8 4" xfId="3502" xr:uid="{C4359809-4B06-4ECC-85DA-A62E889FB51E}"/>
    <cellStyle name="Normal 4 8 4 2" xfId="3992" xr:uid="{6AF33FE3-4C4D-4CEC-82D7-BE5B6F244737}"/>
    <cellStyle name="Normal 4 8 4 2 2" xfId="5319" xr:uid="{216CC6F8-1E5B-4D28-A255-8BB3E1BECFAE}"/>
    <cellStyle name="Normal 4 8 4 2 2 2" xfId="7936" xr:uid="{165888EA-7A9B-4B17-8E41-B675E2AC704A}"/>
    <cellStyle name="Normal 4 8 4 2 3" xfId="6628" xr:uid="{82764B9D-35DF-4E0B-B110-D01B4941FB7A}"/>
    <cellStyle name="Normal 4 8 4 3" xfId="4451" xr:uid="{6313AAD8-A73A-4DC2-A6A5-7C3C8303CBAB}"/>
    <cellStyle name="Normal 4 8 4 3 2" xfId="5778" xr:uid="{63221EB4-CC1E-4D1C-95FF-521E30C02B4E}"/>
    <cellStyle name="Normal 4 8 4 3 2 2" xfId="8395" xr:uid="{DFBC05DA-071B-4A35-97E5-978F496F7C42}"/>
    <cellStyle name="Normal 4 8 4 3 3" xfId="7087" xr:uid="{2A648BE1-F4EE-412A-952A-89B886193872}"/>
    <cellStyle name="Normal 4 8 4 4" xfId="4847" xr:uid="{3CDF6643-33BB-4D51-9A6C-229FFC662A9D}"/>
    <cellStyle name="Normal 4 8 4 4 2" xfId="7464" xr:uid="{4E9C07D0-EC76-4C22-B846-A60625491938}"/>
    <cellStyle name="Normal 4 8 4 5" xfId="6156" xr:uid="{48CA5D61-5A3C-449E-803B-5A3418B5D0A6}"/>
    <cellStyle name="Normal 4 8 5" xfId="3763" xr:uid="{B3CC6C85-7548-434E-A171-046EBAAD2032}"/>
    <cellStyle name="Normal 4 8 5 2" xfId="4514" xr:uid="{6BEE9566-733B-4DAF-A8F7-FEECC284DAC0}"/>
    <cellStyle name="Normal 4 8 5 2 2" xfId="5823" xr:uid="{68944085-C269-427B-8820-74BAD4E4D89D}"/>
    <cellStyle name="Normal 4 8 5 2 2 2" xfId="8440" xr:uid="{1914C55A-F643-47EC-8F02-9EE285A416DC}"/>
    <cellStyle name="Normal 4 8 5 2 3" xfId="7132" xr:uid="{6F5DBE22-9AE9-459A-8FDA-D60CF0727053}"/>
    <cellStyle name="Normal 4 8 5 3" xfId="5090" xr:uid="{70570D38-2805-4A09-945D-854008268AD1}"/>
    <cellStyle name="Normal 4 8 5 3 2" xfId="7707" xr:uid="{A6FB8CD0-DB3A-4F57-A495-45E6CB621B7B}"/>
    <cellStyle name="Normal 4 8 5 4" xfId="6399" xr:uid="{C21742DE-DC14-4CF9-9B59-62BCDFC9B2A0}"/>
    <cellStyle name="Normal 4 8 6" xfId="4559" xr:uid="{2E15E452-53AB-49D4-B084-97D26A8DA5EB}"/>
    <cellStyle name="Normal 4 8 6 2" xfId="5868" xr:uid="{4BAEE649-AACA-49A6-B7C4-E2F0F33E60AD}"/>
    <cellStyle name="Normal 4 8 6 2 2" xfId="8485" xr:uid="{F0839B62-5F82-44D5-B920-81AFED2494E0}"/>
    <cellStyle name="Normal 4 8 6 3" xfId="7177" xr:uid="{6711FF6E-B67D-4AA5-8213-761A3184671A}"/>
    <cellStyle name="Normal 4 8 7" xfId="4228" xr:uid="{0B8E01CF-F20B-433E-84B7-7D62AB5837DB}"/>
    <cellStyle name="Normal 4 8 7 2" xfId="5555" xr:uid="{DDAA9E95-177D-4EF8-A204-D8635247B493}"/>
    <cellStyle name="Normal 4 8 7 2 2" xfId="8172" xr:uid="{5AC7F066-0591-4CD6-B889-EE0631468C0C}"/>
    <cellStyle name="Normal 4 8 7 3" xfId="6864" xr:uid="{AC27278E-90C5-421E-93C3-139B9D04E6BF}"/>
    <cellStyle name="Normal 4 8 8" xfId="4618" xr:uid="{F39C52EA-9931-4C82-8C7B-41F60180F9CC}"/>
    <cellStyle name="Normal 4 8 8 2" xfId="7235" xr:uid="{C6E61214-41C8-4CCC-9A0F-71B9B7729CAC}"/>
    <cellStyle name="Normal 4 8 9" xfId="5927" xr:uid="{D3AF6C80-D23E-41D0-80CD-292DF74455E6}"/>
    <cellStyle name="Normal 4 9" xfId="27" xr:uid="{991B9F0F-1632-4E82-BA15-D4F5B44B6040}"/>
    <cellStyle name="Normal 4 9 2" xfId="2963" xr:uid="{1130FF09-DC98-4189-BFBA-210000AC8890}"/>
    <cellStyle name="Normal 4 9 2 2" xfId="3632" xr:uid="{63756306-B1DD-407B-B9E6-5AC0453CA823}"/>
    <cellStyle name="Normal 4 9 2 2 2" xfId="4122" xr:uid="{41916B53-5302-4A2E-9B4F-CAFDCA365DAF}"/>
    <cellStyle name="Normal 4 9 2 2 2 2" xfId="5449" xr:uid="{E8CEF398-843C-4846-9F4D-7315053A5848}"/>
    <cellStyle name="Normal 4 9 2 2 2 2 2" xfId="8066" xr:uid="{1BBE5B42-3505-474D-A1DC-C077C7901C90}"/>
    <cellStyle name="Normal 4 9 2 2 2 3" xfId="6758" xr:uid="{958FC57C-71EB-41CE-A3C1-688A16787B81}"/>
    <cellStyle name="Normal 4 9 2 2 3" xfId="4977" xr:uid="{57BC12FF-9298-49B3-AE4B-615AE69405D5}"/>
    <cellStyle name="Normal 4 9 2 2 3 2" xfId="7594" xr:uid="{D1190A0D-38F3-4B44-853A-B5D7EE5F7D7D}"/>
    <cellStyle name="Normal 4 9 2 2 4" xfId="6286" xr:uid="{1CBB1CC5-B05E-4CEF-A013-BCE2BA31F283}"/>
    <cellStyle name="Normal 4 9 2 3" xfId="3893" xr:uid="{9D25D316-49FF-4A20-92A9-3E2992EC0704}"/>
    <cellStyle name="Normal 4 9 2 3 2" xfId="5220" xr:uid="{078D2A88-6810-4D8D-BE0B-6A5000CD0274}"/>
    <cellStyle name="Normal 4 9 2 3 2 2" xfId="7837" xr:uid="{13541F0A-8EF1-4D74-804A-9478067CA40D}"/>
    <cellStyle name="Normal 4 9 2 3 3" xfId="6529" xr:uid="{F9FED0B2-BA95-4130-A58C-E49AFB40BBA4}"/>
    <cellStyle name="Normal 4 9 2 4" xfId="4358" xr:uid="{E67B7524-F7F6-4E5A-ABFB-E0F1F23C54B4}"/>
    <cellStyle name="Normal 4 9 2 4 2" xfId="5685" xr:uid="{BB18898D-DB32-42CF-867B-0562E74137FC}"/>
    <cellStyle name="Normal 4 9 2 4 2 2" xfId="8302" xr:uid="{41D28B08-BE20-4AAD-B826-ADDCE94021CD}"/>
    <cellStyle name="Normal 4 9 2 4 3" xfId="6994" xr:uid="{1BEF411C-695B-4D61-8806-FF81C6FA2487}"/>
    <cellStyle name="Normal 4 9 2 5" xfId="4748" xr:uid="{852F9132-E198-41B0-903E-EA6B76B582DC}"/>
    <cellStyle name="Normal 4 9 2 5 2" xfId="7365" xr:uid="{FEFBCC20-4B90-495C-BF90-CC6589045163}"/>
    <cellStyle name="Normal 4 9 2 6" xfId="6057" xr:uid="{4F80D376-D2D2-4761-832E-DBC8F2109AE9}"/>
    <cellStyle name="Normal 4 9 3" xfId="3497" xr:uid="{7AF635FA-A1A1-48C3-B6EE-0201F5320E85}"/>
    <cellStyle name="Normal 4 9 3 2" xfId="3987" xr:uid="{62BFE78B-6BB5-4A36-86B1-AE3E0A062375}"/>
    <cellStyle name="Normal 4 9 3 2 2" xfId="5314" xr:uid="{D753F88A-4164-4BE2-B837-8334DEF7EE1B}"/>
    <cellStyle name="Normal 4 9 3 2 2 2" xfId="7931" xr:uid="{B6C21932-1EA5-47C2-82A3-9A65CDAE1DA1}"/>
    <cellStyle name="Normal 4 9 3 2 3" xfId="6623" xr:uid="{6AC79CBF-AE9A-4072-A86C-0B44141C9DDA}"/>
    <cellStyle name="Normal 4 9 3 3" xfId="4842" xr:uid="{F0BB54C6-E2B4-4DC3-AC54-F0C88A010273}"/>
    <cellStyle name="Normal 4 9 3 3 2" xfId="7459" xr:uid="{D147D384-0330-4FC6-9D93-2286D5E0824A}"/>
    <cellStyle name="Normal 4 9 3 4" xfId="6151" xr:uid="{F825F0EF-AFC3-4AFD-9737-0B39FB8F0DFB}"/>
    <cellStyle name="Normal 4 9 4" xfId="3758" xr:uid="{F0777272-FEAD-419D-8B3C-8B939E380382}"/>
    <cellStyle name="Normal 4 9 4 2" xfId="5085" xr:uid="{8456B8E3-395E-4554-996D-5652F85665DF}"/>
    <cellStyle name="Normal 4 9 4 2 2" xfId="7702" xr:uid="{531306FF-2227-491C-BC66-AF41282C849C}"/>
    <cellStyle name="Normal 4 9 4 3" xfId="6394" xr:uid="{03E8DF0D-44C4-4C39-8911-E3A6FF4F0D3D}"/>
    <cellStyle name="Normal 4 9 5" xfId="4223" xr:uid="{F0D040CF-815A-43E1-B027-CD7985016C04}"/>
    <cellStyle name="Normal 4 9 5 2" xfId="5550" xr:uid="{CFB9082A-CC45-4B3E-B2A1-DE9BE6528A42}"/>
    <cellStyle name="Normal 4 9 5 2 2" xfId="8167" xr:uid="{0D636203-7748-448F-9D13-7C6940D4EA4D}"/>
    <cellStyle name="Normal 4 9 5 3" xfId="6859" xr:uid="{267A11D9-4AA0-484A-9944-8F88A7A60AB7}"/>
    <cellStyle name="Normal 4 9 6" xfId="4613" xr:uid="{CECBADBD-C4D3-4CB5-81CB-2AA85EB78F86}"/>
    <cellStyle name="Normal 4 9 6 2" xfId="7230" xr:uid="{199C1C4C-9276-4DEC-9BB2-71B22E9EB16F}"/>
    <cellStyle name="Normal 4 9 7" xfId="5922" xr:uid="{E2A38704-7255-4907-B8F8-14764B59A302}"/>
    <cellStyle name="Normal 5" xfId="17" xr:uid="{00000000-0005-0000-0000-000009000000}"/>
    <cellStyle name="Normal 5 10" xfId="3748" xr:uid="{5788D1E7-DBA8-4A17-AAB7-F933B36CA16D}"/>
    <cellStyle name="Normal 5 10 2" xfId="5075" xr:uid="{13F7EE1C-9BF9-4191-B804-34BF60DCFD39}"/>
    <cellStyle name="Normal 5 10 2 2" xfId="7692" xr:uid="{1A4912A0-02CE-4196-A929-326982DB1C08}"/>
    <cellStyle name="Normal 5 10 3" xfId="6384" xr:uid="{A4E1279D-07B0-4BDE-8D02-31E495724236}"/>
    <cellStyle name="Normal 5 11" xfId="4219" xr:uid="{E8CCAE6A-52D0-442F-BBBA-2FABE2F001E3}"/>
    <cellStyle name="Normal 5 11 2" xfId="5546" xr:uid="{C5EBE72F-CC74-47D9-8527-ECE04A453398}"/>
    <cellStyle name="Normal 5 11 2 2" xfId="8163" xr:uid="{4D487F2C-3F6C-4BE6-A58B-612464B4E09C}"/>
    <cellStyle name="Normal 5 11 3" xfId="6855" xr:uid="{D9924B3B-E3E7-4F04-88CF-D3045F4BB118}"/>
    <cellStyle name="Normal 5 12" xfId="4603" xr:uid="{C9C6D682-7EF1-429F-85B6-9F2ACC520679}"/>
    <cellStyle name="Normal 5 12 2" xfId="7220" xr:uid="{E2EDB6F6-623F-49C5-9C5D-FE8F867B5371}"/>
    <cellStyle name="Normal 5 13" xfId="5912" xr:uid="{39F61A10-A683-455A-8328-4BB0121A2F61}"/>
    <cellStyle name="Normal 5 2" xfId="19" xr:uid="{00000000-0005-0000-0000-00000A000000}"/>
    <cellStyle name="Normal 5 2 2" xfId="2266" xr:uid="{EFC71671-2AB0-4883-AE8E-AEDE1E1A44DA}"/>
    <cellStyle name="Normal 5 2 3" xfId="3750" xr:uid="{E8EA32B3-A91C-46CB-91EF-525F1A2EF5E8}"/>
    <cellStyle name="Normal 5 2 3 2" xfId="5077" xr:uid="{ECBF4944-339F-4ECD-ACB1-01B93C04C586}"/>
    <cellStyle name="Normal 5 2 3 2 2" xfId="7694" xr:uid="{9757178F-F4A4-4A60-A142-2F4B95A65780}"/>
    <cellStyle name="Normal 5 2 3 3" xfId="6386" xr:uid="{F41DCBDC-86CC-4DE8-8310-490463F82BAD}"/>
    <cellStyle name="Normal 5 2 4" xfId="4605" xr:uid="{BF7527E1-D0E4-4841-A0DD-B5059C992F61}"/>
    <cellStyle name="Normal 5 2 4 2" xfId="7222" xr:uid="{B39CEE25-9A89-486C-8499-C0AC6C7CEC62}"/>
    <cellStyle name="Normal 5 2 5" xfId="5914" xr:uid="{FE18A805-E5FD-4B1A-B3AC-3FC46C939A30}"/>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6" xr:uid="{9A48C090-022C-434C-993C-19187DA4FF2F}"/>
    <cellStyle name="Normal 5 4 2 2 2 2" xfId="5533" xr:uid="{C014E1D0-0157-40D0-ADEA-DA6C46461E47}"/>
    <cellStyle name="Normal 5 4 2 2 2 2 2" xfId="8150" xr:uid="{96D1A4D6-37CD-4718-B760-23511B86A372}"/>
    <cellStyle name="Normal 5 4 2 2 2 3" xfId="6842" xr:uid="{9F7D9C69-69FE-4B4F-B6E2-00A62929F7A4}"/>
    <cellStyle name="Normal 5 4 2 2 3" xfId="5061" xr:uid="{EBF8CC4E-FB7D-4266-8D89-C492814B2169}"/>
    <cellStyle name="Normal 5 4 2 2 3 2" xfId="7678" xr:uid="{D9BCD84A-D00B-4B8C-95AE-FE244EDD3638}"/>
    <cellStyle name="Normal 5 4 2 2 4" xfId="6370" xr:uid="{04A29CA6-EF11-4C9B-82DA-60D37703055A}"/>
    <cellStyle name="Normal 5 4 2 3" xfId="3977" xr:uid="{3878D036-C1CD-4146-AD28-B83E65397669}"/>
    <cellStyle name="Normal 5 4 2 3 2" xfId="5304" xr:uid="{6C6911B4-339E-4BA5-A5DB-05B6FC7C262F}"/>
    <cellStyle name="Normal 5 4 2 3 2 2" xfId="7921" xr:uid="{AFE3CE91-ED5F-4A2C-8FC5-B54D103BCC8E}"/>
    <cellStyle name="Normal 5 4 2 3 3" xfId="6613" xr:uid="{1FC72A45-C641-459C-BD3E-BB6D48F2106B}"/>
    <cellStyle name="Normal 5 4 2 4" xfId="4442" xr:uid="{44998C4E-E1AE-4D59-A375-C2AF1D2C56C4}"/>
    <cellStyle name="Normal 5 4 2 4 2" xfId="5769" xr:uid="{8B0BFCEB-9277-4E23-A360-7DB98252F798}"/>
    <cellStyle name="Normal 5 4 2 4 2 2" xfId="8386" xr:uid="{AD90F2F7-A45C-4CB9-8FF0-030B15D5FD35}"/>
    <cellStyle name="Normal 5 4 2 4 3" xfId="7078" xr:uid="{066E1B0B-26FC-4168-AC6C-9195F8C4C8CA}"/>
    <cellStyle name="Normal 5 4 2 5" xfId="4832" xr:uid="{DEEA449B-6D33-4C1F-8906-4926CE4B8D12}"/>
    <cellStyle name="Normal 5 4 2 5 2" xfId="7449" xr:uid="{6721E3BC-9919-4190-B94F-AA77D050CC13}"/>
    <cellStyle name="Normal 5 4 2 6" xfId="6141" xr:uid="{BFCAE3C5-9210-4877-9919-C3F982D33356}"/>
    <cellStyle name="Normal 5 4 3" xfId="3498" xr:uid="{2D4D7C69-4DE4-4FC8-A914-E421AFAB2860}"/>
    <cellStyle name="Normal 5 4 3 2" xfId="3988" xr:uid="{5EC6B9EC-CB93-4E9E-BA44-EC6220A391C9}"/>
    <cellStyle name="Normal 5 4 3 2 2" xfId="5315" xr:uid="{5CA8BE23-C52C-4C01-A760-A96A63BDDE38}"/>
    <cellStyle name="Normal 5 4 3 2 2 2" xfId="7932" xr:uid="{E821F411-0E57-4DC0-869C-4201A0995C54}"/>
    <cellStyle name="Normal 5 4 3 2 3" xfId="6624" xr:uid="{5A6B1553-35B2-4BFE-93D7-6E15A78A4C4C}"/>
    <cellStyle name="Normal 5 4 3 3" xfId="4843" xr:uid="{38CB5466-B80F-4140-BF89-E624A433879C}"/>
    <cellStyle name="Normal 5 4 3 3 2" xfId="7460" xr:uid="{AB35773C-309F-48E1-A33D-65224668C4CC}"/>
    <cellStyle name="Normal 5 4 3 4" xfId="6152" xr:uid="{E240D84A-C930-4723-8BCB-6D9E46F163D4}"/>
    <cellStyle name="Normal 5 4 4" xfId="3759" xr:uid="{DBACCECE-8D99-449D-8FEE-F74172E84743}"/>
    <cellStyle name="Normal 5 4 4 2" xfId="5086" xr:uid="{426E042A-760E-4D73-8364-7F07C388B2BB}"/>
    <cellStyle name="Normal 5 4 4 2 2" xfId="7703" xr:uid="{4B5628B4-B7CB-44DF-9C0D-22538927570B}"/>
    <cellStyle name="Normal 5 4 4 3" xfId="6395" xr:uid="{C4FF1DFF-DCBD-475A-AE10-CCAF5EEC7466}"/>
    <cellStyle name="Normal 5 4 5" xfId="4224" xr:uid="{FB3C4614-E868-4CEE-8CCC-20227298F4C3}"/>
    <cellStyle name="Normal 5 4 5 2" xfId="5551" xr:uid="{9DFCF8FA-8A66-4245-A21E-9EE775FA6F46}"/>
    <cellStyle name="Normal 5 4 5 2 2" xfId="8168" xr:uid="{C5541277-9CBD-488D-97DC-218E30CBE5B6}"/>
    <cellStyle name="Normal 5 4 5 3" xfId="6860" xr:uid="{5EB05106-4720-468D-989A-DCFAA54C763F}"/>
    <cellStyle name="Normal 5 4 6" xfId="4614" xr:uid="{C2374A3B-2925-4372-8AE7-5E22F9ABA7BF}"/>
    <cellStyle name="Normal 5 4 6 2" xfId="7231" xr:uid="{2C5E97E0-DEB6-419F-903B-BEC7B17BFB87}"/>
    <cellStyle name="Normal 5 4 7" xfId="5923" xr:uid="{4D71A3D1-6F8F-4F80-BF11-C5B7D23EA2D6}"/>
    <cellStyle name="Normal 5 5" xfId="2874" xr:uid="{9CDE6A7D-AF32-4552-B970-EE61A24273A0}"/>
    <cellStyle name="Normal 5 5 2" xfId="3543" xr:uid="{B74F021B-0F43-46BC-A2D3-0716E4A3AF8C}"/>
    <cellStyle name="Normal 5 5 2 2" xfId="4033" xr:uid="{D2028E55-F4BA-4A80-8262-6AC89DC67CD7}"/>
    <cellStyle name="Normal 5 5 2 2 2" xfId="5360" xr:uid="{DB4C1F36-9AA2-47FD-9D90-B239FF73218C}"/>
    <cellStyle name="Normal 5 5 2 2 2 2" xfId="7977" xr:uid="{418CE4E8-599C-4320-8EA8-8382AEAAE4E8}"/>
    <cellStyle name="Normal 5 5 2 2 3" xfId="6669" xr:uid="{B36F64D9-8A46-4C2C-B79D-960F7587AB4F}"/>
    <cellStyle name="Normal 5 5 2 3" xfId="4888" xr:uid="{10820272-DB07-4FB8-AFB6-AEE24B97CE2E}"/>
    <cellStyle name="Normal 5 5 2 3 2" xfId="7505" xr:uid="{E259F362-C1D3-4FC5-8C65-AADBDAC9C246}"/>
    <cellStyle name="Normal 5 5 2 4" xfId="6197" xr:uid="{F6015E6C-A656-44DC-93A5-B3EFE1D6A9E2}"/>
    <cellStyle name="Normal 5 5 3" xfId="3804" xr:uid="{31E306EF-2622-48C2-8C58-68A0A43C4312}"/>
    <cellStyle name="Normal 5 5 3 2" xfId="5131" xr:uid="{36FB8BCD-6694-41FF-BA22-3B2EA420CA57}"/>
    <cellStyle name="Normal 5 5 3 2 2" xfId="7748" xr:uid="{5D0452F9-D63A-4CAC-9B10-85C5CE299F0E}"/>
    <cellStyle name="Normal 5 5 3 3" xfId="6440" xr:uid="{3B5EAB3C-D87F-40E8-B6B6-0287590EAF2A}"/>
    <cellStyle name="Normal 5 5 4" xfId="4269" xr:uid="{129BE231-DE66-4D3B-9DF9-97EF94B7F589}"/>
    <cellStyle name="Normal 5 5 4 2" xfId="5596" xr:uid="{650C4228-5D9A-4FCD-B3F4-CFDA42D51F68}"/>
    <cellStyle name="Normal 5 5 4 2 2" xfId="8213" xr:uid="{78395EE7-FC82-4A63-BE24-415D597A4260}"/>
    <cellStyle name="Normal 5 5 4 3" xfId="6905" xr:uid="{292AEF92-AD44-4EC6-BE47-2ABF760A8665}"/>
    <cellStyle name="Normal 5 5 5" xfId="4659" xr:uid="{521E9794-1857-4DF8-94EF-6F0017227CAE}"/>
    <cellStyle name="Normal 5 5 5 2" xfId="7276" xr:uid="{8F4611DB-84F8-4027-9A28-22B01E7E22AE}"/>
    <cellStyle name="Normal 5 5 6" xfId="5968" xr:uid="{B251155F-C528-4384-BC75-ACE9E8CC5C2C}"/>
    <cellStyle name="Normal 5 6" xfId="2919" xr:uid="{B16276D1-98A2-4189-986F-7A9FF9B2E12B}"/>
    <cellStyle name="Normal 5 6 2" xfId="3588" xr:uid="{DA980C1F-D20E-4C94-9DA4-E0EC327351BC}"/>
    <cellStyle name="Normal 5 6 2 2" xfId="4078" xr:uid="{DC1F2F04-C75B-4A37-91D3-902711D01C66}"/>
    <cellStyle name="Normal 5 6 2 2 2" xfId="5405" xr:uid="{3BB9A628-3056-41A5-8B4A-12A3CEEE33E1}"/>
    <cellStyle name="Normal 5 6 2 2 2 2" xfId="8022" xr:uid="{20F1E8F2-504C-43CD-8CFB-B72BF0E91D5A}"/>
    <cellStyle name="Normal 5 6 2 2 3" xfId="6714" xr:uid="{E42E45C0-6392-4A2B-9C67-D7E08D1BB441}"/>
    <cellStyle name="Normal 5 6 2 3" xfId="4933" xr:uid="{FF46459F-815A-46E9-80BF-33AD30278C19}"/>
    <cellStyle name="Normal 5 6 2 3 2" xfId="7550" xr:uid="{E54E21AA-9863-434D-8EA6-C1E0D5AA0F54}"/>
    <cellStyle name="Normal 5 6 2 4" xfId="6242" xr:uid="{1AB70E54-E1A1-4FE3-910E-362CC0B309F1}"/>
    <cellStyle name="Normal 5 6 3" xfId="3849" xr:uid="{B79F4865-6B3E-4E3C-A788-DE30BD6DA2D7}"/>
    <cellStyle name="Normal 5 6 3 2" xfId="5176" xr:uid="{802A7017-F989-4FA8-9BD8-D7CEDC7DFA9E}"/>
    <cellStyle name="Normal 5 6 3 2 2" xfId="7793" xr:uid="{52906321-D92B-4BE3-956E-C0A47502FC23}"/>
    <cellStyle name="Normal 5 6 3 3" xfId="6485" xr:uid="{9200D9BF-166C-4F7A-ABF5-18AF03B9B4BF}"/>
    <cellStyle name="Normal 5 6 4" xfId="4314" xr:uid="{A237FF54-5ECC-4280-99C2-1DA845580F5F}"/>
    <cellStyle name="Normal 5 6 4 2" xfId="5641" xr:uid="{F168FA21-6A08-490A-B76A-1648AD5986B6}"/>
    <cellStyle name="Normal 5 6 4 2 2" xfId="8258" xr:uid="{30963066-1418-4CC8-A14F-A2B176697E24}"/>
    <cellStyle name="Normal 5 6 4 3" xfId="6950" xr:uid="{472BE5D2-3A60-48C7-A529-A0220E061188}"/>
    <cellStyle name="Normal 5 6 5" xfId="4704" xr:uid="{D705510E-0503-4A88-9140-8A7BBDD8348A}"/>
    <cellStyle name="Normal 5 6 5 2" xfId="7321" xr:uid="{231218B4-AD0C-489C-99D7-E2D17593A351}"/>
    <cellStyle name="Normal 5 6 6" xfId="6013" xr:uid="{D94E815A-95AF-4A1F-9CAE-7619FD294DDC}"/>
    <cellStyle name="Normal 5 7" xfId="3493" xr:uid="{41B135DA-8464-47C0-9614-72B8A4AC8E21}"/>
    <cellStyle name="Normal 5 7 2" xfId="3983" xr:uid="{74C27C9C-6FA1-42A1-8759-4339142C3B4A}"/>
    <cellStyle name="Normal 5 7 2 2" xfId="5310" xr:uid="{0AD8B9E4-D30E-4A0A-9B37-16B5AC44589E}"/>
    <cellStyle name="Normal 5 7 2 2 2" xfId="7927" xr:uid="{68F7C985-A27D-40E0-B954-66DF076C163E}"/>
    <cellStyle name="Normal 5 7 2 3" xfId="6619" xr:uid="{5280AB48-92B0-43FA-BE7B-00D7DF98FF0D}"/>
    <cellStyle name="Normal 5 7 3" xfId="4447" xr:uid="{52562ECA-8652-4490-8405-436F507E0EDC}"/>
    <cellStyle name="Normal 5 7 3 2" xfId="5774" xr:uid="{0842E632-4FD9-400C-AC2F-EE0EA911C9A6}"/>
    <cellStyle name="Normal 5 7 3 2 2" xfId="8391" xr:uid="{C82DD664-C594-43A8-BA7D-C18AAE0E01FD}"/>
    <cellStyle name="Normal 5 7 3 3" xfId="7083" xr:uid="{DF230139-783D-44DC-BC0F-75002322D7FA}"/>
    <cellStyle name="Normal 5 7 4" xfId="4838" xr:uid="{AF0622C1-1163-4D7C-A181-F6586586877B}"/>
    <cellStyle name="Normal 5 7 4 2" xfId="7455" xr:uid="{4FBBD924-FE51-4CF4-8B70-FE05AD906706}"/>
    <cellStyle name="Normal 5 7 5" xfId="6147" xr:uid="{38B09C94-5570-4F17-9DDF-E1D7B186E446}"/>
    <cellStyle name="Normal 5 8" xfId="3735" xr:uid="{545EF79B-AA68-4B74-B065-CE6B63D2B457}"/>
    <cellStyle name="Normal 5 8 2" xfId="4209" xr:uid="{9EA06F60-3BF4-4A5A-8270-3CEB547FC37B}"/>
    <cellStyle name="Normal 5 8 2 2" xfId="5536" xr:uid="{70A8F131-6C6E-4802-8DE0-6A0F178692CD}"/>
    <cellStyle name="Normal 5 8 2 2 2" xfId="8153" xr:uid="{71778ECA-CD24-4872-9BD1-5A6E1E423B99}"/>
    <cellStyle name="Normal 5 8 2 3" xfId="6845" xr:uid="{F702A59E-209F-45E2-8359-B67160516E9F}"/>
    <cellStyle name="Normal 5 8 3" xfId="4510" xr:uid="{2AA62CAB-4666-4270-A314-3E972F9F71F2}"/>
    <cellStyle name="Normal 5 8 3 2" xfId="5819" xr:uid="{934EC702-E6FF-4A9C-B5A8-25D48F7BE9F7}"/>
    <cellStyle name="Normal 5 8 3 2 2" xfId="8436" xr:uid="{01773A64-7B49-4BFB-B2BE-4BCE0A6ED661}"/>
    <cellStyle name="Normal 5 8 3 3" xfId="7128" xr:uid="{38C7B137-1876-46C3-B294-F010F314BF5F}"/>
    <cellStyle name="Normal 5 8 4" xfId="5064" xr:uid="{85AD49CC-47BC-43BD-B283-D3F69E7B11C5}"/>
    <cellStyle name="Normal 5 8 4 2" xfId="7681" xr:uid="{B7DF095C-3843-418C-808D-36691C562A44}"/>
    <cellStyle name="Normal 5 8 5" xfId="6373" xr:uid="{84D111D6-64B6-4679-9803-4AD23EC4A2D2}"/>
    <cellStyle name="Normal 5 9" xfId="23" xr:uid="{DAEDE8B2-8047-4188-9525-6B3EF0C60E03}"/>
    <cellStyle name="Normal 5 9 2" xfId="3754" xr:uid="{06D17004-1AC9-4E08-8595-1D496121D256}"/>
    <cellStyle name="Normal 5 9 2 2" xfId="5081" xr:uid="{B6244DD5-B895-40D3-B214-5A62A40F8A3C}"/>
    <cellStyle name="Normal 5 9 2 2 2" xfId="7698" xr:uid="{E42BCE41-4269-43BE-A691-E4E8870CF411}"/>
    <cellStyle name="Normal 5 9 2 3" xfId="6390" xr:uid="{F40DE673-E0EC-4EEF-BE11-57CA0A23398C}"/>
    <cellStyle name="Normal 5 9 3" xfId="4555" xr:uid="{AEA9BF31-9A9B-4F0B-9177-CD0DEBF29FE9}"/>
    <cellStyle name="Normal 5 9 3 2" xfId="5864" xr:uid="{EA29D68B-3C40-497B-A882-A33776A14B3B}"/>
    <cellStyle name="Normal 5 9 3 2 2" xfId="8481" xr:uid="{40818352-9206-4B3A-B7C6-09D0063E7185}"/>
    <cellStyle name="Normal 5 9 3 3" xfId="7173" xr:uid="{07975A83-06AB-4CFF-8E73-5E7E1795C93D}"/>
    <cellStyle name="Normal 5 9 4" xfId="4609" xr:uid="{0B0C36ED-9149-4338-B519-A681F65825FC}"/>
    <cellStyle name="Normal 5 9 4 2" xfId="7226" xr:uid="{91C57256-A1E1-4299-AC95-5560E5EAE812}"/>
    <cellStyle name="Normal 5 9 5" xfId="5918" xr:uid="{EEFE0B48-9B63-4EBF-90D0-BF98E34565AB}"/>
    <cellStyle name="Normal 6" xfId="2544" xr:uid="{314036B0-785A-4AFB-953C-3B272D73EC81}"/>
    <cellStyle name="Normal 6 2" xfId="2267" xr:uid="{A0D4D034-8A18-4339-BC30-62331279CE35}"/>
    <cellStyle name="Normal 6 3" xfId="3741" xr:uid="{B41CBBCE-0FE1-4DBA-A765-A8BB89A926BD}"/>
    <cellStyle name="Normal 6 3 2" xfId="4215" xr:uid="{C7507E87-D795-4D04-A7B0-6EDD1C90B179}"/>
    <cellStyle name="Normal 6 3 2 2" xfId="5542" xr:uid="{95FFAC4D-4FEB-4FFE-B846-076221FC3046}"/>
    <cellStyle name="Normal 6 3 2 2 2" xfId="8159" xr:uid="{DFE98AB9-3B5A-443A-8A11-13F80E0D6CFB}"/>
    <cellStyle name="Normal 6 3 2 3" xfId="6851" xr:uid="{344D538B-0D5D-4C6E-9331-3CB1ED3CCB5B}"/>
    <cellStyle name="Normal 6 3 3" xfId="5070" xr:uid="{3F3ADD33-5FE3-41CF-83E9-DA61535E4ED2}"/>
    <cellStyle name="Normal 6 3 3 2" xfId="7687" xr:uid="{832E1A4E-EFA4-4529-9433-E47A6494E724}"/>
    <cellStyle name="Normal 6 3 4" xfId="6379" xr:uid="{0CD831F7-C1AD-4015-B7CB-FE7EE5889DF4}"/>
    <cellStyle name="Normal 7" xfId="2866" xr:uid="{1A5EBC8E-C577-4BE4-9901-2C790FF2E51B}"/>
    <cellStyle name="Normal 7 10" xfId="4653" xr:uid="{D1585F23-6665-4F71-90A2-5C178E37597C}"/>
    <cellStyle name="Normal 7 10 2" xfId="7270" xr:uid="{BCF694DE-B176-40C4-BDD7-4E3CA740EE85}"/>
    <cellStyle name="Normal 7 11" xfId="5962" xr:uid="{C2CBE953-817F-4974-9144-C1BA557C933D}"/>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7" xr:uid="{E55A9279-E8AA-4365-876F-F2C231100CCB}"/>
    <cellStyle name="Normal 7 3 2 2 2 2" xfId="5484" xr:uid="{D5ADB631-71ED-4D4F-8E8F-D2F72671CADD}"/>
    <cellStyle name="Normal 7 3 2 2 2 2 2" xfId="8101" xr:uid="{ADB0DE1A-C4F9-4243-90EE-7ABD1F3E843B}"/>
    <cellStyle name="Normal 7 3 2 2 2 3" xfId="6793" xr:uid="{0FFEF041-9984-4DAD-A1A3-9683DAA4DEB9}"/>
    <cellStyle name="Normal 7 3 2 2 3" xfId="5012" xr:uid="{4DF6205A-BB47-4FDB-A77C-DBB6475C58D3}"/>
    <cellStyle name="Normal 7 3 2 2 3 2" xfId="7629" xr:uid="{39F7ECB9-910F-47D3-AC6A-9AFEC09CA1E7}"/>
    <cellStyle name="Normal 7 3 2 2 4" xfId="6321" xr:uid="{6933C466-7C8D-4086-8E30-9E86B5D3BF5C}"/>
    <cellStyle name="Normal 7 3 2 3" xfId="3928" xr:uid="{95415370-B11D-48C6-8F16-A670953B404C}"/>
    <cellStyle name="Normal 7 3 2 3 2" xfId="5255" xr:uid="{DBAB0B2F-2EFC-401A-989A-A146E2B84313}"/>
    <cellStyle name="Normal 7 3 2 3 2 2" xfId="7872" xr:uid="{53842666-F0ED-4914-885D-35C50911A9A2}"/>
    <cellStyle name="Normal 7 3 2 3 3" xfId="6564" xr:uid="{DC0046BC-FD34-4962-9D49-B840348DCF77}"/>
    <cellStyle name="Normal 7 3 2 4" xfId="4393" xr:uid="{C481F545-FEDF-4516-8857-5E6F2DE85507}"/>
    <cellStyle name="Normal 7 3 2 4 2" xfId="5720" xr:uid="{3C8642D5-9D25-49B8-A9FD-266DB86C532D}"/>
    <cellStyle name="Normal 7 3 2 4 2 2" xfId="8337" xr:uid="{5D5A1D05-5DD8-40A6-8DE4-21FCDE55A546}"/>
    <cellStyle name="Normal 7 3 2 4 3" xfId="7029" xr:uid="{92884A06-A529-4BC3-A1EA-DD72BAC6116A}"/>
    <cellStyle name="Normal 7 3 2 5" xfId="4783" xr:uid="{BA9BE4D6-B263-4F0B-961F-3C648AC1C1E2}"/>
    <cellStyle name="Normal 7 3 2 5 2" xfId="7400" xr:uid="{F54E3A6E-6167-40F5-B03B-1AD4B6533A58}"/>
    <cellStyle name="Normal 7 3 2 6" xfId="6092" xr:uid="{D31D77E2-27AB-45D8-BCEE-3DC460C5ED54}"/>
    <cellStyle name="Normal 7 3 3" xfId="3582" xr:uid="{7D2264C0-F1A9-4DCA-A32A-EB499D494EBF}"/>
    <cellStyle name="Normal 7 3 3 2" xfId="4072" xr:uid="{91514EB8-C1AB-467F-8B48-6AF79649EF02}"/>
    <cellStyle name="Normal 7 3 3 2 2" xfId="5399" xr:uid="{349C4068-FDB7-4DED-AC85-13729463671B}"/>
    <cellStyle name="Normal 7 3 3 2 2 2" xfId="8016" xr:uid="{D5DC4126-A952-45F7-9B11-8C7881BB9EA5}"/>
    <cellStyle name="Normal 7 3 3 2 3" xfId="6708" xr:uid="{78D8C60F-79BD-4032-8D8C-7F3A8A34D713}"/>
    <cellStyle name="Normal 7 3 3 3" xfId="4927" xr:uid="{6AF931BC-C871-46B2-A5AF-17734E8BE27E}"/>
    <cellStyle name="Normal 7 3 3 3 2" xfId="7544" xr:uid="{63DDF86C-180E-49EC-80AF-595E2FE23CAD}"/>
    <cellStyle name="Normal 7 3 3 4" xfId="6236" xr:uid="{29E91204-AC13-4ECF-AC54-78E05E670AA1}"/>
    <cellStyle name="Normal 7 3 4" xfId="3843" xr:uid="{3BAE4ED2-584A-48C7-9062-AC0F732D6286}"/>
    <cellStyle name="Normal 7 3 4 2" xfId="5170" xr:uid="{41DDC0A1-BE6C-49AA-B480-5A4EA60DC839}"/>
    <cellStyle name="Normal 7 3 4 2 2" xfId="7787" xr:uid="{9AB03733-EB95-49C6-B70A-F281B80B9B04}"/>
    <cellStyle name="Normal 7 3 4 3" xfId="6479" xr:uid="{A26B5175-62BB-49C6-A25C-419694F6139F}"/>
    <cellStyle name="Normal 7 3 5" xfId="4308" xr:uid="{CAE3DA72-036D-4A0F-A03E-10E6CB049789}"/>
    <cellStyle name="Normal 7 3 5 2" xfId="5635" xr:uid="{30A9A6AF-B13B-4F1E-82D7-8906562E0E02}"/>
    <cellStyle name="Normal 7 3 5 2 2" xfId="8252" xr:uid="{3619566B-3270-42D5-A8B5-E0E337EDFBC7}"/>
    <cellStyle name="Normal 7 3 5 3" xfId="6944" xr:uid="{54FBB489-E474-4D29-B481-545A22DD8CF4}"/>
    <cellStyle name="Normal 7 3 6" xfId="4698" xr:uid="{26DA236E-7611-4473-B6D9-BC606A0B0EBA}"/>
    <cellStyle name="Normal 7 3 6 2" xfId="7315" xr:uid="{56B2B6DA-2EBC-4CAF-8F76-0CFA22F2A60D}"/>
    <cellStyle name="Normal 7 3 7" xfId="6007" xr:uid="{C15C05D7-52E7-46AA-9D0C-E94C77BC1BFD}"/>
    <cellStyle name="Normal 7 4" xfId="3458" xr:uid="{1092CC19-2F99-4393-B784-EFC2A6AEB43C}"/>
    <cellStyle name="Normal 7 4 2" xfId="3723" xr:uid="{0D55B3BF-BBD0-4E9D-86FD-488182A6561F}"/>
    <cellStyle name="Normal 7 4 2 2" xfId="4197" xr:uid="{EC6360B3-CD39-4961-8783-66A129C477AD}"/>
    <cellStyle name="Normal 7 4 2 2 2" xfId="5524" xr:uid="{2C99F1D4-F0C4-4C63-827F-7D721CA05666}"/>
    <cellStyle name="Normal 7 4 2 2 2 2" xfId="8141" xr:uid="{5FE55755-3F1E-4274-B22C-47290DCCCD2C}"/>
    <cellStyle name="Normal 7 4 2 2 3" xfId="6833" xr:uid="{7D057062-09B2-4164-B8CF-3AA0DD03B6E0}"/>
    <cellStyle name="Normal 7 4 2 3" xfId="5052" xr:uid="{A7EFB568-AA79-4415-A945-88873295423C}"/>
    <cellStyle name="Normal 7 4 2 3 2" xfId="7669" xr:uid="{EC51F5C2-4982-4938-981C-A95C126A1F46}"/>
    <cellStyle name="Normal 7 4 2 4" xfId="6361" xr:uid="{0637256B-DEC5-4704-9995-BD8B6EA1C628}"/>
    <cellStyle name="Normal 7 4 3" xfId="3968" xr:uid="{8FA70E0B-F7EE-43A4-84E4-7960E58292A0}"/>
    <cellStyle name="Normal 7 4 3 2" xfId="5295" xr:uid="{67EE6BC8-2C34-44E3-8598-2F9DCFD7A1F7}"/>
    <cellStyle name="Normal 7 4 3 2 2" xfId="7912" xr:uid="{E20AE8C9-AD1E-47EF-80A1-A2AE23B7B85A}"/>
    <cellStyle name="Normal 7 4 3 3" xfId="6604" xr:uid="{3CAB2102-BCE7-4D02-B50D-223A602BA222}"/>
    <cellStyle name="Normal 7 4 4" xfId="4433" xr:uid="{B445BD8C-C096-402E-956E-9511B6543179}"/>
    <cellStyle name="Normal 7 4 4 2" xfId="5760" xr:uid="{826C36BA-6E09-4B46-AD2E-9CD22C492AB0}"/>
    <cellStyle name="Normal 7 4 4 2 2" xfId="8377" xr:uid="{4CF7D46A-A42C-47BE-971D-89E6550E088F}"/>
    <cellStyle name="Normal 7 4 4 3" xfId="7069" xr:uid="{304E9EAD-929D-47FB-88D6-78D5B9EFF2AD}"/>
    <cellStyle name="Normal 7 4 5" xfId="4823" xr:uid="{BF3C6006-D30F-4A0D-95DD-436979AE9E13}"/>
    <cellStyle name="Normal 7 4 5 2" xfId="7440" xr:uid="{863A344D-B653-4B8D-AA29-119EC6E6F367}"/>
    <cellStyle name="Normal 7 4 6" xfId="6132" xr:uid="{DAB0BC08-278D-4E0B-B654-7E0292BCD976}"/>
    <cellStyle name="Normal 7 5" xfId="2958" xr:uid="{99099E35-371D-44EE-A4D8-19D973BD4E12}"/>
    <cellStyle name="Normal 7 5 2" xfId="3627" xr:uid="{6A79BA35-1D50-41F6-B98D-FCBCCD565DF3}"/>
    <cellStyle name="Normal 7 5 2 2" xfId="4117" xr:uid="{83BBDF51-A903-48A1-841E-631B0F3DE1E9}"/>
    <cellStyle name="Normal 7 5 2 2 2" xfId="5444" xr:uid="{BB86DF56-E12A-45C6-A54E-8BB64F377FBF}"/>
    <cellStyle name="Normal 7 5 2 2 2 2" xfId="8061" xr:uid="{DAEA8483-650D-494D-A6B5-537D374E0CA1}"/>
    <cellStyle name="Normal 7 5 2 2 3" xfId="6753" xr:uid="{7D63AFCA-D05A-4230-97A8-14D4EF0CEBCB}"/>
    <cellStyle name="Normal 7 5 2 3" xfId="4972" xr:uid="{474029E6-55A8-4827-80E2-8F75A3A18029}"/>
    <cellStyle name="Normal 7 5 2 3 2" xfId="7589" xr:uid="{61E803A9-F0AD-40CF-A188-BF5E89AB7C07}"/>
    <cellStyle name="Normal 7 5 2 4" xfId="6281" xr:uid="{48F5D1EA-5BD6-4C2A-8BFF-F87FDD2F7A2E}"/>
    <cellStyle name="Normal 7 5 3" xfId="3888" xr:uid="{1769B071-E71A-4E9E-9B9F-FCBF43AEC7D1}"/>
    <cellStyle name="Normal 7 5 3 2" xfId="5215" xr:uid="{24A66493-9D3F-411D-A421-CA7AE7D458CB}"/>
    <cellStyle name="Normal 7 5 3 2 2" xfId="7832" xr:uid="{38EAC5E6-1CE1-4D29-9606-8319E33E857D}"/>
    <cellStyle name="Normal 7 5 3 3" xfId="6524" xr:uid="{6ECE75A3-B5EA-461C-8F7D-70359EDDB789}"/>
    <cellStyle name="Normal 7 5 4" xfId="4353" xr:uid="{C3C9C5CF-FB71-46A5-AA46-28C26BDD98BD}"/>
    <cellStyle name="Normal 7 5 4 2" xfId="5680" xr:uid="{F4A99A11-EE9D-40E2-80D1-57ABCB70C979}"/>
    <cellStyle name="Normal 7 5 4 2 2" xfId="8297" xr:uid="{B740B7B1-CDD2-43A8-8EF7-89077EA2A371}"/>
    <cellStyle name="Normal 7 5 4 3" xfId="6989" xr:uid="{69B4338E-FD53-4EAB-BDCA-9D5DA864BE42}"/>
    <cellStyle name="Normal 7 5 5" xfId="4743" xr:uid="{622E1DC1-5CB6-4521-816E-00E6F224AD87}"/>
    <cellStyle name="Normal 7 5 5 2" xfId="7360" xr:uid="{5022873F-8C2F-4454-B9AB-E00C843E2624}"/>
    <cellStyle name="Normal 7 5 6" xfId="6052" xr:uid="{224FA986-C987-4CD6-9352-982715701D88}"/>
    <cellStyle name="Normal 7 6" xfId="3537" xr:uid="{0B2E2D67-91A9-4261-A82B-2178984B9A39}"/>
    <cellStyle name="Normal 7 6 2" xfId="4027" xr:uid="{97D49C2C-DA17-469E-8A1D-60B81D5C1ED1}"/>
    <cellStyle name="Normal 7 6 2 2" xfId="5354" xr:uid="{DBA6D852-2A88-47C0-96DB-64FC90015EF2}"/>
    <cellStyle name="Normal 7 6 2 2 2" xfId="7971" xr:uid="{4BBC8D13-7C56-42C3-919C-AD4350851523}"/>
    <cellStyle name="Normal 7 6 2 3" xfId="6663" xr:uid="{6F9F91BE-DE49-4EEA-99E2-046C1553CE14}"/>
    <cellStyle name="Normal 7 6 3" xfId="4504" xr:uid="{9D73D8A5-1CD1-41BD-87C1-2E097A1D7B02}"/>
    <cellStyle name="Normal 7 6 3 2" xfId="5813" xr:uid="{E1DC7A3B-A178-4A46-A8DD-56AF208BD47F}"/>
    <cellStyle name="Normal 7 6 3 2 2" xfId="8430" xr:uid="{4BF93047-B709-4810-B892-C62B61E11A1F}"/>
    <cellStyle name="Normal 7 6 3 3" xfId="7122" xr:uid="{DD501DAC-2E92-4ED5-B76A-F4B7C5B2F042}"/>
    <cellStyle name="Normal 7 6 4" xfId="4882" xr:uid="{AB7AC430-A0A2-4C8B-86DC-FD8304DCC81E}"/>
    <cellStyle name="Normal 7 6 4 2" xfId="7499" xr:uid="{48037F18-BA6F-44D8-9C52-398D9A9D6AFE}"/>
    <cellStyle name="Normal 7 6 5" xfId="6191" xr:uid="{5CFAE537-CFCE-46F9-BEFD-4C6D1A4E0B83}"/>
    <cellStyle name="Normal 7 7" xfId="3798" xr:uid="{B8796114-3699-4A4E-8A0A-25F92E2D260A}"/>
    <cellStyle name="Normal 7 7 2" xfId="4549" xr:uid="{564E94CB-E558-4E5E-BD48-7E48C92C3922}"/>
    <cellStyle name="Normal 7 7 2 2" xfId="5858" xr:uid="{C643FC22-EFEA-440B-87B8-44E957F0775E}"/>
    <cellStyle name="Normal 7 7 2 2 2" xfId="8475" xr:uid="{3A4D4D98-3FFF-4420-ADF4-5DB565AE571B}"/>
    <cellStyle name="Normal 7 7 2 3" xfId="7167" xr:uid="{4D020793-23F7-4B39-AB2B-E37534E4267F}"/>
    <cellStyle name="Normal 7 7 3" xfId="5125" xr:uid="{5D6F23FD-C361-4877-8AFB-C3CF1FF05211}"/>
    <cellStyle name="Normal 7 7 3 2" xfId="7742" xr:uid="{B58EC81C-0196-4220-9C4D-AB6FEBAFB2B8}"/>
    <cellStyle name="Normal 7 7 4" xfId="6434" xr:uid="{7612C215-B6CC-48A5-8488-C0032655ABB6}"/>
    <cellStyle name="Normal 7 8" xfId="4594" xr:uid="{763856F1-3F9A-40AB-B087-07C18CBD4454}"/>
    <cellStyle name="Normal 7 8 2" xfId="5903" xr:uid="{3DAC5287-2303-4DB3-B47E-8E048DE65AB2}"/>
    <cellStyle name="Normal 7 8 2 2" xfId="8520" xr:uid="{59D13DF2-3A2E-4932-9709-63619361CF84}"/>
    <cellStyle name="Normal 7 8 3" xfId="7212" xr:uid="{C71B7FA6-0D72-4343-A65B-8461172C7B4C}"/>
    <cellStyle name="Normal 7 9" xfId="4263" xr:uid="{F809C87D-40DB-4DCA-B71D-A58033619CF7}"/>
    <cellStyle name="Normal 7 9 2" xfId="5590" xr:uid="{328453FA-9718-451F-9C58-AEC5D3EEFEDC}"/>
    <cellStyle name="Normal 7 9 2 2" xfId="8207" xr:uid="{CCBCD7ED-3E61-421A-9009-17B6E3164BFC}"/>
    <cellStyle name="Normal 7 9 3" xfId="6899" xr:uid="{D1146E21-0A90-408D-842E-6B411E758C8D}"/>
    <cellStyle name="Normal 8" xfId="3479" xr:uid="{F65E7F24-28BF-47D4-B373-5F9607D80DE1}"/>
    <cellStyle name="Normal 8 2" xfId="2269" xr:uid="{B3E2D75E-C975-46FE-B6CD-080EE9FE5F8B}"/>
    <cellStyle name="Normal 8 3" xfId="3726" xr:uid="{D5BC5667-1DB1-4948-AF65-C6F8BB8B7555}"/>
    <cellStyle name="Normal 8 3 2" xfId="4200" xr:uid="{DBCB6CEF-DD12-4542-8C29-DD457133B14E}"/>
    <cellStyle name="Normal 8 3 2 2" xfId="5527" xr:uid="{049E520C-738A-4671-BE3A-34CBE6231A45}"/>
    <cellStyle name="Normal 8 3 2 2 2" xfId="8144" xr:uid="{752F1916-CD98-4FEA-9879-47092C004C83}"/>
    <cellStyle name="Normal 8 3 2 3" xfId="6836" xr:uid="{EA57227E-BEB8-496B-86E1-E757F1A5D874}"/>
    <cellStyle name="Normal 8 3 3" xfId="5055" xr:uid="{A2422C88-3836-4146-86EF-CB84598B21CE}"/>
    <cellStyle name="Normal 8 3 3 2" xfId="7672" xr:uid="{CFDFFDDD-AD5B-4754-B0B7-6EE68F7AA752}"/>
    <cellStyle name="Normal 8 3 4" xfId="6364" xr:uid="{557AA679-6D4C-4637-AE13-BFC579757935}"/>
    <cellStyle name="Normal 8 4" xfId="3971" xr:uid="{9157CF98-BA27-4C68-B7F8-9AB873B3616E}"/>
    <cellStyle name="Normal 8 4 2" xfId="5298" xr:uid="{D76D1CB4-5CFC-487C-A706-FC2782E363D4}"/>
    <cellStyle name="Normal 8 4 2 2" xfId="7915" xr:uid="{B3C08190-005D-4A57-80F6-1E2B18864DB4}"/>
    <cellStyle name="Normal 8 4 3" xfId="6607" xr:uid="{E094C86E-0F33-408E-B3DF-2731560AD832}"/>
    <cellStyle name="Normal 8 5" xfId="4436" xr:uid="{E31A9168-6C89-4D5C-8617-A0BF912694B5}"/>
    <cellStyle name="Normal 8 5 2" xfId="5763" xr:uid="{3A5E8B73-BE4D-4A7C-A1B2-D8C829E5A1D0}"/>
    <cellStyle name="Normal 8 5 2 2" xfId="8380" xr:uid="{7DFE2C50-E957-4DCF-AB6D-DA400DF79F1F}"/>
    <cellStyle name="Normal 8 5 3" xfId="7072" xr:uid="{7ACF9176-FD15-4B3C-9E68-3B60D1A6246F}"/>
    <cellStyle name="Normal 8 6" xfId="4826" xr:uid="{D39A09AF-BDC8-4299-9F52-157642847DFB}"/>
    <cellStyle name="Normal 8 6 2" xfId="7443" xr:uid="{6A798B61-419A-47C7-9033-4AFE252ACA94}"/>
    <cellStyle name="Normal 8 7" xfId="6135" xr:uid="{4BDF43E3-98A0-4139-AC31-3467B3E0880F}"/>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Bold Border 2" xfId="4473" xr:uid="{7BD9E1DA-27E3-4BED-9276-77CE244E8153}"/>
    <cellStyle name="Top Double Border" xfId="247" xr:uid="{F37CABF6-068E-4461-BD09-5679007A1A43}"/>
    <cellStyle name="Top Double Border 2" xfId="4474" xr:uid="{E5BE4321-8D7F-42DC-AAB8-2B5BB8307FD5}"/>
    <cellStyle name="Top Single Border" xfId="248" xr:uid="{8D1E37A7-241D-4D2B-B0D2-C7B50499068C}"/>
    <cellStyle name="Top Single Border 2" xfId="2777" xr:uid="{4E2ECC7C-7213-40FA-A6AA-6260A3632F36}"/>
    <cellStyle name="Top Single Border 2 2" xfId="3088" xr:uid="{F85867F1-04A8-4575-99A2-65F4C9CD9B05}"/>
    <cellStyle name="Top Single Border 2 3" xfId="4486" xr:uid="{0B3D5621-CACE-4420-9042-CA96AA02B4BC}"/>
    <cellStyle name="Top Single Border 3" xfId="3046" xr:uid="{D8DA6CF5-89DC-4D93-ACF0-FE3491ECDB36}"/>
    <cellStyle name="Top Single Border 4" xfId="4475" xr:uid="{EB95F95E-525E-416A-8590-A76A969AEE5E}"/>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949902</xdr:colOff>
          <xdr:row>12</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1264227</xdr:colOff>
          <xdr:row>6</xdr:row>
          <xdr:rowOff>148936</xdr:rowOff>
        </xdr:from>
        <xdr:to>
          <xdr:col>1</xdr:col>
          <xdr:colOff>2216727</xdr:colOff>
          <xdr:row>11</xdr:row>
          <xdr:rowOff>152400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137" t="s">
        <v>402</v>
      </c>
      <c r="J1" s="2138"/>
      <c r="K1" s="2138"/>
      <c r="L1" s="2138"/>
      <c r="M1" s="2138"/>
      <c r="N1" s="2138"/>
      <c r="O1" s="2138"/>
      <c r="P1" s="2138"/>
      <c r="Q1" s="2138"/>
      <c r="R1" s="2138"/>
      <c r="S1" s="2138"/>
    </row>
    <row r="2" spans="1:32" ht="12" customHeight="1" x14ac:dyDescent="0.2">
      <c r="A2" s="1813" t="str">
        <f>"Due to ISBE on "</f>
        <v xml:space="preserve">Due to ISBE on </v>
      </c>
      <c r="B2" s="2060">
        <f>+'AFR20'!F4</f>
        <v>44151</v>
      </c>
      <c r="C2" s="2060"/>
      <c r="D2" s="2061"/>
      <c r="I2" s="2139" t="s">
        <v>1997</v>
      </c>
      <c r="J2" s="2138"/>
      <c r="K2" s="2138"/>
      <c r="L2" s="2138"/>
      <c r="M2" s="2138"/>
      <c r="N2" s="2138"/>
      <c r="O2" s="2138"/>
      <c r="P2" s="2138"/>
      <c r="Q2" s="2138"/>
      <c r="R2" s="2138"/>
      <c r="S2" s="2138"/>
    </row>
    <row r="3" spans="1:32" ht="12" customHeight="1" x14ac:dyDescent="0.2">
      <c r="A3" s="1816" t="str">
        <f>"SD/JA"&amp;MID('AFR20'!E2,3,2)</f>
        <v>SD/JA20</v>
      </c>
      <c r="B3" s="151"/>
      <c r="C3" s="151"/>
      <c r="D3" s="152"/>
      <c r="I3" s="2139" t="s">
        <v>52</v>
      </c>
      <c r="J3" s="2138"/>
      <c r="K3" s="2138"/>
      <c r="L3" s="2138"/>
      <c r="M3" s="2138"/>
      <c r="N3" s="2138"/>
      <c r="O3" s="2138"/>
      <c r="P3" s="2138"/>
      <c r="Q3" s="2138"/>
      <c r="R3" s="2138"/>
      <c r="S3" s="2138"/>
    </row>
    <row r="4" spans="1:32" ht="12" customHeight="1" x14ac:dyDescent="0.2">
      <c r="A4" s="37"/>
      <c r="I4" s="2139" t="s">
        <v>521</v>
      </c>
      <c r="J4" s="2138"/>
      <c r="K4" s="2138"/>
      <c r="L4" s="2138"/>
      <c r="M4" s="2138"/>
      <c r="N4" s="2138"/>
      <c r="O4" s="2138"/>
      <c r="P4" s="2138"/>
      <c r="Q4" s="2138"/>
      <c r="R4" s="2138"/>
      <c r="S4" s="2138"/>
    </row>
    <row r="5" spans="1:32" ht="14.1" customHeight="1" x14ac:dyDescent="0.2">
      <c r="B5" s="101"/>
      <c r="C5" s="26" t="s">
        <v>903</v>
      </c>
      <c r="D5" s="81"/>
      <c r="E5" s="81"/>
      <c r="H5" s="38"/>
      <c r="I5" s="2146" t="s">
        <v>675</v>
      </c>
      <c r="J5" s="2091"/>
      <c r="K5" s="2091"/>
      <c r="L5" s="2091"/>
      <c r="M5" s="2091"/>
      <c r="N5" s="2091"/>
      <c r="O5" s="2091"/>
      <c r="P5" s="2091"/>
      <c r="Q5" s="2091"/>
      <c r="R5" s="2091"/>
      <c r="S5" s="2091"/>
      <c r="AF5" s="1809"/>
    </row>
    <row r="6" spans="1:32" ht="14.1" customHeight="1" x14ac:dyDescent="0.2">
      <c r="B6" s="101" t="s">
        <v>2068</v>
      </c>
      <c r="C6" s="26" t="s">
        <v>904</v>
      </c>
      <c r="D6" s="81"/>
      <c r="E6" s="81"/>
      <c r="I6" s="2145" t="s">
        <v>876</v>
      </c>
      <c r="J6" s="2091"/>
      <c r="K6" s="2091"/>
      <c r="L6" s="2091"/>
      <c r="M6" s="2091"/>
      <c r="N6" s="2091"/>
      <c r="O6" s="2091"/>
      <c r="P6" s="2091"/>
      <c r="Q6" s="2091"/>
      <c r="R6" s="2091"/>
      <c r="S6" s="2091"/>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669</v>
      </c>
      <c r="J9" s="2143"/>
      <c r="K9" s="2143"/>
      <c r="L9" s="2143"/>
      <c r="M9" s="2143"/>
      <c r="N9" s="2143"/>
      <c r="O9" s="2143"/>
      <c r="P9" s="2143"/>
      <c r="Q9" s="2143"/>
      <c r="R9" s="2143"/>
      <c r="S9" s="2144"/>
      <c r="T9" s="2087" t="s">
        <v>530</v>
      </c>
      <c r="U9" s="2088"/>
      <c r="V9" s="2088"/>
      <c r="W9" s="2088"/>
      <c r="X9" s="2088"/>
      <c r="Y9" s="2088"/>
      <c r="Z9" s="2088"/>
      <c r="AA9" s="2089"/>
    </row>
    <row r="10" spans="1:32" ht="13.5" customHeight="1" x14ac:dyDescent="0.2">
      <c r="A10" s="2096" t="s">
        <v>670</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948</v>
      </c>
      <c r="B11" s="2100"/>
      <c r="C11" s="2100"/>
      <c r="D11" s="2100"/>
      <c r="E11" s="2100"/>
      <c r="F11" s="2100"/>
      <c r="G11" s="2100"/>
      <c r="H11" s="2101"/>
      <c r="I11" s="27"/>
      <c r="J11" s="71"/>
      <c r="K11" s="27"/>
      <c r="O11" s="144"/>
      <c r="P11" s="97" t="s">
        <v>199</v>
      </c>
      <c r="Q11" s="30"/>
      <c r="R11" s="28"/>
      <c r="S11" s="27"/>
      <c r="T11" s="2093"/>
      <c r="U11" s="2094"/>
      <c r="V11" s="2094"/>
      <c r="W11" s="2094"/>
      <c r="X11" s="2094"/>
      <c r="Y11" s="2094"/>
      <c r="Z11" s="2094"/>
      <c r="AA11" s="2095"/>
    </row>
    <row r="12" spans="1:32" ht="13.5" customHeight="1" x14ac:dyDescent="0.2">
      <c r="A12" s="82" t="s">
        <v>918</v>
      </c>
      <c r="B12" s="73"/>
      <c r="C12" s="73"/>
      <c r="D12" s="73"/>
      <c r="E12" s="73"/>
      <c r="F12" s="73"/>
      <c r="G12" s="73"/>
      <c r="H12" s="50"/>
      <c r="I12" s="29"/>
      <c r="J12" s="30"/>
      <c r="K12" s="28"/>
      <c r="O12" s="145" t="s">
        <v>2068</v>
      </c>
      <c r="P12" s="97" t="s">
        <v>200</v>
      </c>
      <c r="Q12" s="71"/>
      <c r="R12" s="30"/>
      <c r="S12" s="30"/>
      <c r="T12" s="82" t="s">
        <v>263</v>
      </c>
      <c r="U12" s="48"/>
      <c r="V12" s="48"/>
      <c r="W12" s="48"/>
      <c r="X12" s="48"/>
      <c r="Y12" s="43"/>
      <c r="Z12" s="43"/>
      <c r="AA12" s="44"/>
    </row>
    <row r="13" spans="1:32" ht="13.5" customHeight="1" x14ac:dyDescent="0.2">
      <c r="A13" s="2107">
        <v>34049825060</v>
      </c>
      <c r="B13" s="2108"/>
      <c r="C13" s="2108"/>
      <c r="D13" s="2108"/>
      <c r="E13" s="2108"/>
      <c r="F13" s="2108"/>
      <c r="G13" s="2108"/>
      <c r="H13" s="2109"/>
      <c r="I13" s="31"/>
      <c r="J13" s="30"/>
      <c r="K13" s="28"/>
      <c r="L13" s="30"/>
      <c r="M13" s="30"/>
      <c r="N13" s="30"/>
      <c r="O13" s="30"/>
      <c r="P13" s="30"/>
      <c r="Q13" s="30"/>
      <c r="R13" s="30"/>
      <c r="S13" s="30"/>
      <c r="T13" s="2112" t="s">
        <v>2012</v>
      </c>
      <c r="U13" s="2113"/>
      <c r="V13" s="2113"/>
      <c r="W13" s="2113"/>
      <c r="X13" s="2113"/>
      <c r="Y13" s="2114"/>
      <c r="Z13" s="2114"/>
      <c r="AA13" s="211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2069</v>
      </c>
      <c r="B15" s="2110"/>
      <c r="C15" s="2110"/>
      <c r="D15" s="2110"/>
      <c r="E15" s="2110"/>
      <c r="F15" s="2110"/>
      <c r="G15" s="2110"/>
      <c r="H15" s="2111"/>
      <c r="T15" s="2073" t="s">
        <v>2073</v>
      </c>
      <c r="U15" s="2074"/>
      <c r="V15" s="2074"/>
      <c r="W15" s="2074"/>
      <c r="X15" s="2074"/>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2145</v>
      </c>
      <c r="B17" s="2135"/>
      <c r="C17" s="2135"/>
      <c r="D17" s="2135"/>
      <c r="E17" s="2135"/>
      <c r="F17" s="2135"/>
      <c r="G17" s="2135"/>
      <c r="H17" s="2136"/>
      <c r="T17" s="2122" t="s">
        <v>2013</v>
      </c>
      <c r="U17" s="2123"/>
      <c r="V17" s="2123"/>
      <c r="W17" s="2123"/>
      <c r="X17" s="2123"/>
      <c r="Y17" s="2123"/>
      <c r="Z17" s="2123"/>
      <c r="AA17" s="2124"/>
    </row>
    <row r="18" spans="1:27" ht="13.5" customHeight="1" x14ac:dyDescent="0.2">
      <c r="A18" s="82" t="s">
        <v>527</v>
      </c>
      <c r="B18" s="73"/>
      <c r="C18" s="69"/>
      <c r="D18" s="73"/>
      <c r="E18" s="73"/>
      <c r="F18" s="73"/>
      <c r="G18" s="73"/>
      <c r="H18" s="53"/>
      <c r="I18" s="2132" t="s">
        <v>671</v>
      </c>
      <c r="J18" s="2133"/>
      <c r="K18" s="2133"/>
      <c r="L18" s="2133"/>
      <c r="M18" s="2133"/>
      <c r="N18" s="2133"/>
      <c r="O18" s="2133"/>
      <c r="P18" s="2133"/>
      <c r="Q18" s="2133"/>
      <c r="R18" s="2133"/>
      <c r="S18" s="2134"/>
      <c r="T18" s="82" t="s">
        <v>705</v>
      </c>
      <c r="U18" s="48"/>
      <c r="V18" s="69"/>
      <c r="W18" s="47"/>
      <c r="X18" s="82" t="s">
        <v>264</v>
      </c>
      <c r="Y18" s="78"/>
      <c r="Z18" s="154" t="s">
        <v>672</v>
      </c>
      <c r="AA18" s="44"/>
    </row>
    <row r="19" spans="1:27" ht="13.5" customHeight="1" x14ac:dyDescent="0.2">
      <c r="A19" s="2105" t="s">
        <v>2070</v>
      </c>
      <c r="B19" s="2106"/>
      <c r="C19" s="2106"/>
      <c r="D19" s="2106"/>
      <c r="E19" s="2106"/>
      <c r="F19" s="2106"/>
      <c r="G19" s="2106"/>
      <c r="H19" s="2104"/>
      <c r="I19" s="30"/>
      <c r="J19" s="96"/>
      <c r="K19" s="40"/>
      <c r="L19" s="38"/>
      <c r="M19" s="109" t="s">
        <v>312</v>
      </c>
      <c r="P19" s="27"/>
      <c r="Q19" s="27"/>
      <c r="R19" s="27"/>
      <c r="S19" s="31"/>
      <c r="T19" s="2105" t="s">
        <v>2014</v>
      </c>
      <c r="U19" s="2103"/>
      <c r="V19" s="2103"/>
      <c r="W19" s="2104"/>
      <c r="X19" s="2120" t="s">
        <v>2015</v>
      </c>
      <c r="Y19" s="2121"/>
      <c r="Z19" s="2118">
        <v>60050</v>
      </c>
      <c r="AA19" s="211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02" t="s">
        <v>2071</v>
      </c>
      <c r="B21" s="2103"/>
      <c r="C21" s="2103"/>
      <c r="D21" s="2103"/>
      <c r="E21" s="2103"/>
      <c r="F21" s="2103"/>
      <c r="G21" s="2103"/>
      <c r="H21" s="2104"/>
      <c r="I21" s="2128" t="s">
        <v>673</v>
      </c>
      <c r="J21" s="2091"/>
      <c r="K21" s="2091"/>
      <c r="L21" s="2091"/>
      <c r="M21" s="2091"/>
      <c r="N21" s="2091"/>
      <c r="O21" s="2091"/>
      <c r="P21" s="2091"/>
      <c r="Q21" s="2091"/>
      <c r="R21" s="2091"/>
      <c r="S21" s="2092"/>
      <c r="T21" s="2070" t="s">
        <v>2016</v>
      </c>
      <c r="U21" s="2071"/>
      <c r="V21" s="2071"/>
      <c r="W21" s="2071"/>
      <c r="X21" s="2084" t="s">
        <v>2017</v>
      </c>
      <c r="Y21" s="2085"/>
      <c r="Z21" s="2085"/>
      <c r="AA21" s="2086"/>
    </row>
    <row r="22" spans="1:27" ht="13.5" customHeight="1" x14ac:dyDescent="0.2">
      <c r="A22" s="84" t="s">
        <v>528</v>
      </c>
      <c r="B22" s="56"/>
      <c r="C22" s="56"/>
      <c r="D22" s="56"/>
      <c r="E22" s="56"/>
      <c r="F22" s="56"/>
      <c r="G22" s="56"/>
      <c r="H22" s="57"/>
      <c r="I22" s="2129" t="s">
        <v>1409</v>
      </c>
      <c r="J22" s="2130"/>
      <c r="K22" s="2130"/>
      <c r="L22" s="2130"/>
      <c r="M22" s="2130"/>
      <c r="N22" s="2130"/>
      <c r="O22" s="2130"/>
      <c r="P22" s="2130"/>
      <c r="Q22" s="2130"/>
      <c r="R22" s="2130"/>
      <c r="S22" s="2131"/>
      <c r="T22" s="82" t="s">
        <v>1496</v>
      </c>
      <c r="U22" s="48"/>
      <c r="V22" s="69"/>
      <c r="W22" s="48"/>
      <c r="X22" s="155" t="s">
        <v>1306</v>
      </c>
      <c r="Z22" s="43"/>
      <c r="AA22" s="44"/>
    </row>
    <row r="23" spans="1:27" ht="13.5" customHeight="1" x14ac:dyDescent="0.2">
      <c r="A23" s="2125" t="s">
        <v>2072</v>
      </c>
      <c r="B23" s="2126"/>
      <c r="C23" s="2126"/>
      <c r="D23" s="2126"/>
      <c r="E23" s="2126"/>
      <c r="F23" s="2126"/>
      <c r="G23" s="2126"/>
      <c r="H23" s="2127"/>
      <c r="T23" s="2065" t="s">
        <v>2018</v>
      </c>
      <c r="U23" s="2066"/>
      <c r="V23" s="2066"/>
      <c r="W23" s="2066"/>
      <c r="X23" s="2081">
        <v>44530</v>
      </c>
      <c r="Y23" s="2082"/>
      <c r="Z23" s="2082"/>
      <c r="AA23" s="2083"/>
    </row>
    <row r="24" spans="1:27" ht="14.1" customHeight="1" x14ac:dyDescent="0.2">
      <c r="A24" s="85" t="s">
        <v>672</v>
      </c>
      <c r="B24" s="46"/>
      <c r="C24" s="46"/>
      <c r="D24" s="46"/>
      <c r="E24" s="46"/>
      <c r="F24" s="46"/>
      <c r="G24" s="46"/>
      <c r="H24" s="58"/>
      <c r="J24" s="2167" t="str">
        <f>IF(B5="x",IF(AUDITCHECK!D29="AFR form Incomplete.","",IF(AUDITCHECK!D29="Deficit reduction plan is required.","School District must complete a deficit reduction plan in the 2020-2021 Budget",)),"")</f>
        <v/>
      </c>
      <c r="K24" s="2167"/>
      <c r="L24" s="2167"/>
      <c r="M24" s="2167"/>
      <c r="N24" s="2167"/>
      <c r="O24" s="2167"/>
      <c r="P24" s="2167"/>
      <c r="Q24" s="2167"/>
      <c r="R24" s="2167"/>
      <c r="S24" s="2168"/>
      <c r="T24" s="102" t="s">
        <v>528</v>
      </c>
      <c r="U24" s="103"/>
      <c r="V24" s="103"/>
      <c r="W24" s="103"/>
      <c r="X24" s="104"/>
      <c r="Y24" s="104"/>
      <c r="Z24" s="104"/>
      <c r="AA24" s="105"/>
    </row>
    <row r="25" spans="1:27" ht="14.1" customHeight="1" x14ac:dyDescent="0.2">
      <c r="A25" s="2102">
        <v>60030</v>
      </c>
      <c r="B25" s="2103"/>
      <c r="C25" s="2103"/>
      <c r="D25" s="2103"/>
      <c r="E25" s="2103"/>
      <c r="F25" s="2103"/>
      <c r="G25" s="2103"/>
      <c r="H25" s="2104"/>
      <c r="I25" s="110"/>
      <c r="J25" s="2169"/>
      <c r="K25" s="2169"/>
      <c r="L25" s="2169"/>
      <c r="M25" s="2169"/>
      <c r="N25" s="2169"/>
      <c r="O25" s="2169"/>
      <c r="P25" s="2169"/>
      <c r="Q25" s="2169"/>
      <c r="R25" s="2169"/>
      <c r="S25" s="2170"/>
      <c r="T25" s="2062" t="s">
        <v>2019</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0" t="s">
        <v>1491</v>
      </c>
      <c r="J27" s="2133"/>
      <c r="K27" s="2133"/>
      <c r="L27" s="2133"/>
      <c r="M27" s="2133"/>
      <c r="N27" s="2133"/>
      <c r="O27" s="2133"/>
      <c r="P27" s="2133"/>
      <c r="Q27" s="2133"/>
      <c r="R27" s="2133"/>
      <c r="S27" s="213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2068</v>
      </c>
      <c r="F29" s="137" t="s">
        <v>1304</v>
      </c>
      <c r="G29" s="111"/>
      <c r="I29" s="51"/>
      <c r="J29" s="144" t="s">
        <v>2068</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2068</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2068</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06"/>
      <c r="Q35" s="2103"/>
      <c r="R35" s="210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c r="B38" s="2135"/>
      <c r="C38" s="2135"/>
      <c r="D38" s="2135"/>
      <c r="E38" s="2135"/>
      <c r="F38" s="2103"/>
      <c r="G38" s="2103"/>
      <c r="H38" s="2104"/>
      <c r="I38" s="2154"/>
      <c r="J38" s="2074"/>
      <c r="K38" s="2074"/>
      <c r="L38" s="2074"/>
      <c r="M38" s="2074"/>
      <c r="N38" s="2074"/>
      <c r="O38" s="2074"/>
      <c r="P38" s="2075"/>
      <c r="Q38" s="2075"/>
      <c r="R38" s="2075"/>
      <c r="S38" s="2076"/>
      <c r="T38" s="2073"/>
      <c r="U38" s="2074"/>
      <c r="V38" s="2074"/>
      <c r="W38" s="2074"/>
      <c r="X38" s="2075"/>
      <c r="Y38" s="2075"/>
      <c r="Z38" s="2075"/>
      <c r="AA38" s="2076"/>
    </row>
    <row r="39" spans="1:27" ht="12" customHeight="1" x14ac:dyDescent="0.2">
      <c r="A39" s="2158" t="s">
        <v>528</v>
      </c>
      <c r="B39" s="2159"/>
      <c r="C39" s="69"/>
      <c r="D39" s="66"/>
      <c r="E39" s="66"/>
      <c r="F39" s="76"/>
      <c r="G39" s="66"/>
      <c r="H39" s="53"/>
      <c r="I39" s="2158" t="s">
        <v>528</v>
      </c>
      <c r="J39" s="2159"/>
      <c r="K39" s="2159"/>
      <c r="L39" s="2159"/>
      <c r="M39" s="2159"/>
      <c r="N39" s="64"/>
      <c r="O39" s="69"/>
      <c r="P39" s="69"/>
      <c r="Q39" s="75"/>
      <c r="R39" s="69"/>
      <c r="S39" s="53"/>
      <c r="T39" s="69" t="s">
        <v>528</v>
      </c>
      <c r="U39" s="48"/>
      <c r="V39" s="69"/>
      <c r="W39" s="47"/>
      <c r="X39" s="75"/>
      <c r="Y39" s="43"/>
      <c r="Z39" s="43"/>
      <c r="AA39" s="44"/>
    </row>
    <row r="40" spans="1:27" ht="13.5" customHeight="1" x14ac:dyDescent="0.2">
      <c r="A40" s="2161"/>
      <c r="B40" s="2162"/>
      <c r="C40" s="2163"/>
      <c r="D40" s="2163"/>
      <c r="E40" s="2163"/>
      <c r="F40" s="2164"/>
      <c r="G40" s="2164"/>
      <c r="H40" s="2165"/>
      <c r="I40" s="2077"/>
      <c r="J40" s="2079"/>
      <c r="K40" s="2079"/>
      <c r="L40" s="2079"/>
      <c r="M40" s="2079"/>
      <c r="N40" s="2079"/>
      <c r="O40" s="2079"/>
      <c r="P40" s="2079"/>
      <c r="Q40" s="2079"/>
      <c r="R40" s="2079"/>
      <c r="S40" s="2080"/>
      <c r="T40" s="2077"/>
      <c r="U40" s="2078"/>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1"/>
      <c r="B42" s="2152"/>
      <c r="C42" s="2153"/>
      <c r="D42" s="2166"/>
      <c r="E42" s="2152"/>
      <c r="F42" s="2152"/>
      <c r="G42" s="2152"/>
      <c r="H42" s="2153"/>
      <c r="I42" s="2072"/>
      <c r="J42" s="2068"/>
      <c r="K42" s="2068"/>
      <c r="L42" s="2068"/>
      <c r="M42" s="2068"/>
      <c r="N42" s="2068"/>
      <c r="O42" s="2069"/>
      <c r="P42" s="2067"/>
      <c r="Q42" s="2068"/>
      <c r="R42" s="2068"/>
      <c r="S42" s="2069"/>
      <c r="T42" s="2072"/>
      <c r="U42" s="2068"/>
      <c r="V42" s="2068"/>
      <c r="W42" s="2069"/>
      <c r="X42" s="2067"/>
      <c r="Y42" s="2068"/>
      <c r="Z42" s="2068"/>
      <c r="AA42" s="206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5"/>
      <c r="B44" s="2156"/>
      <c r="C44" s="2156"/>
      <c r="D44" s="2156"/>
      <c r="E44" s="2156"/>
      <c r="F44" s="2156"/>
      <c r="G44" s="2156"/>
      <c r="H44" s="2157"/>
      <c r="I44" s="2147"/>
      <c r="J44" s="2149"/>
      <c r="K44" s="2149"/>
      <c r="L44" s="2149"/>
      <c r="M44" s="2149"/>
      <c r="N44" s="2149"/>
      <c r="O44" s="2149"/>
      <c r="P44" s="2149"/>
      <c r="Q44" s="2149"/>
      <c r="R44" s="2149"/>
      <c r="S44" s="2150"/>
      <c r="T44" s="2147"/>
      <c r="U44" s="2148"/>
      <c r="V44" s="2148"/>
      <c r="W44" s="2148"/>
      <c r="X44" s="2148"/>
      <c r="Y44" s="2148"/>
      <c r="Z44" s="2149"/>
      <c r="AA44" s="215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1"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4" colorId="8" zoomScale="110" zoomScaleNormal="110" workbookViewId="0">
      <selection activeCell="H16" sqref="H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309" t="s">
        <v>1773</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10"/>
      <c r="B3" s="1286"/>
      <c r="C3" s="1287"/>
      <c r="D3" s="1288" t="s">
        <v>254</v>
      </c>
      <c r="E3" s="1287"/>
      <c r="F3" s="1288" t="s">
        <v>255</v>
      </c>
    </row>
    <row r="4" spans="1:8" ht="13.7" customHeight="1" x14ac:dyDescent="0.2">
      <c r="A4" s="579" t="s">
        <v>1144</v>
      </c>
      <c r="B4" s="1709">
        <f>'Revenues 9-14'!C5</f>
        <v>0</v>
      </c>
      <c r="C4" s="1710"/>
      <c r="D4" s="1711">
        <f>B4-C4</f>
        <v>0</v>
      </c>
      <c r="E4" s="1710"/>
      <c r="F4" s="1711">
        <f>E4-C4</f>
        <v>0</v>
      </c>
    </row>
    <row r="5" spans="1:8" ht="13.7" customHeight="1" x14ac:dyDescent="0.2">
      <c r="A5" s="579" t="s">
        <v>864</v>
      </c>
      <c r="B5" s="1712">
        <f>'Revenues 9-14'!D5</f>
        <v>0</v>
      </c>
      <c r="C5" s="1653"/>
      <c r="D5" s="1713">
        <f t="shared" ref="D5:D18" si="0">B5-C5</f>
        <v>0</v>
      </c>
      <c r="E5" s="1653"/>
      <c r="F5" s="1713">
        <f>E5-C5</f>
        <v>0</v>
      </c>
    </row>
    <row r="6" spans="1:8" ht="13.7" customHeight="1" x14ac:dyDescent="0.2">
      <c r="A6" s="579" t="s">
        <v>408</v>
      </c>
      <c r="B6" s="1712">
        <f>'Revenues 9-14'!E5</f>
        <v>0</v>
      </c>
      <c r="C6" s="1653"/>
      <c r="D6" s="1713">
        <f t="shared" si="0"/>
        <v>0</v>
      </c>
      <c r="E6" s="1653"/>
      <c r="F6" s="1713">
        <f t="shared" ref="F6:F18" si="1">E6-C6</f>
        <v>0</v>
      </c>
    </row>
    <row r="7" spans="1:8" ht="13.7" customHeight="1" x14ac:dyDescent="0.2">
      <c r="A7" s="579" t="s">
        <v>154</v>
      </c>
      <c r="B7" s="1712">
        <f>'Revenues 9-14'!F5</f>
        <v>0</v>
      </c>
      <c r="C7" s="1653"/>
      <c r="D7" s="1713">
        <f t="shared" si="0"/>
        <v>0</v>
      </c>
      <c r="E7" s="1653"/>
      <c r="F7" s="1713">
        <f t="shared" si="1"/>
        <v>0</v>
      </c>
    </row>
    <row r="8" spans="1:8" ht="13.7" customHeight="1" x14ac:dyDescent="0.2">
      <c r="A8" s="579" t="s">
        <v>1168</v>
      </c>
      <c r="B8" s="1712">
        <f>'Revenues 9-14'!G5</f>
        <v>0</v>
      </c>
      <c r="C8" s="1653"/>
      <c r="D8" s="1713">
        <f t="shared" si="0"/>
        <v>0</v>
      </c>
      <c r="E8" s="1653"/>
      <c r="F8" s="1713">
        <f t="shared" si="1"/>
        <v>0</v>
      </c>
    </row>
    <row r="9" spans="1:8" ht="13.7" customHeight="1" x14ac:dyDescent="0.2">
      <c r="A9" s="579" t="s">
        <v>405</v>
      </c>
      <c r="B9" s="1712">
        <f>'Revenues 9-14'!H5</f>
        <v>0</v>
      </c>
      <c r="C9" s="1653"/>
      <c r="D9" s="1713">
        <f t="shared" si="0"/>
        <v>0</v>
      </c>
      <c r="E9" s="1653"/>
      <c r="F9" s="1713">
        <f t="shared" si="1"/>
        <v>0</v>
      </c>
    </row>
    <row r="10" spans="1:8" ht="13.7" customHeight="1" x14ac:dyDescent="0.2">
      <c r="A10" s="579" t="s">
        <v>404</v>
      </c>
      <c r="B10" s="1712">
        <v>0</v>
      </c>
      <c r="C10" s="1653"/>
      <c r="D10" s="1713">
        <f t="shared" si="0"/>
        <v>0</v>
      </c>
      <c r="E10" s="1653"/>
      <c r="F10" s="1713">
        <f t="shared" si="1"/>
        <v>0</v>
      </c>
    </row>
    <row r="11" spans="1:8" x14ac:dyDescent="0.2">
      <c r="A11" s="579" t="s">
        <v>406</v>
      </c>
      <c r="B11" s="1712">
        <v>0</v>
      </c>
      <c r="C11" s="1653"/>
      <c r="D11" s="1713">
        <f t="shared" si="0"/>
        <v>0</v>
      </c>
      <c r="E11" s="1653"/>
      <c r="F11" s="1713">
        <f t="shared" si="1"/>
        <v>0</v>
      </c>
    </row>
    <row r="12" spans="1:8" ht="13.7" customHeight="1" x14ac:dyDescent="0.2">
      <c r="A12" s="579" t="s">
        <v>156</v>
      </c>
      <c r="B12" s="1712">
        <v>0</v>
      </c>
      <c r="C12" s="1653"/>
      <c r="D12" s="1713">
        <f t="shared" si="0"/>
        <v>0</v>
      </c>
      <c r="E12" s="1653"/>
      <c r="F12" s="1713">
        <f t="shared" si="1"/>
        <v>0</v>
      </c>
    </row>
    <row r="13" spans="1:8" ht="13.7" customHeight="1" x14ac:dyDescent="0.2">
      <c r="A13" s="579" t="s">
        <v>929</v>
      </c>
      <c r="B13" s="1712">
        <f>SUM('Revenues 9-14'!C6:D6)</f>
        <v>0</v>
      </c>
      <c r="C13" s="1653"/>
      <c r="D13" s="1713">
        <f t="shared" si="0"/>
        <v>0</v>
      </c>
      <c r="E13" s="1653"/>
      <c r="F13" s="1713">
        <f t="shared" si="1"/>
        <v>0</v>
      </c>
    </row>
    <row r="14" spans="1:8" ht="13.7" customHeight="1" x14ac:dyDescent="0.2">
      <c r="A14" s="579" t="s">
        <v>407</v>
      </c>
      <c r="B14" s="1712">
        <f>SUM('Revenues 9-14'!C7:D7,'Revenues 9-14'!F7:H7)</f>
        <v>0</v>
      </c>
      <c r="C14" s="1653"/>
      <c r="D14" s="1713">
        <f t="shared" si="0"/>
        <v>0</v>
      </c>
      <c r="E14" s="1653"/>
      <c r="F14" s="1713">
        <f t="shared" si="1"/>
        <v>0</v>
      </c>
    </row>
    <row r="15" spans="1:8" ht="13.7" customHeight="1" x14ac:dyDescent="0.2">
      <c r="A15" s="579" t="s">
        <v>1147</v>
      </c>
      <c r="B15" s="1712">
        <f>SUM('Revenues 9-14'!D9:E9,'Revenues 9-14'!H9)</f>
        <v>0</v>
      </c>
      <c r="C15" s="1653"/>
      <c r="D15" s="1713">
        <f t="shared" si="0"/>
        <v>0</v>
      </c>
      <c r="E15" s="1653"/>
      <c r="F15" s="1713">
        <f t="shared" si="1"/>
        <v>0</v>
      </c>
    </row>
    <row r="16" spans="1:8" ht="13.7" customHeight="1" x14ac:dyDescent="0.2">
      <c r="A16" s="579" t="s">
        <v>1148</v>
      </c>
      <c r="B16" s="1712">
        <f>'Revenues 9-14'!G8</f>
        <v>0</v>
      </c>
      <c r="C16" s="1653"/>
      <c r="D16" s="1713">
        <f t="shared" si="0"/>
        <v>0</v>
      </c>
      <c r="E16" s="1653"/>
      <c r="F16" s="1713">
        <f t="shared" si="1"/>
        <v>0</v>
      </c>
    </row>
    <row r="17" spans="1:6" ht="13.7" customHeight="1" x14ac:dyDescent="0.2">
      <c r="A17" s="579" t="s">
        <v>1149</v>
      </c>
      <c r="B17" s="1712">
        <f>'Revenues 9-14'!C10</f>
        <v>0</v>
      </c>
      <c r="C17" s="1653"/>
      <c r="D17" s="1713">
        <f t="shared" si="0"/>
        <v>0</v>
      </c>
      <c r="E17" s="1653"/>
      <c r="F17" s="1713">
        <f t="shared" si="1"/>
        <v>0</v>
      </c>
    </row>
    <row r="18" spans="1:6" ht="13.7" customHeight="1" x14ac:dyDescent="0.2">
      <c r="A18" s="579" t="s">
        <v>756</v>
      </c>
      <c r="B18" s="1712">
        <v>0</v>
      </c>
      <c r="C18" s="1653"/>
      <c r="D18" s="1713">
        <f t="shared" si="0"/>
        <v>0</v>
      </c>
      <c r="E18" s="1653"/>
      <c r="F18" s="1713">
        <f t="shared" si="1"/>
        <v>0</v>
      </c>
    </row>
    <row r="19" spans="1:6" ht="13.7" customHeight="1" thickBot="1" x14ac:dyDescent="0.25">
      <c r="A19" s="1424" t="s">
        <v>1150</v>
      </c>
      <c r="B19" s="1714">
        <f>SUM(B4:B18)</f>
        <v>0</v>
      </c>
      <c r="C19" s="1714">
        <f>SUM(C4:C18)</f>
        <v>0</v>
      </c>
      <c r="D19" s="1714">
        <f>SUM(D4:D18)</f>
        <v>0</v>
      </c>
      <c r="E19" s="1714">
        <f>SUM(E4:E18)</f>
        <v>0</v>
      </c>
      <c r="F19" s="1714">
        <f>SUM(F4:F18)</f>
        <v>0</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6"/>
      <c r="C1" s="585"/>
    </row>
    <row r="2" spans="1:7" ht="33.75" x14ac:dyDescent="0.2">
      <c r="A2" s="2324" t="s">
        <v>1773</v>
      </c>
      <c r="B2" s="2325"/>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328" t="s">
        <v>1103</v>
      </c>
      <c r="B3" s="2329"/>
      <c r="C3" s="2317"/>
      <c r="D3" s="2318"/>
      <c r="E3" s="2318"/>
      <c r="F3" s="2319"/>
    </row>
    <row r="4" spans="1:7" ht="12.75" customHeight="1" thickBot="1" x14ac:dyDescent="0.25">
      <c r="A4" s="2326" t="s">
        <v>626</v>
      </c>
      <c r="B4" s="2327"/>
      <c r="C4" s="1645"/>
      <c r="D4" s="1645"/>
      <c r="E4" s="1645"/>
      <c r="F4" s="1720">
        <f>SUM(C4+D4)-E4</f>
        <v>0</v>
      </c>
    </row>
    <row r="5" spans="1:7" ht="15.75" customHeight="1" thickTop="1" x14ac:dyDescent="0.2">
      <c r="A5" s="2311" t="s">
        <v>1100</v>
      </c>
      <c r="B5" s="2312"/>
      <c r="C5" s="2320"/>
      <c r="D5" s="2321"/>
      <c r="E5" s="2321"/>
      <c r="F5" s="2322"/>
    </row>
    <row r="6" spans="1:7" ht="12.75" customHeight="1" thickBot="1" x14ac:dyDescent="0.25">
      <c r="A6" s="587" t="s">
        <v>64</v>
      </c>
      <c r="B6" s="588"/>
      <c r="C6" s="1721"/>
      <c r="D6" s="1653"/>
      <c r="E6" s="1721"/>
      <c r="F6" s="1720">
        <f t="shared" ref="F6:F14" si="0">SUM(C6+D6)-E6</f>
        <v>0</v>
      </c>
    </row>
    <row r="7" spans="1:7" ht="12.75" customHeight="1" thickTop="1" thickBot="1" x14ac:dyDescent="0.25">
      <c r="A7" s="587" t="s">
        <v>6</v>
      </c>
      <c r="B7" s="588"/>
      <c r="C7" s="1721"/>
      <c r="D7" s="1653"/>
      <c r="E7" s="1721"/>
      <c r="F7" s="1720">
        <f t="shared" si="0"/>
        <v>0</v>
      </c>
    </row>
    <row r="8" spans="1:7" ht="12.75" customHeight="1" thickTop="1" thickBot="1" x14ac:dyDescent="0.25">
      <c r="A8" s="587" t="s">
        <v>505</v>
      </c>
      <c r="B8" s="588"/>
      <c r="C8" s="1721"/>
      <c r="D8" s="1653"/>
      <c r="E8" s="1721"/>
      <c r="F8" s="1720">
        <f t="shared" si="0"/>
        <v>0</v>
      </c>
    </row>
    <row r="9" spans="1:7" ht="12.75" customHeight="1" thickTop="1" thickBot="1" x14ac:dyDescent="0.25">
      <c r="A9" s="587" t="s">
        <v>506</v>
      </c>
      <c r="B9" s="588"/>
      <c r="C9" s="1721"/>
      <c r="D9" s="1653"/>
      <c r="E9" s="1721"/>
      <c r="F9" s="1720">
        <f t="shared" si="0"/>
        <v>0</v>
      </c>
    </row>
    <row r="10" spans="1:7" ht="12.75" customHeight="1" thickTop="1" thickBot="1" x14ac:dyDescent="0.25">
      <c r="A10" s="587" t="s">
        <v>507</v>
      </c>
      <c r="B10" s="588"/>
      <c r="C10" s="1721"/>
      <c r="D10" s="1653"/>
      <c r="E10" s="1721"/>
      <c r="F10" s="1720">
        <f t="shared" si="0"/>
        <v>0</v>
      </c>
    </row>
    <row r="11" spans="1:7" ht="12.75" customHeight="1" thickTop="1" thickBot="1" x14ac:dyDescent="0.25">
      <c r="A11" s="587" t="s">
        <v>338</v>
      </c>
      <c r="B11" s="588"/>
      <c r="C11" s="1721"/>
      <c r="D11" s="1653"/>
      <c r="E11" s="1721"/>
      <c r="F11" s="1720">
        <f t="shared" si="0"/>
        <v>0</v>
      </c>
    </row>
    <row r="12" spans="1:7" ht="12.75" customHeight="1" thickTop="1" thickBot="1" x14ac:dyDescent="0.25">
      <c r="A12" s="587" t="s">
        <v>1146</v>
      </c>
      <c r="B12" s="588"/>
      <c r="C12" s="1721"/>
      <c r="D12" s="1653"/>
      <c r="E12" s="1721"/>
      <c r="F12" s="1720">
        <f t="shared" si="0"/>
        <v>0</v>
      </c>
    </row>
    <row r="13" spans="1:7" ht="12.75" customHeight="1" thickTop="1" thickBot="1" x14ac:dyDescent="0.25">
      <c r="A13" s="587" t="s">
        <v>385</v>
      </c>
      <c r="B13" s="588"/>
      <c r="C13" s="1721"/>
      <c r="D13" s="1653"/>
      <c r="E13" s="1721"/>
      <c r="F13" s="1720">
        <f t="shared" si="0"/>
        <v>0</v>
      </c>
    </row>
    <row r="14" spans="1:7" ht="12.75" customHeight="1" thickTop="1" thickBot="1" x14ac:dyDescent="0.25">
      <c r="A14" s="587" t="s">
        <v>445</v>
      </c>
      <c r="B14" s="588"/>
      <c r="C14" s="1721"/>
      <c r="D14" s="1653"/>
      <c r="E14" s="1721"/>
      <c r="F14" s="1720">
        <f t="shared" si="0"/>
        <v>0</v>
      </c>
    </row>
    <row r="15" spans="1:7" ht="14.25" thickTop="1" thickBot="1" x14ac:dyDescent="0.25">
      <c r="A15" s="2313" t="s">
        <v>627</v>
      </c>
      <c r="B15" s="2314"/>
      <c r="C15" s="1720">
        <f>SUM(C6:C14)</f>
        <v>0</v>
      </c>
      <c r="D15" s="1720">
        <f>SUM(D6:D14)</f>
        <v>0</v>
      </c>
      <c r="E15" s="1720">
        <f>SUM(E6:E14)</f>
        <v>0</v>
      </c>
      <c r="F15" s="1720">
        <f>SUM(F6:F14)</f>
        <v>0</v>
      </c>
      <c r="G15" s="473"/>
    </row>
    <row r="16" spans="1:7" s="197" customFormat="1" ht="15.75" customHeight="1" thickTop="1" x14ac:dyDescent="0.2">
      <c r="A16" s="2323" t="s">
        <v>1101</v>
      </c>
      <c r="B16" s="2312"/>
      <c r="C16" s="2320"/>
      <c r="D16" s="2321"/>
      <c r="E16" s="2321"/>
      <c r="F16" s="2322"/>
    </row>
    <row r="17" spans="1:11" ht="12.75" customHeight="1" thickBot="1" x14ac:dyDescent="0.25">
      <c r="A17" s="2336" t="s">
        <v>64</v>
      </c>
      <c r="B17" s="2337"/>
      <c r="C17" s="1721"/>
      <c r="D17" s="1653"/>
      <c r="E17" s="1721"/>
      <c r="F17" s="1720">
        <f>SUM(C17+D17)-E17</f>
        <v>0</v>
      </c>
    </row>
    <row r="18" spans="1:11" ht="12.75" customHeight="1" thickTop="1" thickBot="1" x14ac:dyDescent="0.25">
      <c r="A18" s="2336" t="s">
        <v>6</v>
      </c>
      <c r="B18" s="2337"/>
      <c r="C18" s="1721"/>
      <c r="D18" s="1653"/>
      <c r="E18" s="1721"/>
      <c r="F18" s="1720">
        <f>SUM(C18+D18)-E18</f>
        <v>0</v>
      </c>
    </row>
    <row r="19" spans="1:11" ht="12.75" customHeight="1" thickTop="1" thickBot="1" x14ac:dyDescent="0.25">
      <c r="A19" s="2336" t="s">
        <v>385</v>
      </c>
      <c r="B19" s="2337"/>
      <c r="C19" s="1721"/>
      <c r="D19" s="1653"/>
      <c r="E19" s="1721"/>
      <c r="F19" s="1720">
        <f>SUM(C19+D19)-E19</f>
        <v>0</v>
      </c>
    </row>
    <row r="20" spans="1:11" ht="12.75" customHeight="1" thickTop="1" thickBot="1" x14ac:dyDescent="0.25">
      <c r="A20" s="2336" t="s">
        <v>445</v>
      </c>
      <c r="B20" s="2337"/>
      <c r="C20" s="1721"/>
      <c r="D20" s="1653"/>
      <c r="E20" s="1721"/>
      <c r="F20" s="1720">
        <f>SUM(C20+D20)-E20</f>
        <v>0</v>
      </c>
    </row>
    <row r="21" spans="1:11" ht="14.25" thickTop="1" thickBot="1" x14ac:dyDescent="0.25">
      <c r="A21" s="2313" t="s">
        <v>628</v>
      </c>
      <c r="B21" s="2314"/>
      <c r="C21" s="1720">
        <f>SUM(C17:C20)</f>
        <v>0</v>
      </c>
      <c r="D21" s="1720">
        <f>SUM(D17:D20)</f>
        <v>0</v>
      </c>
      <c r="E21" s="1720">
        <f>SUM(E17:E20)</f>
        <v>0</v>
      </c>
      <c r="F21" s="1720">
        <f>SUM(F17:F20)</f>
        <v>0</v>
      </c>
      <c r="G21" s="473"/>
    </row>
    <row r="22" spans="1:11" ht="15.75" customHeight="1" thickTop="1" x14ac:dyDescent="0.2">
      <c r="A22" s="2338" t="s">
        <v>1102</v>
      </c>
      <c r="B22" s="2312"/>
      <c r="C22" s="2320"/>
      <c r="D22" s="2321"/>
      <c r="E22" s="2321"/>
      <c r="F22" s="2322"/>
    </row>
    <row r="23" spans="1:11" ht="13.5" thickBot="1" x14ac:dyDescent="0.25">
      <c r="A23" s="2326" t="s">
        <v>629</v>
      </c>
      <c r="B23" s="2327"/>
      <c r="C23" s="1645"/>
      <c r="D23" s="1645"/>
      <c r="E23" s="1645"/>
      <c r="F23" s="1720">
        <f>SUM(C23+D23)-E23</f>
        <v>0</v>
      </c>
      <c r="G23" s="473"/>
    </row>
    <row r="24" spans="1:11" ht="15.75" customHeight="1" thickTop="1" x14ac:dyDescent="0.2">
      <c r="A24" s="2338" t="s">
        <v>2000</v>
      </c>
      <c r="B24" s="2312"/>
      <c r="C24" s="2320"/>
      <c r="D24" s="2321"/>
      <c r="E24" s="2321"/>
      <c r="F24" s="2322"/>
    </row>
    <row r="25" spans="1:11" ht="13.5" thickBot="1" x14ac:dyDescent="0.25">
      <c r="A25" s="2326" t="s">
        <v>2001</v>
      </c>
      <c r="B25" s="2327"/>
      <c r="C25" s="1645"/>
      <c r="D25" s="1645"/>
      <c r="E25" s="1645"/>
      <c r="F25" s="1720">
        <f>SUM(C25+D25)-E25</f>
        <v>0</v>
      </c>
      <c r="G25" s="473"/>
    </row>
    <row r="26" spans="1:11" ht="15.75" customHeight="1" thickTop="1" x14ac:dyDescent="0.2">
      <c r="A26" s="2311" t="s">
        <v>652</v>
      </c>
      <c r="B26" s="2312"/>
      <c r="C26" s="589"/>
      <c r="D26" s="589"/>
      <c r="E26" s="589"/>
      <c r="F26" s="590"/>
    </row>
    <row r="27" spans="1:11" ht="13.5" thickBot="1" x14ac:dyDescent="0.25">
      <c r="A27" s="2313" t="s">
        <v>1060</v>
      </c>
      <c r="B27" s="2314"/>
      <c r="C27" s="1653"/>
      <c r="D27" s="1653"/>
      <c r="E27" s="1653"/>
      <c r="F27" s="1720">
        <f>SUM(C27+D27)-E27</f>
        <v>0</v>
      </c>
      <c r="G27" s="473"/>
    </row>
    <row r="28" spans="1:11" ht="7.5" customHeight="1" thickTop="1" x14ac:dyDescent="0.2">
      <c r="A28" s="489"/>
    </row>
    <row r="29" spans="1:11" ht="23.25" customHeight="1" x14ac:dyDescent="0.2">
      <c r="A29" s="2339" t="s">
        <v>578</v>
      </c>
      <c r="B29" s="2316"/>
      <c r="C29" s="591"/>
      <c r="D29" s="591"/>
      <c r="E29" s="591"/>
      <c r="F29" s="591"/>
      <c r="G29" s="591"/>
      <c r="H29" s="591"/>
      <c r="I29" s="591"/>
      <c r="J29" s="591"/>
    </row>
    <row r="30" spans="1:11" ht="33.75" x14ac:dyDescent="0.2">
      <c r="A30" s="1289" t="s">
        <v>1061</v>
      </c>
      <c r="B30" s="592" t="s">
        <v>1113</v>
      </c>
      <c r="C30" s="592" t="s">
        <v>579</v>
      </c>
      <c r="D30" s="592" t="s">
        <v>1651</v>
      </c>
      <c r="E30" s="1827" t="str">
        <f>"Outstanding        Beginning July 1, "&amp;'AFR20'!$E$2-1</f>
        <v>Outstanding        Beginning July 1, 2019</v>
      </c>
      <c r="F30" s="1827" t="str">
        <f>"Issued                                        July 1, "&amp;'AFR20'!$E$2-1&amp;" thru           June 30, "&amp;'AFR20'!$E$2</f>
        <v>Issued                                        July 1, 2019 thru           June 30, 2020</v>
      </c>
      <c r="G30" s="592" t="s">
        <v>1871</v>
      </c>
      <c r="H30" s="1827" t="str">
        <f>"Retired                                        July 1, "&amp;'AFR20'!$E$2-1&amp;" thru           June 30, "&amp;'AFR20'!$E$2</f>
        <v>Retired                                        July 1, 2019 thru           June 30, 2020</v>
      </c>
      <c r="I30" s="1827" t="str">
        <f>"Outstanding Ending                     June 30, "&amp;'AFR20'!$E$2</f>
        <v>Outstanding Ending                     June 30, 2020</v>
      </c>
      <c r="J30" s="1731" t="s">
        <v>2</v>
      </c>
      <c r="K30" s="593"/>
    </row>
    <row r="31" spans="1:11" ht="12" customHeight="1" x14ac:dyDescent="0.2">
      <c r="A31" s="594" t="s">
        <v>2134</v>
      </c>
      <c r="B31" s="595">
        <v>42117</v>
      </c>
      <c r="C31" s="1722">
        <v>4845000</v>
      </c>
      <c r="D31" s="1723">
        <v>3</v>
      </c>
      <c r="E31" s="1722">
        <v>2775000</v>
      </c>
      <c r="F31" s="1722"/>
      <c r="G31" s="1722"/>
      <c r="H31" s="1722">
        <v>350000</v>
      </c>
      <c r="I31" s="1724">
        <f>((E31+F31)-H31)+G31</f>
        <v>2425000</v>
      </c>
      <c r="J31" s="1722">
        <v>2248958</v>
      </c>
      <c r="K31" s="596"/>
    </row>
    <row r="32" spans="1:11" ht="12" customHeight="1" x14ac:dyDescent="0.2">
      <c r="A32" s="594"/>
      <c r="B32" s="595"/>
      <c r="C32" s="1722"/>
      <c r="D32" s="1723"/>
      <c r="E32" s="1722"/>
      <c r="F32" s="1722"/>
      <c r="G32" s="1722"/>
      <c r="H32" s="1722"/>
      <c r="I32" s="1724">
        <f>((E32+F32)-H32)+G32</f>
        <v>0</v>
      </c>
      <c r="J32" s="1722"/>
      <c r="K32" s="596"/>
    </row>
    <row r="33" spans="1:11" ht="12" customHeight="1" x14ac:dyDescent="0.2">
      <c r="A33" s="594"/>
      <c r="B33" s="595"/>
      <c r="C33" s="1722"/>
      <c r="D33" s="1723"/>
      <c r="E33" s="1722"/>
      <c r="F33" s="1722"/>
      <c r="G33" s="1722"/>
      <c r="H33" s="1722"/>
      <c r="I33" s="1724">
        <f t="shared" ref="I33:I48" si="1">((E33+F33)-H33)+G33</f>
        <v>0</v>
      </c>
      <c r="J33" s="1722"/>
      <c r="K33" s="596"/>
    </row>
    <row r="34" spans="1:11" ht="12" customHeight="1" x14ac:dyDescent="0.2">
      <c r="A34" s="594"/>
      <c r="B34" s="595"/>
      <c r="C34" s="1722"/>
      <c r="D34" s="1723"/>
      <c r="E34" s="1722"/>
      <c r="F34" s="1722"/>
      <c r="G34" s="1722"/>
      <c r="H34" s="1722"/>
      <c r="I34" s="1724">
        <f t="shared" si="1"/>
        <v>0</v>
      </c>
      <c r="J34" s="1722"/>
      <c r="K34" s="597"/>
    </row>
    <row r="35" spans="1:11" ht="12" customHeight="1" x14ac:dyDescent="0.2">
      <c r="A35" s="594"/>
      <c r="B35" s="595"/>
      <c r="C35" s="1725"/>
      <c r="D35" s="1723"/>
      <c r="E35" s="1725"/>
      <c r="F35" s="1725"/>
      <c r="G35" s="1725"/>
      <c r="H35" s="1725"/>
      <c r="I35" s="1724">
        <f t="shared" si="1"/>
        <v>0</v>
      </c>
      <c r="J35" s="1725"/>
      <c r="K35" s="597"/>
    </row>
    <row r="36" spans="1:11" ht="12" customHeight="1" x14ac:dyDescent="0.2">
      <c r="A36" s="594"/>
      <c r="B36" s="595"/>
      <c r="C36" s="1722"/>
      <c r="D36" s="1723"/>
      <c r="E36" s="1722"/>
      <c r="F36" s="1722"/>
      <c r="G36" s="1722"/>
      <c r="H36" s="1722"/>
      <c r="I36" s="1724">
        <f t="shared" si="1"/>
        <v>0</v>
      </c>
      <c r="J36" s="1722"/>
      <c r="K36" s="598"/>
    </row>
    <row r="37" spans="1:11" ht="12" customHeight="1" x14ac:dyDescent="0.2">
      <c r="A37" s="594"/>
      <c r="B37" s="595"/>
      <c r="C37" s="1565"/>
      <c r="D37" s="1726"/>
      <c r="E37" s="1565"/>
      <c r="F37" s="1565"/>
      <c r="G37" s="1565"/>
      <c r="H37" s="1565"/>
      <c r="I37" s="1724">
        <f t="shared" si="1"/>
        <v>0</v>
      </c>
      <c r="J37" s="1565"/>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4845000</v>
      </c>
      <c r="D49" s="1730"/>
      <c r="E49" s="1724">
        <f t="shared" ref="E49:J49" si="2">SUM(E31:E48)</f>
        <v>2775000</v>
      </c>
      <c r="F49" s="1724">
        <f t="shared" si="2"/>
        <v>0</v>
      </c>
      <c r="G49" s="1724">
        <f t="shared" si="2"/>
        <v>0</v>
      </c>
      <c r="H49" s="1724">
        <f t="shared" si="2"/>
        <v>350000</v>
      </c>
      <c r="I49" s="1724">
        <f t="shared" si="2"/>
        <v>2425000</v>
      </c>
      <c r="J49" s="1724">
        <f t="shared" si="2"/>
        <v>2248958</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30" t="s">
        <v>580</v>
      </c>
      <c r="C52" s="2331"/>
      <c r="D52" s="2331"/>
      <c r="E52" s="603" t="s">
        <v>839</v>
      </c>
      <c r="F52" s="2332"/>
      <c r="G52" s="2333"/>
      <c r="H52" s="596"/>
      <c r="I52" s="596"/>
      <c r="J52" s="600"/>
    </row>
    <row r="53" spans="1:11" ht="11.25" customHeight="1" x14ac:dyDescent="0.2">
      <c r="A53" s="604" t="s">
        <v>906</v>
      </c>
      <c r="B53" s="605" t="s">
        <v>944</v>
      </c>
      <c r="C53" s="600"/>
      <c r="D53" s="597"/>
      <c r="E53" s="603" t="s">
        <v>494</v>
      </c>
      <c r="F53" s="2334"/>
      <c r="G53" s="2335"/>
      <c r="H53" s="596"/>
      <c r="I53" s="596"/>
      <c r="J53" s="600"/>
    </row>
    <row r="54" spans="1:11" ht="11.25" customHeight="1" x14ac:dyDescent="0.2">
      <c r="A54" s="606" t="s">
        <v>907</v>
      </c>
      <c r="B54" s="601" t="s">
        <v>945</v>
      </c>
      <c r="C54" s="600"/>
      <c r="D54" s="597"/>
      <c r="E54" s="603" t="s">
        <v>495</v>
      </c>
      <c r="F54" s="2334"/>
      <c r="G54" s="23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35" sqref="F3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850</v>
      </c>
      <c r="B1" s="2367"/>
      <c r="C1" s="2367"/>
      <c r="D1" s="2367"/>
      <c r="E1" s="2367"/>
      <c r="F1" s="2367"/>
      <c r="G1" s="2368"/>
      <c r="H1" s="1290"/>
      <c r="I1" s="614"/>
      <c r="J1" s="400"/>
    </row>
    <row r="2" spans="1:11" ht="26.25" x14ac:dyDescent="0.2">
      <c r="A2" s="2343" t="s">
        <v>1655</v>
      </c>
      <c r="B2" s="2344"/>
      <c r="C2" s="2344"/>
      <c r="D2" s="2344"/>
      <c r="E2" s="2345"/>
      <c r="F2" s="615" t="s">
        <v>897</v>
      </c>
      <c r="G2" s="616" t="s">
        <v>1652</v>
      </c>
      <c r="H2" s="616" t="s">
        <v>407</v>
      </c>
      <c r="I2" s="616" t="s">
        <v>1147</v>
      </c>
      <c r="J2" s="616" t="s">
        <v>1783</v>
      </c>
      <c r="K2" s="616" t="s">
        <v>137</v>
      </c>
    </row>
    <row r="3" spans="1:11" x14ac:dyDescent="0.2">
      <c r="A3" s="2346" t="str">
        <f>"Cash Basis Fund Balance as of July 1, "&amp;'AFR20'!E2-1</f>
        <v>Cash Basis Fund Balance as of July 1, 2019</v>
      </c>
      <c r="B3" s="2347"/>
      <c r="C3" s="2347"/>
      <c r="D3" s="2347"/>
      <c r="E3" s="2348"/>
      <c r="F3" s="617"/>
      <c r="G3" s="1732"/>
      <c r="H3" s="1732"/>
      <c r="I3" s="1732"/>
      <c r="J3" s="1733"/>
      <c r="K3" s="1733"/>
    </row>
    <row r="4" spans="1:11" x14ac:dyDescent="0.2">
      <c r="A4" s="2349" t="s">
        <v>366</v>
      </c>
      <c r="B4" s="2350"/>
      <c r="C4" s="2350"/>
      <c r="D4" s="2350"/>
      <c r="E4" s="2331"/>
      <c r="F4" s="620"/>
      <c r="G4" s="1734"/>
      <c r="H4" s="1735"/>
      <c r="I4" s="1734"/>
      <c r="J4" s="1736"/>
      <c r="K4" s="1736"/>
    </row>
    <row r="5" spans="1:11" x14ac:dyDescent="0.2">
      <c r="A5" s="2369" t="s">
        <v>1059</v>
      </c>
      <c r="B5" s="2340"/>
      <c r="C5" s="2340"/>
      <c r="D5" s="2340"/>
      <c r="E5" s="2370"/>
      <c r="F5" s="622" t="s">
        <v>842</v>
      </c>
      <c r="G5" s="1737"/>
      <c r="H5" s="1732">
        <f>'Revenues 9-14'!C7</f>
        <v>0</v>
      </c>
      <c r="I5" s="1738"/>
      <c r="J5" s="1739"/>
      <c r="K5" s="1739"/>
    </row>
    <row r="6" spans="1:11" x14ac:dyDescent="0.2">
      <c r="A6" s="625" t="s">
        <v>714</v>
      </c>
      <c r="B6" s="626"/>
      <c r="C6" s="626"/>
      <c r="D6" s="626"/>
      <c r="E6" s="627"/>
      <c r="F6" s="628" t="s">
        <v>843</v>
      </c>
      <c r="G6" s="1732"/>
      <c r="H6" s="1732"/>
      <c r="I6" s="1732"/>
      <c r="J6" s="1733"/>
      <c r="K6" s="1733"/>
    </row>
    <row r="7" spans="1:11" x14ac:dyDescent="0.2">
      <c r="A7" s="629" t="s">
        <v>244</v>
      </c>
      <c r="B7" s="630"/>
      <c r="C7" s="630"/>
      <c r="D7" s="630"/>
      <c r="E7" s="631"/>
      <c r="F7" s="622" t="s">
        <v>844</v>
      </c>
      <c r="G7" s="1734"/>
      <c r="H7" s="1734"/>
      <c r="I7" s="1734"/>
      <c r="J7" s="1740"/>
      <c r="K7" s="1733">
        <f>'Revenues 9-14'!C101</f>
        <v>0</v>
      </c>
    </row>
    <row r="8" spans="1:11" x14ac:dyDescent="0.2">
      <c r="A8" s="629" t="s">
        <v>342</v>
      </c>
      <c r="B8" s="630"/>
      <c r="C8" s="630"/>
      <c r="D8" s="630"/>
      <c r="E8" s="631"/>
      <c r="F8" s="622" t="s">
        <v>845</v>
      </c>
      <c r="G8" s="1741"/>
      <c r="H8" s="1741"/>
      <c r="I8" s="1741"/>
      <c r="J8" s="1733"/>
      <c r="K8" s="1736"/>
    </row>
    <row r="9" spans="1:11" x14ac:dyDescent="0.2">
      <c r="A9" s="629" t="s">
        <v>137</v>
      </c>
      <c r="B9" s="630"/>
      <c r="C9" s="630"/>
      <c r="D9" s="630"/>
      <c r="E9" s="631"/>
      <c r="F9" s="628" t="s">
        <v>847</v>
      </c>
      <c r="G9" s="1741"/>
      <c r="H9" s="1737"/>
      <c r="I9" s="1737"/>
      <c r="J9" s="1740"/>
      <c r="K9" s="1733">
        <f>'Revenues 9-14'!C148</f>
        <v>0</v>
      </c>
    </row>
    <row r="10" spans="1:11" x14ac:dyDescent="0.2">
      <c r="A10" s="2369" t="s">
        <v>1784</v>
      </c>
      <c r="B10" s="2340"/>
      <c r="C10" s="2340"/>
      <c r="D10" s="2340"/>
      <c r="E10" s="2371"/>
      <c r="F10" s="633" t="s">
        <v>856</v>
      </c>
      <c r="G10" s="1741"/>
      <c r="H10" s="1742"/>
      <c r="I10" s="1732"/>
      <c r="J10" s="1733"/>
      <c r="K10" s="1733"/>
    </row>
    <row r="11" spans="1:11" x14ac:dyDescent="0.2">
      <c r="A11" s="2369" t="s">
        <v>159</v>
      </c>
      <c r="B11" s="2340"/>
      <c r="C11" s="2340"/>
      <c r="D11" s="2340"/>
      <c r="E11" s="2370"/>
      <c r="F11" s="622" t="s">
        <v>846</v>
      </c>
      <c r="G11" s="1737"/>
      <c r="H11" s="1732"/>
      <c r="I11" s="1732"/>
      <c r="J11" s="1733"/>
      <c r="K11" s="1739"/>
    </row>
    <row r="12" spans="1:11" ht="13.5" thickBot="1" x14ac:dyDescent="0.25">
      <c r="A12" s="2357" t="s">
        <v>898</v>
      </c>
      <c r="B12" s="2358"/>
      <c r="C12" s="2358"/>
      <c r="D12" s="2358"/>
      <c r="E12" s="2359"/>
      <c r="F12" s="1425"/>
      <c r="G12" s="1743">
        <f>SUM(G5:G11)</f>
        <v>0</v>
      </c>
      <c r="H12" s="1743">
        <f>SUM(H5:H11)</f>
        <v>0</v>
      </c>
      <c r="I12" s="1743">
        <f>SUM(I5:I11)</f>
        <v>0</v>
      </c>
      <c r="J12" s="1743">
        <f>SUM(J5:J11)</f>
        <v>0</v>
      </c>
      <c r="K12" s="1743">
        <f>SUM(K5:K11)</f>
        <v>0</v>
      </c>
    </row>
    <row r="13" spans="1:11" ht="13.5" thickTop="1" x14ac:dyDescent="0.2">
      <c r="A13" s="2351" t="s">
        <v>367</v>
      </c>
      <c r="B13" s="2352"/>
      <c r="C13" s="2352"/>
      <c r="D13" s="2352"/>
      <c r="E13" s="2353"/>
      <c r="F13" s="634"/>
      <c r="G13" s="1744"/>
      <c r="H13" s="1745"/>
      <c r="I13" s="1746"/>
      <c r="J13" s="1746"/>
      <c r="K13" s="1746"/>
    </row>
    <row r="14" spans="1:11" x14ac:dyDescent="0.2">
      <c r="A14" s="2375" t="s">
        <v>453</v>
      </c>
      <c r="B14" s="2375"/>
      <c r="C14" s="2375"/>
      <c r="D14" s="2375"/>
      <c r="E14" s="2376"/>
      <c r="F14" s="635" t="s">
        <v>848</v>
      </c>
      <c r="G14" s="1741"/>
      <c r="H14" s="1732">
        <f>H12</f>
        <v>0</v>
      </c>
      <c r="I14" s="1737"/>
      <c r="J14" s="1739"/>
      <c r="K14" s="1733"/>
    </row>
    <row r="15" spans="1:11" x14ac:dyDescent="0.2">
      <c r="A15" s="2340" t="s">
        <v>4</v>
      </c>
      <c r="B15" s="2340"/>
      <c r="C15" s="2340"/>
      <c r="D15" s="2340"/>
      <c r="E15" s="2370"/>
      <c r="F15" s="635" t="s">
        <v>849</v>
      </c>
      <c r="G15" s="1737"/>
      <c r="H15" s="1732"/>
      <c r="I15" s="1732"/>
      <c r="J15" s="1733"/>
      <c r="K15" s="1733"/>
    </row>
    <row r="16" spans="1:11" x14ac:dyDescent="0.2">
      <c r="A16" s="2340" t="s">
        <v>295</v>
      </c>
      <c r="B16" s="2340"/>
      <c r="C16" s="2340"/>
      <c r="D16" s="2340"/>
      <c r="E16" s="2370"/>
      <c r="F16" s="635" t="s">
        <v>916</v>
      </c>
      <c r="G16" s="1738"/>
      <c r="H16" s="1734"/>
      <c r="I16" s="1734"/>
      <c r="J16" s="1736"/>
      <c r="K16" s="1736"/>
    </row>
    <row r="17" spans="1:15" x14ac:dyDescent="0.2">
      <c r="A17" s="2364" t="s">
        <v>928</v>
      </c>
      <c r="B17" s="2364"/>
      <c r="C17" s="2364"/>
      <c r="D17" s="2364"/>
      <c r="E17" s="2365"/>
      <c r="F17" s="636"/>
      <c r="G17" s="1747"/>
      <c r="H17" s="1748"/>
      <c r="I17" s="1748"/>
      <c r="J17" s="1749"/>
      <c r="K17" s="1750"/>
    </row>
    <row r="18" spans="1:15" x14ac:dyDescent="0.2">
      <c r="A18" s="2354" t="s">
        <v>365</v>
      </c>
      <c r="B18" s="2355"/>
      <c r="C18" s="2355"/>
      <c r="D18" s="2355"/>
      <c r="E18" s="2356"/>
      <c r="F18" s="635" t="s">
        <v>925</v>
      </c>
      <c r="G18" s="1741"/>
      <c r="H18" s="1741"/>
      <c r="I18" s="1741"/>
      <c r="J18" s="1733"/>
      <c r="K18" s="1751"/>
    </row>
    <row r="19" spans="1:15" ht="21.75" customHeight="1" x14ac:dyDescent="0.2">
      <c r="A19" s="2377" t="s">
        <v>1780</v>
      </c>
      <c r="B19" s="2377"/>
      <c r="C19" s="2377"/>
      <c r="D19" s="2377"/>
      <c r="E19" s="2378"/>
      <c r="F19" s="635" t="s">
        <v>926</v>
      </c>
      <c r="G19" s="1741"/>
      <c r="H19" s="1741"/>
      <c r="I19" s="1741"/>
      <c r="J19" s="1733"/>
      <c r="K19" s="1751"/>
    </row>
    <row r="20" spans="1:15" x14ac:dyDescent="0.2">
      <c r="A20" s="2354" t="s">
        <v>1785</v>
      </c>
      <c r="B20" s="2355"/>
      <c r="C20" s="2355"/>
      <c r="D20" s="2355"/>
      <c r="E20" s="2356"/>
      <c r="F20" s="635" t="s">
        <v>927</v>
      </c>
      <c r="G20" s="1741"/>
      <c r="H20" s="1741"/>
      <c r="I20" s="1741"/>
      <c r="J20" s="1733"/>
      <c r="K20" s="1751"/>
    </row>
    <row r="21" spans="1:15" ht="13.5" thickBot="1" x14ac:dyDescent="0.25">
      <c r="A21" s="2360" t="s">
        <v>633</v>
      </c>
      <c r="B21" s="2360"/>
      <c r="C21" s="2360"/>
      <c r="D21" s="2360"/>
      <c r="E21" s="2360"/>
      <c r="F21" s="1426"/>
      <c r="G21" s="1748"/>
      <c r="H21" s="1752"/>
      <c r="I21" s="1752"/>
      <c r="J21" s="1753">
        <f>SUM(J18:J20)</f>
        <v>0</v>
      </c>
      <c r="K21" s="1749"/>
    </row>
    <row r="22" spans="1:15" ht="13.5" thickTop="1" x14ac:dyDescent="0.2">
      <c r="A22" s="2340" t="s">
        <v>1786</v>
      </c>
      <c r="B22" s="2340"/>
      <c r="C22" s="2340"/>
      <c r="D22" s="2340"/>
      <c r="E22" s="2370"/>
      <c r="F22" s="635" t="s">
        <v>856</v>
      </c>
      <c r="G22" s="1741"/>
      <c r="H22" s="1732"/>
      <c r="I22" s="1732"/>
      <c r="J22" s="1754"/>
      <c r="K22" s="1733"/>
    </row>
    <row r="23" spans="1:15" ht="13.5" thickBot="1" x14ac:dyDescent="0.25">
      <c r="A23" s="2361" t="s">
        <v>899</v>
      </c>
      <c r="B23" s="2360"/>
      <c r="C23" s="2360"/>
      <c r="D23" s="2360"/>
      <c r="E23" s="2360"/>
      <c r="F23" s="1428"/>
      <c r="G23" s="1743">
        <f>SUM(G14:G16,G21,G22)</f>
        <v>0</v>
      </c>
      <c r="H23" s="1743">
        <f>SUM(H14:H16,H21,H22)</f>
        <v>0</v>
      </c>
      <c r="I23" s="1743">
        <f>SUM(I14:I16,I21,I22)</f>
        <v>0</v>
      </c>
      <c r="J23" s="1743">
        <f>SUM(J14:J16,J21,J22)</f>
        <v>0</v>
      </c>
      <c r="K23" s="1743">
        <f>SUM(K14:K16,K21,K22)</f>
        <v>0</v>
      </c>
      <c r="M23" s="1828"/>
      <c r="N23" s="1828"/>
      <c r="O23" s="1828"/>
    </row>
    <row r="24" spans="1:15" ht="14.25" thickTop="1" thickBot="1" x14ac:dyDescent="0.25">
      <c r="A24" s="2362" t="str">
        <f>"Ending Cash Basis Fund Balance as of June 30, "&amp;'AFR20'!E2</f>
        <v>Ending Cash Basis Fund Balance as of June 30, 2020</v>
      </c>
      <c r="B24" s="2363"/>
      <c r="C24" s="2363"/>
      <c r="D24" s="2363"/>
      <c r="E24" s="2363"/>
      <c r="F24" s="1429"/>
      <c r="G24" s="1755">
        <f>SUM(G3,G12)-G23</f>
        <v>0</v>
      </c>
      <c r="H24" s="1755">
        <f>SUM(H3,H12)-H23</f>
        <v>0</v>
      </c>
      <c r="I24" s="1755">
        <f>SUM(I3,I12)-I23</f>
        <v>0</v>
      </c>
      <c r="J24" s="1755">
        <f>SUM(J3,J12)-J23</f>
        <v>0</v>
      </c>
      <c r="K24" s="1755">
        <f>SUM(K3,K12)-K23</f>
        <v>0</v>
      </c>
      <c r="L24" s="1828"/>
      <c r="M24" s="1828"/>
      <c r="N24" s="1828"/>
      <c r="O24" s="1828"/>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501" t="s">
        <v>1870</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t="s">
        <v>2068</v>
      </c>
      <c r="E30" s="648" t="s">
        <v>762</v>
      </c>
      <c r="F30" s="197"/>
      <c r="G30" s="645"/>
    </row>
    <row r="31" spans="1:15" x14ac:dyDescent="0.2">
      <c r="A31" s="649"/>
      <c r="D31" s="232"/>
      <c r="E31" s="650" t="s">
        <v>763</v>
      </c>
      <c r="F31" s="651" t="s">
        <v>536</v>
      </c>
      <c r="G31" s="618"/>
      <c r="H31" s="2372"/>
      <c r="I31" s="2373"/>
      <c r="J31" s="2373"/>
      <c r="K31" s="2373"/>
    </row>
    <row r="32" spans="1:15" x14ac:dyDescent="0.2">
      <c r="A32" s="649"/>
      <c r="B32" s="232"/>
      <c r="C32" s="232"/>
      <c r="D32" s="232"/>
      <c r="E32" s="645"/>
      <c r="F32" s="651" t="s">
        <v>537</v>
      </c>
      <c r="G32" s="618"/>
      <c r="H32" s="2374"/>
      <c r="I32" s="2373"/>
      <c r="J32" s="2373"/>
      <c r="K32" s="2373"/>
    </row>
    <row r="33" spans="1:11" ht="1.5" customHeight="1" x14ac:dyDescent="0.2">
      <c r="A33" s="652" t="s">
        <v>1158</v>
      </c>
      <c r="B33" s="341"/>
      <c r="C33" s="341"/>
      <c r="D33" s="341"/>
      <c r="E33" s="341"/>
      <c r="F33" s="341"/>
      <c r="G33" s="653"/>
      <c r="H33" s="2374"/>
      <c r="I33" s="2373"/>
      <c r="J33" s="2373"/>
      <c r="K33" s="2373"/>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0" t="s">
        <v>538</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1781</v>
      </c>
      <c r="B46" s="382" t="s">
        <v>1653</v>
      </c>
    </row>
    <row r="47" spans="1:11" s="663" customFormat="1" ht="12.75" customHeight="1" x14ac:dyDescent="0.2">
      <c r="A47" s="661"/>
      <c r="B47" s="662" t="s">
        <v>1654</v>
      </c>
      <c r="E47" s="662"/>
      <c r="K47" s="664"/>
    </row>
    <row r="48" spans="1:11" ht="12.75" customHeight="1" x14ac:dyDescent="0.2">
      <c r="A48" s="1292"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1"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K12" sqref="K12:K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1869</v>
      </c>
      <c r="B1" s="2382"/>
      <c r="C1" s="2383"/>
      <c r="D1" s="666"/>
      <c r="E1" s="667"/>
      <c r="F1" s="667"/>
      <c r="G1" s="668"/>
      <c r="H1" s="669"/>
      <c r="I1" s="670"/>
      <c r="J1" s="2379"/>
      <c r="K1" s="2380"/>
      <c r="L1" s="2380"/>
    </row>
    <row r="2" spans="1:14" ht="69.75" customHeight="1" x14ac:dyDescent="0.2">
      <c r="A2" s="671" t="s">
        <v>1656</v>
      </c>
      <c r="B2" s="672" t="s">
        <v>375</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601</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56" t="s">
        <v>885</v>
      </c>
      <c r="B3" s="1357">
        <v>210</v>
      </c>
      <c r="C3" s="1757"/>
      <c r="D3" s="1757"/>
      <c r="E3" s="1757"/>
      <c r="F3" s="1753">
        <f>(C3+D3)-E3</f>
        <v>0</v>
      </c>
      <c r="G3" s="675"/>
      <c r="H3" s="674"/>
      <c r="I3" s="674"/>
      <c r="J3" s="674"/>
      <c r="K3" s="1434">
        <f>(H3+I3)-J3</f>
        <v>0</v>
      </c>
      <c r="L3" s="1434">
        <f>F3-K3</f>
        <v>0</v>
      </c>
      <c r="M3" s="673"/>
      <c r="N3" s="673"/>
    </row>
    <row r="4" spans="1:14" ht="15" customHeight="1" thickTop="1" x14ac:dyDescent="0.2">
      <c r="A4" s="1358" t="s">
        <v>157</v>
      </c>
      <c r="B4" s="1357">
        <v>220</v>
      </c>
      <c r="C4" s="1740"/>
      <c r="D4" s="1740"/>
      <c r="E4" s="1740"/>
      <c r="F4" s="1739"/>
      <c r="G4" s="676"/>
      <c r="H4" s="677"/>
      <c r="I4" s="677"/>
      <c r="J4" s="677"/>
      <c r="K4" s="678"/>
      <c r="L4" s="624"/>
    </row>
    <row r="5" spans="1:14" ht="13.5" thickBot="1" x14ac:dyDescent="0.25">
      <c r="A5" s="629" t="s">
        <v>886</v>
      </c>
      <c r="B5" s="679">
        <v>221</v>
      </c>
      <c r="C5" s="1758">
        <v>1260625</v>
      </c>
      <c r="D5" s="1758"/>
      <c r="E5" s="1758"/>
      <c r="F5" s="1753">
        <f>(C5+D5)-E5</f>
        <v>1260625</v>
      </c>
      <c r="G5" s="676"/>
      <c r="H5" s="680"/>
      <c r="I5" s="680"/>
      <c r="J5" s="680"/>
      <c r="K5" s="637"/>
      <c r="L5" s="1434">
        <f>F5-K5</f>
        <v>1260625</v>
      </c>
    </row>
    <row r="6" spans="1:14" ht="14.25" thickTop="1" thickBot="1" x14ac:dyDescent="0.25">
      <c r="A6" s="629" t="s">
        <v>1106</v>
      </c>
      <c r="B6" s="679">
        <v>222</v>
      </c>
      <c r="C6" s="1733">
        <v>0</v>
      </c>
      <c r="D6" s="1733"/>
      <c r="E6" s="1733"/>
      <c r="F6" s="1753">
        <f>(C6+D6)-E6</f>
        <v>0</v>
      </c>
      <c r="G6" s="676">
        <v>50</v>
      </c>
      <c r="H6" s="619"/>
      <c r="I6" s="619"/>
      <c r="J6" s="619"/>
      <c r="K6" s="1434">
        <f>(H6+I6)-J6</f>
        <v>0</v>
      </c>
      <c r="L6" s="1434">
        <f>F6-K6</f>
        <v>0</v>
      </c>
    </row>
    <row r="7" spans="1:14" ht="15" customHeight="1" thickTop="1" x14ac:dyDescent="0.2">
      <c r="A7" s="1358" t="s">
        <v>158</v>
      </c>
      <c r="B7" s="1357">
        <v>230</v>
      </c>
      <c r="C7" s="1740"/>
      <c r="D7" s="1740"/>
      <c r="E7" s="1740"/>
      <c r="F7" s="1739"/>
      <c r="G7" s="681"/>
      <c r="H7" s="632"/>
      <c r="I7" s="632"/>
      <c r="J7" s="632"/>
      <c r="K7" s="624"/>
      <c r="L7" s="624"/>
    </row>
    <row r="8" spans="1:14" ht="13.5" thickBot="1" x14ac:dyDescent="0.25">
      <c r="A8" s="629" t="s">
        <v>1107</v>
      </c>
      <c r="B8" s="679">
        <v>231</v>
      </c>
      <c r="C8" s="1759">
        <v>42917715</v>
      </c>
      <c r="D8" s="1759">
        <f>395172+5817</f>
        <v>400989</v>
      </c>
      <c r="E8" s="1759"/>
      <c r="F8" s="1753">
        <f>(C8+D8)-E8</f>
        <v>43318704</v>
      </c>
      <c r="G8" s="681">
        <v>50</v>
      </c>
      <c r="H8" s="619">
        <v>13939649</v>
      </c>
      <c r="I8" s="619">
        <v>892738</v>
      </c>
      <c r="J8" s="619"/>
      <c r="K8" s="1434">
        <f>(H8+I8)-J8</f>
        <v>14832387</v>
      </c>
      <c r="L8" s="1434">
        <f>F8-K8</f>
        <v>28486317</v>
      </c>
    </row>
    <row r="9" spans="1:14" ht="14.25" thickTop="1" thickBot="1" x14ac:dyDescent="0.25">
      <c r="A9" s="629" t="s">
        <v>1108</v>
      </c>
      <c r="B9" s="679">
        <v>232</v>
      </c>
      <c r="C9" s="1733">
        <v>0</v>
      </c>
      <c r="D9" s="1733"/>
      <c r="E9" s="1733"/>
      <c r="F9" s="1753">
        <f>(C9+D9)-E9</f>
        <v>0</v>
      </c>
      <c r="G9" s="681">
        <v>20</v>
      </c>
      <c r="H9" s="619">
        <v>0</v>
      </c>
      <c r="I9" s="619"/>
      <c r="J9" s="619"/>
      <c r="K9" s="1434">
        <f>(H9+I9)-J9</f>
        <v>0</v>
      </c>
      <c r="L9" s="1434">
        <f>F9-K9</f>
        <v>0</v>
      </c>
    </row>
    <row r="10" spans="1:14" ht="24" thickTop="1" thickBot="1" x14ac:dyDescent="0.25">
      <c r="A10" s="682" t="s">
        <v>1109</v>
      </c>
      <c r="B10" s="679">
        <v>240</v>
      </c>
      <c r="C10" s="1760">
        <v>6671607</v>
      </c>
      <c r="D10" s="1760"/>
      <c r="E10" s="1760">
        <v>33860</v>
      </c>
      <c r="F10" s="1761">
        <f>(C10+D10)-E10</f>
        <v>6637747</v>
      </c>
      <c r="G10" s="681">
        <v>20</v>
      </c>
      <c r="H10" s="683">
        <v>1412985</v>
      </c>
      <c r="I10" s="683">
        <v>313253</v>
      </c>
      <c r="J10" s="683"/>
      <c r="K10" s="1434">
        <f>(H10+I10)-J10</f>
        <v>1726238</v>
      </c>
      <c r="L10" s="1434">
        <f>F10-K10</f>
        <v>4911509</v>
      </c>
    </row>
    <row r="11" spans="1:14" ht="13.5" thickTop="1" x14ac:dyDescent="0.2">
      <c r="A11" s="1359" t="s">
        <v>1125</v>
      </c>
      <c r="B11" s="1357">
        <v>250</v>
      </c>
      <c r="C11" s="1740"/>
      <c r="D11" s="1740"/>
      <c r="E11" s="1740"/>
      <c r="F11" s="1739"/>
      <c r="G11" s="681"/>
      <c r="H11" s="632"/>
      <c r="I11" s="632"/>
      <c r="J11" s="632"/>
      <c r="K11" s="624"/>
      <c r="L11" s="624"/>
    </row>
    <row r="12" spans="1:14" ht="13.5" thickBot="1" x14ac:dyDescent="0.25">
      <c r="A12" s="684" t="s">
        <v>1110</v>
      </c>
      <c r="B12" s="679">
        <v>251</v>
      </c>
      <c r="C12" s="1759">
        <v>255468</v>
      </c>
      <c r="D12" s="1759">
        <v>27712</v>
      </c>
      <c r="E12" s="1759">
        <v>56303</v>
      </c>
      <c r="F12" s="1753">
        <f>(C12+D12)-E12</f>
        <v>226877</v>
      </c>
      <c r="G12" s="681">
        <v>10</v>
      </c>
      <c r="H12" s="619">
        <v>94789</v>
      </c>
      <c r="I12" s="619">
        <v>10355</v>
      </c>
      <c r="J12" s="619">
        <v>56303</v>
      </c>
      <c r="K12" s="1434">
        <f>(H12+I12)-J12</f>
        <v>48841</v>
      </c>
      <c r="L12" s="1434">
        <f>F12-K12</f>
        <v>178036</v>
      </c>
    </row>
    <row r="13" spans="1:14" ht="14.25" thickTop="1" thickBot="1" x14ac:dyDescent="0.25">
      <c r="A13" s="684" t="s">
        <v>1111</v>
      </c>
      <c r="B13" s="679">
        <v>252</v>
      </c>
      <c r="C13" s="1759">
        <v>3187786</v>
      </c>
      <c r="D13" s="1759">
        <f>145583+28043</f>
        <v>173626</v>
      </c>
      <c r="E13" s="1759">
        <v>908143</v>
      </c>
      <c r="F13" s="1753">
        <f>(C13+D13)-E13</f>
        <v>2453269</v>
      </c>
      <c r="G13" s="681">
        <v>5</v>
      </c>
      <c r="H13" s="619">
        <v>2859134</v>
      </c>
      <c r="I13" s="619">
        <v>95042</v>
      </c>
      <c r="J13" s="619">
        <v>908142</v>
      </c>
      <c r="K13" s="1434">
        <f>(H13+I13)-J13</f>
        <v>2046034</v>
      </c>
      <c r="L13" s="1434">
        <f>F13-K13</f>
        <v>407235</v>
      </c>
    </row>
    <row r="14" spans="1:14" ht="14.25" thickTop="1" thickBot="1" x14ac:dyDescent="0.25">
      <c r="A14" s="684" t="s">
        <v>1112</v>
      </c>
      <c r="B14" s="679">
        <v>253</v>
      </c>
      <c r="C14" s="1733">
        <v>0</v>
      </c>
      <c r="D14" s="1733"/>
      <c r="E14" s="1733"/>
      <c r="F14" s="1753">
        <f>(C14+D14)-E14</f>
        <v>0</v>
      </c>
      <c r="G14" s="681">
        <v>3</v>
      </c>
      <c r="H14" s="619">
        <v>0</v>
      </c>
      <c r="I14" s="619"/>
      <c r="J14" s="619"/>
      <c r="K14" s="1434">
        <f>(H14+I14)-J14</f>
        <v>0</v>
      </c>
      <c r="L14" s="1434">
        <f>F14-K14</f>
        <v>0</v>
      </c>
    </row>
    <row r="15" spans="1:14" ht="15" customHeight="1" thickTop="1" thickBot="1" x14ac:dyDescent="0.25">
      <c r="A15" s="1358" t="s">
        <v>525</v>
      </c>
      <c r="B15" s="1357">
        <v>260</v>
      </c>
      <c r="C15" s="1759">
        <v>59303</v>
      </c>
      <c r="D15" s="1759">
        <v>4441851</v>
      </c>
      <c r="E15" s="1759">
        <v>395171</v>
      </c>
      <c r="F15" s="1753">
        <f>(C15+D15)-E15</f>
        <v>4105983</v>
      </c>
      <c r="G15" s="685" t="s">
        <v>856</v>
      </c>
      <c r="H15" s="632"/>
      <c r="I15" s="632"/>
      <c r="J15" s="632"/>
      <c r="K15" s="632"/>
      <c r="L15" s="1434">
        <f>F15-K15</f>
        <v>4105983</v>
      </c>
    </row>
    <row r="16" spans="1:14" ht="15" customHeight="1" thickTop="1" thickBot="1" x14ac:dyDescent="0.25">
      <c r="A16" s="1430" t="s">
        <v>638</v>
      </c>
      <c r="B16" s="1431">
        <v>200</v>
      </c>
      <c r="C16" s="1753">
        <f>SUM(C3,C5:C6,C8:C10,C12:C15)</f>
        <v>54352504</v>
      </c>
      <c r="D16" s="1753">
        <f>SUM(D3,D5:D6,D8:D10,D12:D15)</f>
        <v>5044178</v>
      </c>
      <c r="E16" s="1753">
        <f>SUM(E3,E5:E6,E8:E10,E12:E15)</f>
        <v>1393477</v>
      </c>
      <c r="F16" s="1753">
        <f>SUM(F3,F5:F6,F8:F10,F12:F15)</f>
        <v>58003205</v>
      </c>
      <c r="G16" s="681"/>
      <c r="H16" s="1427">
        <f>SUM(H3,H6,H8:H10,H12:H14,)</f>
        <v>18306557</v>
      </c>
      <c r="I16" s="1427">
        <f>SUM(I3,I6,I8:I10,I12:I14,)</f>
        <v>1311388</v>
      </c>
      <c r="J16" s="1427">
        <f>SUM(J3,J6,J8:J10,J12:J14,)</f>
        <v>964445</v>
      </c>
      <c r="K16" s="1427">
        <f>(H16+I16)-J16</f>
        <v>18653500</v>
      </c>
      <c r="L16" s="1427">
        <f>F16-K16</f>
        <v>39349705</v>
      </c>
    </row>
    <row r="17" spans="1:12" ht="15" customHeight="1" thickTop="1" thickBot="1" x14ac:dyDescent="0.25">
      <c r="A17" s="1360" t="s">
        <v>288</v>
      </c>
      <c r="B17" s="1357">
        <v>700</v>
      </c>
      <c r="C17" s="1736"/>
      <c r="D17" s="1736"/>
      <c r="E17" s="1736"/>
      <c r="F17" s="1753">
        <f>SUM('Expenditures 15-22'!I114,'Expenditures 15-22'!I151,'Expenditures 15-22'!I210,'Expenditures 15-22'!I312,'Expenditures 15-22'!I342,'Expenditures 15-22'!I367)</f>
        <v>244769</v>
      </c>
      <c r="G17" s="676">
        <v>10</v>
      </c>
      <c r="H17" s="621"/>
      <c r="I17" s="1434">
        <f>F17/G17</f>
        <v>24476.9</v>
      </c>
      <c r="J17" s="621"/>
      <c r="K17" s="638"/>
      <c r="L17" s="638"/>
    </row>
    <row r="18" spans="1:12" ht="14.25" thickTop="1" thickBot="1" x14ac:dyDescent="0.25">
      <c r="A18" s="1432" t="s">
        <v>679</v>
      </c>
      <c r="B18" s="1433"/>
      <c r="C18" s="623"/>
      <c r="D18" s="623"/>
      <c r="E18" s="623"/>
      <c r="F18" s="686"/>
      <c r="G18" s="687"/>
      <c r="H18" s="624"/>
      <c r="I18" s="1427">
        <f>SUM(I16,I17)</f>
        <v>1335864.8999999999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70" activePane="bottomLeft" state="frozen"/>
      <selection activeCell="A47" sqref="A47"/>
      <selection pane="bottomLeft" activeCell="F37" sqref="F3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474</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93"/>
      <c r="B5" s="2394"/>
      <c r="C5" s="2394"/>
      <c r="D5" s="2394"/>
      <c r="E5" s="2394"/>
      <c r="F5" s="2394"/>
    </row>
    <row r="6" spans="1:9" ht="13.5" customHeight="1" thickBot="1" x14ac:dyDescent="0.25">
      <c r="A6" s="2384" t="s">
        <v>1094</v>
      </c>
      <c r="B6" s="2385"/>
      <c r="C6" s="2385"/>
      <c r="D6" s="2385"/>
      <c r="E6" s="2385"/>
      <c r="F6" s="2386"/>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2">
        <f>'Expenditures 15-22'!K114</f>
        <v>57879986</v>
      </c>
      <c r="G8" s="701"/>
    </row>
    <row r="9" spans="1:9" x14ac:dyDescent="0.2">
      <c r="A9" s="705" t="s">
        <v>457</v>
      </c>
      <c r="B9" s="706" t="s">
        <v>1842</v>
      </c>
      <c r="C9" s="707"/>
      <c r="D9" s="705" t="s">
        <v>498</v>
      </c>
      <c r="E9" s="704"/>
      <c r="F9" s="1763">
        <f>'Expenditures 15-22'!K151</f>
        <v>6826919</v>
      </c>
      <c r="G9" s="708"/>
    </row>
    <row r="10" spans="1:9" x14ac:dyDescent="0.2">
      <c r="A10" s="705" t="s">
        <v>496</v>
      </c>
      <c r="B10" s="706" t="s">
        <v>1843</v>
      </c>
      <c r="C10" s="707"/>
      <c r="D10" s="705" t="s">
        <v>498</v>
      </c>
      <c r="E10" s="704"/>
      <c r="F10" s="1763">
        <f>'Expenditures 15-22'!K174</f>
        <v>467250</v>
      </c>
      <c r="G10" s="708"/>
    </row>
    <row r="11" spans="1:9" x14ac:dyDescent="0.2">
      <c r="A11" s="705" t="s">
        <v>458</v>
      </c>
      <c r="B11" s="706" t="s">
        <v>1844</v>
      </c>
      <c r="C11" s="707"/>
      <c r="D11" s="705" t="s">
        <v>498</v>
      </c>
      <c r="E11" s="704"/>
      <c r="F11" s="1763">
        <f>'Expenditures 15-22'!K210</f>
        <v>1057140</v>
      </c>
      <c r="G11" s="708"/>
    </row>
    <row r="12" spans="1:9" x14ac:dyDescent="0.2">
      <c r="A12" s="705" t="s">
        <v>459</v>
      </c>
      <c r="B12" s="706" t="s">
        <v>1845</v>
      </c>
      <c r="C12" s="707"/>
      <c r="D12" s="705" t="s">
        <v>498</v>
      </c>
      <c r="E12" s="704"/>
      <c r="F12" s="1763">
        <f>'Expenditures 15-22'!K295</f>
        <v>1399718</v>
      </c>
      <c r="G12" s="708"/>
    </row>
    <row r="13" spans="1:9" x14ac:dyDescent="0.2">
      <c r="A13" s="705" t="s">
        <v>106</v>
      </c>
      <c r="B13" s="706" t="s">
        <v>1846</v>
      </c>
      <c r="C13" s="707"/>
      <c r="D13" s="705" t="s">
        <v>498</v>
      </c>
      <c r="E13" s="704"/>
      <c r="F13" s="1763">
        <f>'Expenditures 15-22'!K342</f>
        <v>0</v>
      </c>
      <c r="G13" s="709"/>
    </row>
    <row r="14" spans="1:9" ht="12" customHeight="1" thickBot="1" x14ac:dyDescent="0.25">
      <c r="A14" s="1435"/>
      <c r="B14" s="1436"/>
      <c r="C14" s="1437"/>
      <c r="D14" s="1438" t="s">
        <v>498</v>
      </c>
      <c r="E14" s="1439" t="s">
        <v>951</v>
      </c>
      <c r="F14" s="1764">
        <f>SUM(F8:F13)</f>
        <v>67631013</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1002</v>
      </c>
      <c r="C18" s="711">
        <f>'Revenues 9-14'!B43</f>
        <v>1412</v>
      </c>
      <c r="D18" s="712" t="str">
        <f>'Revenues 9-14'!A43</f>
        <v>Regular - Transp Fees from Other Districts (In State)</v>
      </c>
      <c r="E18" s="704" t="s">
        <v>951</v>
      </c>
      <c r="F18" s="1767">
        <f>'Revenues 9-14'!F43</f>
        <v>0</v>
      </c>
      <c r="G18" s="701"/>
    </row>
    <row r="19" spans="1:7" x14ac:dyDescent="0.2">
      <c r="A19" s="705" t="s">
        <v>458</v>
      </c>
      <c r="B19" s="706" t="s">
        <v>1003</v>
      </c>
      <c r="C19" s="713">
        <f>'Revenues 9-14'!B47</f>
        <v>1421</v>
      </c>
      <c r="D19" s="714" t="str">
        <f>'Revenues 9-14'!A47</f>
        <v>Summer Sch - Transp. Fees from Pupils or Parents (In State)</v>
      </c>
      <c r="E19" s="715"/>
      <c r="F19" s="1768">
        <f>'Revenues 9-14'!F47</f>
        <v>0</v>
      </c>
      <c r="G19" s="701"/>
    </row>
    <row r="20" spans="1:7" x14ac:dyDescent="0.2">
      <c r="A20" s="705" t="s">
        <v>458</v>
      </c>
      <c r="B20" s="706" t="s">
        <v>1004</v>
      </c>
      <c r="C20" s="711">
        <f>'Revenues 9-14'!B48</f>
        <v>1422</v>
      </c>
      <c r="D20" s="712" t="str">
        <f>'Revenues 9-14'!A48</f>
        <v>Summer Sch - Transp. Fees from Other Districts (In State)</v>
      </c>
      <c r="E20" s="704"/>
      <c r="F20" s="1769">
        <f>'Revenues 9-14'!F48</f>
        <v>0</v>
      </c>
      <c r="G20" s="701"/>
    </row>
    <row r="21" spans="1:7" x14ac:dyDescent="0.2">
      <c r="A21" s="705" t="s">
        <v>458</v>
      </c>
      <c r="B21" s="706" t="s">
        <v>1005</v>
      </c>
      <c r="C21" s="713">
        <f>'Revenues 9-14'!B49</f>
        <v>1423</v>
      </c>
      <c r="D21" s="712" t="str">
        <f>'Revenues 9-14'!A49</f>
        <v>Summer Sch - Transp. Fees from Other Sources (In State)</v>
      </c>
      <c r="E21" s="704"/>
      <c r="F21" s="1770">
        <f>'Revenues 9-14'!F49</f>
        <v>0</v>
      </c>
      <c r="G21" s="701"/>
    </row>
    <row r="22" spans="1:7" x14ac:dyDescent="0.2">
      <c r="A22" s="705" t="s">
        <v>458</v>
      </c>
      <c r="B22" s="706" t="s">
        <v>1006</v>
      </c>
      <c r="C22" s="713">
        <f>'Revenues 9-14'!B50</f>
        <v>1424</v>
      </c>
      <c r="D22" s="712" t="str">
        <f>'Revenues 9-14'!A50</f>
        <v>Summer Sch - Transp. Fees from Other Sources (Out of State)</v>
      </c>
      <c r="E22" s="704"/>
      <c r="F22" s="1770">
        <f>'Revenues 9-14'!F50</f>
        <v>0</v>
      </c>
      <c r="G22" s="701"/>
    </row>
    <row r="23" spans="1:7" x14ac:dyDescent="0.2">
      <c r="A23" s="705" t="s">
        <v>458</v>
      </c>
      <c r="B23" s="706" t="s">
        <v>1007</v>
      </c>
      <c r="C23" s="711">
        <f>'Revenues 9-14'!B52</f>
        <v>1432</v>
      </c>
      <c r="D23" s="712" t="str">
        <f>'Revenues 9-14'!A52</f>
        <v>CTE - Transp Fees from Other Districts (In State)</v>
      </c>
      <c r="E23" s="704"/>
      <c r="F23" s="1770">
        <f>'Revenues 9-14'!F52</f>
        <v>0</v>
      </c>
      <c r="G23" s="701"/>
    </row>
    <row r="24" spans="1:7" x14ac:dyDescent="0.2">
      <c r="A24" s="705" t="s">
        <v>458</v>
      </c>
      <c r="B24" s="706" t="s">
        <v>1008</v>
      </c>
      <c r="C24" s="711">
        <f>'Revenues 9-14'!B56</f>
        <v>1442</v>
      </c>
      <c r="D24" s="712" t="str">
        <f>'Revenues 9-14'!A56</f>
        <v>Special Ed - Transp Fees from Other Districts (In State)</v>
      </c>
      <c r="E24" s="704"/>
      <c r="F24" s="1770">
        <f>'Revenues 9-14'!F56</f>
        <v>0</v>
      </c>
      <c r="G24" s="701"/>
    </row>
    <row r="25" spans="1:7" x14ac:dyDescent="0.2">
      <c r="A25" s="705" t="s">
        <v>458</v>
      </c>
      <c r="B25" s="706" t="s">
        <v>1009</v>
      </c>
      <c r="C25" s="711">
        <f>'Revenues 9-14'!B59</f>
        <v>1451</v>
      </c>
      <c r="D25" s="712" t="str">
        <f>'Revenues 9-14'!A59</f>
        <v>Adult - Transp Fees from Pupils or Parents (In State)</v>
      </c>
      <c r="E25" s="704"/>
      <c r="F25" s="1770">
        <f>'Revenues 9-14'!F59</f>
        <v>0</v>
      </c>
      <c r="G25" s="701"/>
    </row>
    <row r="26" spans="1:7" x14ac:dyDescent="0.2">
      <c r="A26" s="705" t="s">
        <v>458</v>
      </c>
      <c r="B26" s="706" t="s">
        <v>1010</v>
      </c>
      <c r="C26" s="711">
        <f>'Revenues 9-14'!B60</f>
        <v>1452</v>
      </c>
      <c r="D26" s="712" t="str">
        <f>'Revenues 9-14'!A60</f>
        <v>Adult - Transp Fees from Other Districts (In State)</v>
      </c>
      <c r="E26" s="704"/>
      <c r="F26" s="1770">
        <f>'Revenues 9-14'!F60</f>
        <v>0</v>
      </c>
      <c r="G26" s="701"/>
    </row>
    <row r="27" spans="1:7" x14ac:dyDescent="0.2">
      <c r="A27" s="705" t="s">
        <v>458</v>
      </c>
      <c r="B27" s="706" t="s">
        <v>1011</v>
      </c>
      <c r="C27" s="711">
        <f>'Revenues 9-14'!B61</f>
        <v>1453</v>
      </c>
      <c r="D27" s="712" t="str">
        <f>'Revenues 9-14'!A61</f>
        <v>Adult - Transp Fees from Other Sources (In State)</v>
      </c>
      <c r="E27" s="704"/>
      <c r="F27" s="1770">
        <f>'Revenues 9-14'!F61</f>
        <v>0</v>
      </c>
      <c r="G27" s="701"/>
    </row>
    <row r="28" spans="1:7" x14ac:dyDescent="0.2">
      <c r="A28" s="705" t="s">
        <v>458</v>
      </c>
      <c r="B28" s="706" t="s">
        <v>1012</v>
      </c>
      <c r="C28" s="711">
        <f>'Revenues 9-14'!B62</f>
        <v>1454</v>
      </c>
      <c r="D28" s="712" t="str">
        <f>'Revenues 9-14'!A62</f>
        <v>Adult - Transp Fees from Other Sources (Out of State)</v>
      </c>
      <c r="E28" s="704"/>
      <c r="F28" s="1770">
        <f>'Revenues 9-14'!F62</f>
        <v>0</v>
      </c>
      <c r="G28" s="701"/>
    </row>
    <row r="29" spans="1:7" x14ac:dyDescent="0.2">
      <c r="A29" s="705" t="s">
        <v>1087</v>
      </c>
      <c r="B29" s="706" t="s">
        <v>804</v>
      </c>
      <c r="C29" s="716">
        <f>'Revenues 9-14'!B149</f>
        <v>3410</v>
      </c>
      <c r="D29" s="717" t="str">
        <f>'Revenues 9-14'!A149</f>
        <v>Adult Ed (from ICCB)</v>
      </c>
      <c r="E29" s="704"/>
      <c r="F29" s="1770">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1">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0">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1903</v>
      </c>
      <c r="C33" s="711">
        <f>'Revenues 9-14'!B222</f>
        <v>4810</v>
      </c>
      <c r="D33" s="718" t="str">
        <f>'Revenues 9-14'!A222</f>
        <v>Federal - Adult Education</v>
      </c>
      <c r="E33" s="704"/>
      <c r="F33" s="1770">
        <f>'Revenues 9-14'!D222</f>
        <v>0</v>
      </c>
      <c r="G33" s="701"/>
    </row>
    <row r="34" spans="1:7" x14ac:dyDescent="0.2">
      <c r="A34" s="705" t="s">
        <v>456</v>
      </c>
      <c r="B34" s="705" t="s">
        <v>1449</v>
      </c>
      <c r="C34" s="721" t="str">
        <f>'Expenditures 15-22'!B7</f>
        <v>1125</v>
      </c>
      <c r="D34" s="722" t="str">
        <f>'Expenditures 15-22'!A7</f>
        <v>Pre-K Programs</v>
      </c>
      <c r="E34" s="704"/>
      <c r="F34" s="1770">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0">
        <f>'Expenditures 15-22'!K9-SUM('Expenditures 15-22'!G9+'Expenditures 15-22'!I9)</f>
        <v>1074515</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0">
        <f>'Expenditures 15-22'!K15-SUM('Expenditures 15-22'!G15,'Expenditures 15-22'!I15)</f>
        <v>585513</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799248</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1454</v>
      </c>
      <c r="C52" s="724" t="str">
        <f>'Expenditures 15-22'!B75</f>
        <v>3000</v>
      </c>
      <c r="D52" s="723" t="s">
        <v>446</v>
      </c>
      <c r="E52" s="704"/>
      <c r="F52" s="1770">
        <f>'Expenditures 15-22'!K75-SUM('Expenditures 15-22'!G75,'Expenditures 15-22'!I75)</f>
        <v>451</v>
      </c>
      <c r="G52" s="701"/>
    </row>
    <row r="53" spans="1:7" x14ac:dyDescent="0.2">
      <c r="A53" s="705" t="s">
        <v>456</v>
      </c>
      <c r="B53" s="705" t="s">
        <v>1455</v>
      </c>
      <c r="C53" s="724">
        <f>'Expenditures 15-22'!B102</f>
        <v>4000</v>
      </c>
      <c r="D53" s="723" t="str">
        <f>'Expenditures 15-22'!A102</f>
        <v>Total Payments to Other Govt Units</v>
      </c>
      <c r="E53" s="704"/>
      <c r="F53" s="1770">
        <f>'Expenditures 15-22'!K102</f>
        <v>10788584</v>
      </c>
      <c r="G53" s="701"/>
    </row>
    <row r="54" spans="1:7" x14ac:dyDescent="0.2">
      <c r="A54" s="705" t="s">
        <v>456</v>
      </c>
      <c r="B54" s="705" t="s">
        <v>1456</v>
      </c>
      <c r="C54" s="724" t="s">
        <v>974</v>
      </c>
      <c r="D54" s="720" t="s">
        <v>1085</v>
      </c>
      <c r="E54" s="704"/>
      <c r="F54" s="1770">
        <f>'Expenditures 15-22'!G114</f>
        <v>163163</v>
      </c>
      <c r="G54" s="701"/>
    </row>
    <row r="55" spans="1:7" x14ac:dyDescent="0.2">
      <c r="A55" s="705" t="s">
        <v>456</v>
      </c>
      <c r="B55" s="705" t="s">
        <v>1457</v>
      </c>
      <c r="C55" s="724" t="s">
        <v>974</v>
      </c>
      <c r="D55" s="720" t="s">
        <v>288</v>
      </c>
      <c r="E55" s="704"/>
      <c r="F55" s="1770">
        <f>'Expenditures 15-22'!I114</f>
        <v>244769</v>
      </c>
      <c r="G55" s="701"/>
    </row>
    <row r="56" spans="1:7" x14ac:dyDescent="0.2">
      <c r="A56" s="705" t="s">
        <v>457</v>
      </c>
      <c r="B56" s="705" t="s">
        <v>1458</v>
      </c>
      <c r="C56" s="721" t="str">
        <f>'Expenditures 15-22'!B130</f>
        <v>3000</v>
      </c>
      <c r="D56" s="727" t="s">
        <v>446</v>
      </c>
      <c r="E56" s="704"/>
      <c r="F56" s="1770">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0">
        <f>'Expenditures 15-22'!K139</f>
        <v>0</v>
      </c>
      <c r="G57" s="701"/>
    </row>
    <row r="58" spans="1:7" x14ac:dyDescent="0.2">
      <c r="A58" s="705" t="s">
        <v>457</v>
      </c>
      <c r="B58" s="705" t="s">
        <v>1848</v>
      </c>
      <c r="C58" s="721" t="s">
        <v>974</v>
      </c>
      <c r="D58" s="720" t="s">
        <v>1085</v>
      </c>
      <c r="E58" s="704"/>
      <c r="F58" s="1772">
        <f>'Expenditures 15-22'!G151</f>
        <v>4451984</v>
      </c>
      <c r="G58" s="701"/>
    </row>
    <row r="59" spans="1:7" x14ac:dyDescent="0.2">
      <c r="A59" s="728" t="s">
        <v>457</v>
      </c>
      <c r="B59" s="692" t="s">
        <v>1849</v>
      </c>
      <c r="C59" s="729" t="s">
        <v>974</v>
      </c>
      <c r="D59" s="692" t="s">
        <v>288</v>
      </c>
      <c r="F59" s="1773">
        <f>'Expenditures 15-22'!I151</f>
        <v>0</v>
      </c>
      <c r="G59" s="701"/>
    </row>
    <row r="60" spans="1:7" x14ac:dyDescent="0.2">
      <c r="A60" s="728" t="s">
        <v>496</v>
      </c>
      <c r="B60" s="692" t="s">
        <v>1850</v>
      </c>
      <c r="C60" s="729">
        <v>4000</v>
      </c>
      <c r="D60" s="692" t="s">
        <v>309</v>
      </c>
      <c r="F60" s="1771">
        <f>'Expenditures 15-22'!K160</f>
        <v>0</v>
      </c>
      <c r="G60" s="701"/>
    </row>
    <row r="61" spans="1:7" x14ac:dyDescent="0.2">
      <c r="A61" s="730" t="s">
        <v>496</v>
      </c>
      <c r="B61" s="730" t="s">
        <v>1851</v>
      </c>
      <c r="C61" s="731" t="str">
        <f>'Expenditures 15-22'!B170</f>
        <v>5300</v>
      </c>
      <c r="D61" s="732" t="s">
        <v>308</v>
      </c>
      <c r="E61" s="715"/>
      <c r="F61" s="1770">
        <f>'Expenditures 15-22'!K170</f>
        <v>350000</v>
      </c>
      <c r="G61" s="701"/>
    </row>
    <row r="62" spans="1:7" x14ac:dyDescent="0.2">
      <c r="A62" s="705" t="s">
        <v>458</v>
      </c>
      <c r="B62" s="705" t="s">
        <v>1852</v>
      </c>
      <c r="C62" s="721">
        <f>'Expenditures 15-22'!B185</f>
        <v>3000</v>
      </c>
      <c r="D62" s="712" t="s">
        <v>446</v>
      </c>
      <c r="E62" s="704"/>
      <c r="F62" s="1770">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0">
        <f>'Expenditures 15-22'!K196</f>
        <v>0</v>
      </c>
      <c r="G63" s="701"/>
    </row>
    <row r="64" spans="1:7" x14ac:dyDescent="0.2">
      <c r="A64" s="730" t="s">
        <v>458</v>
      </c>
      <c r="B64" s="730" t="s">
        <v>1854</v>
      </c>
      <c r="C64" s="731" t="str">
        <f>'Expenditures 15-22'!B206</f>
        <v>5300</v>
      </c>
      <c r="D64" s="727" t="s">
        <v>308</v>
      </c>
      <c r="E64" s="704"/>
      <c r="F64" s="1770">
        <f>'Expenditures 15-22'!K206</f>
        <v>0</v>
      </c>
      <c r="G64" s="701"/>
    </row>
    <row r="65" spans="1:9" x14ac:dyDescent="0.2">
      <c r="A65" s="705" t="s">
        <v>458</v>
      </c>
      <c r="B65" s="705" t="s">
        <v>1855</v>
      </c>
      <c r="C65" s="721" t="s">
        <v>974</v>
      </c>
      <c r="D65" s="720" t="s">
        <v>1085</v>
      </c>
      <c r="E65" s="704"/>
      <c r="F65" s="1770">
        <f>'Expenditures 15-22'!G210</f>
        <v>0</v>
      </c>
      <c r="G65" s="701"/>
    </row>
    <row r="66" spans="1:9" x14ac:dyDescent="0.2">
      <c r="A66" s="705" t="s">
        <v>458</v>
      </c>
      <c r="B66" s="705" t="s">
        <v>1856</v>
      </c>
      <c r="C66" s="721" t="s">
        <v>974</v>
      </c>
      <c r="D66" s="720" t="s">
        <v>288</v>
      </c>
      <c r="E66" s="704"/>
      <c r="F66" s="1770">
        <f>'Expenditures 15-22'!I210</f>
        <v>0</v>
      </c>
      <c r="G66" s="701"/>
    </row>
    <row r="67" spans="1:9" x14ac:dyDescent="0.2">
      <c r="A67" s="705" t="s">
        <v>459</v>
      </c>
      <c r="B67" s="705" t="s">
        <v>1857</v>
      </c>
      <c r="C67" s="721" t="str">
        <f>'Expenditures 15-22'!B216</f>
        <v>1125</v>
      </c>
      <c r="D67" s="727" t="str">
        <f>'Expenditures 15-22'!A216</f>
        <v>Pre-K Programs</v>
      </c>
      <c r="E67" s="704"/>
      <c r="F67" s="1770">
        <f>'Expenditures 15-22'!K216</f>
        <v>0</v>
      </c>
      <c r="G67" s="701"/>
    </row>
    <row r="68" spans="1:9" x14ac:dyDescent="0.2">
      <c r="A68" s="705" t="s">
        <v>459</v>
      </c>
      <c r="B68" s="705" t="s">
        <v>1459</v>
      </c>
      <c r="C68" s="721" t="str">
        <f>'Expenditures 15-22'!B218</f>
        <v>1225</v>
      </c>
      <c r="D68" s="727" t="str">
        <f>'Expenditures 15-22'!A218</f>
        <v>Special Education Programs - Pre-K</v>
      </c>
      <c r="E68" s="704"/>
      <c r="F68" s="1770">
        <f>'Expenditures 15-22'!K218</f>
        <v>35762</v>
      </c>
      <c r="G68" s="701"/>
    </row>
    <row r="69" spans="1:9" x14ac:dyDescent="0.2">
      <c r="A69" s="705" t="s">
        <v>459</v>
      </c>
      <c r="B69" s="705" t="s">
        <v>1858</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1859</v>
      </c>
      <c r="C70" s="721">
        <f>'Expenditures 15-22'!B221</f>
        <v>1300</v>
      </c>
      <c r="D70" s="722" t="str">
        <f>'Expenditures 15-22'!A221</f>
        <v>Adult/Continuing Education Programs</v>
      </c>
      <c r="E70" s="704"/>
      <c r="F70" s="1770">
        <f>'Expenditures 15-22'!K221</f>
        <v>0</v>
      </c>
      <c r="G70" s="701"/>
    </row>
    <row r="71" spans="1:9" x14ac:dyDescent="0.2">
      <c r="A71" s="705" t="s">
        <v>459</v>
      </c>
      <c r="B71" s="705" t="s">
        <v>1860</v>
      </c>
      <c r="C71" s="721">
        <f>'Expenditures 15-22'!B224</f>
        <v>1600</v>
      </c>
      <c r="D71" s="722" t="str">
        <f>'Expenditures 15-22'!A224</f>
        <v>Summer School Programs</v>
      </c>
      <c r="E71" s="704"/>
      <c r="F71" s="1770">
        <f>'Expenditures 15-22'!K224</f>
        <v>16093</v>
      </c>
      <c r="G71" s="701"/>
    </row>
    <row r="72" spans="1:9" x14ac:dyDescent="0.2">
      <c r="A72" s="705" t="s">
        <v>459</v>
      </c>
      <c r="B72" s="705" t="s">
        <v>1861</v>
      </c>
      <c r="C72" s="721">
        <f>'Expenditures 15-22'!B280</f>
        <v>3000</v>
      </c>
      <c r="D72" s="712" t="s">
        <v>446</v>
      </c>
      <c r="E72" s="704"/>
      <c r="F72" s="1770">
        <f>'Expenditures 15-22'!K280</f>
        <v>0</v>
      </c>
      <c r="G72" s="701"/>
    </row>
    <row r="73" spans="1:9" x14ac:dyDescent="0.2">
      <c r="A73" s="705" t="s">
        <v>459</v>
      </c>
      <c r="B73" s="705" t="s">
        <v>1862</v>
      </c>
      <c r="C73" s="721" t="str">
        <f>'Expenditures 15-22'!B285</f>
        <v>4000</v>
      </c>
      <c r="D73" s="722" t="str">
        <f>'Expenditures 15-22'!A285</f>
        <v>Total Payments to Other Govt Units</v>
      </c>
      <c r="E73" s="704"/>
      <c r="F73" s="1770">
        <f>'Expenditures 15-22'!K285</f>
        <v>0</v>
      </c>
      <c r="G73" s="701"/>
    </row>
    <row r="74" spans="1:9" x14ac:dyDescent="0.2">
      <c r="A74" s="705" t="s">
        <v>433</v>
      </c>
      <c r="B74" s="705" t="s">
        <v>1863</v>
      </c>
      <c r="C74" s="721" t="s">
        <v>854</v>
      </c>
      <c r="D74" s="722" t="s">
        <v>1467</v>
      </c>
      <c r="E74" s="704"/>
      <c r="F74" s="1774">
        <f>'Expenditures 15-22'!K334</f>
        <v>0</v>
      </c>
      <c r="G74" s="701"/>
    </row>
    <row r="75" spans="1:9" x14ac:dyDescent="0.2">
      <c r="A75" s="705" t="s">
        <v>2002</v>
      </c>
      <c r="B75" s="705" t="s">
        <v>2003</v>
      </c>
      <c r="C75" s="721" t="s">
        <v>974</v>
      </c>
      <c r="D75" s="722" t="s">
        <v>1085</v>
      </c>
      <c r="E75" s="704"/>
      <c r="F75" s="1774">
        <f>'Expenditures 15-22'!G342</f>
        <v>0</v>
      </c>
      <c r="G75" s="701"/>
    </row>
    <row r="76" spans="1:9" ht="10.5" customHeight="1" x14ac:dyDescent="0.2">
      <c r="A76" s="701" t="s">
        <v>433</v>
      </c>
      <c r="B76" s="705" t="s">
        <v>2004</v>
      </c>
      <c r="C76" s="711" t="s">
        <v>974</v>
      </c>
      <c r="D76" s="701" t="s">
        <v>288</v>
      </c>
      <c r="E76" s="704"/>
      <c r="F76" s="1774">
        <f>'Expenditures 15-22'!I342</f>
        <v>0</v>
      </c>
      <c r="G76" s="703"/>
    </row>
    <row r="77" spans="1:9" ht="12" thickBot="1" x14ac:dyDescent="0.25">
      <c r="A77" s="1435"/>
      <c r="B77" s="1440"/>
      <c r="C77" s="1437"/>
      <c r="D77" s="1441" t="s">
        <v>2005</v>
      </c>
      <c r="E77" s="1439" t="s">
        <v>951</v>
      </c>
      <c r="F77" s="1775">
        <f>SUM(F18:F76)</f>
        <v>18510082</v>
      </c>
      <c r="G77" s="701"/>
    </row>
    <row r="78" spans="1:9" s="728" customFormat="1" ht="12" customHeight="1" thickTop="1" thickBot="1" x14ac:dyDescent="0.25">
      <c r="A78" s="1442"/>
      <c r="B78" s="1440"/>
      <c r="C78" s="1437"/>
      <c r="D78" s="1441" t="s">
        <v>2006</v>
      </c>
      <c r="E78" s="1439"/>
      <c r="F78" s="1776">
        <f>(F14-F77)</f>
        <v>49120931</v>
      </c>
      <c r="G78" s="705"/>
    </row>
    <row r="79" spans="1:9" s="728" customFormat="1" ht="12" customHeight="1" thickTop="1" x14ac:dyDescent="0.2">
      <c r="A79" s="1443"/>
      <c r="B79" s="1440"/>
      <c r="C79" s="1437"/>
      <c r="D79" s="1787" t="str">
        <f>"9 Month ADA from Average Daily Attendance - Student Information System (SIS) in IWAS-preliminary ADA "&amp;'AFR20'!$E$2-1&amp;"-"&amp;'AFR20'!$E$2</f>
        <v>9 Month ADA from Average Daily Attendance - Student Information System (SIS) in IWAS-preliminary ADA 2019-2020</v>
      </c>
      <c r="E79" s="1439"/>
      <c r="F79" s="1777">
        <v>0</v>
      </c>
      <c r="G79" s="733"/>
      <c r="H79" s="705"/>
      <c r="I79" s="705"/>
    </row>
    <row r="80" spans="1:9" s="728" customFormat="1" ht="12" customHeight="1" thickBot="1" x14ac:dyDescent="0.25">
      <c r="A80" s="1444"/>
      <c r="B80" s="1440"/>
      <c r="C80" s="1437"/>
      <c r="D80" s="1441" t="s">
        <v>2007</v>
      </c>
      <c r="E80" s="1439" t="s">
        <v>951</v>
      </c>
      <c r="F80" s="1778" t="str">
        <f>IF(F79&gt;0,F78/F79," Complete Line 79")</f>
        <v xml:space="preserve"> Complete Line 79</v>
      </c>
      <c r="G80" s="705"/>
    </row>
    <row r="81" spans="1:7" s="728" customFormat="1" ht="8.25" customHeight="1" thickTop="1" x14ac:dyDescent="0.2">
      <c r="A81" s="734"/>
      <c r="B81" s="705"/>
      <c r="C81" s="707"/>
      <c r="D81" s="735"/>
      <c r="E81" s="704"/>
      <c r="F81" s="1779"/>
      <c r="G81" s="705"/>
    </row>
    <row r="82" spans="1:7" s="728" customFormat="1" ht="12" thickBot="1" x14ac:dyDescent="0.25">
      <c r="A82" s="2384" t="s">
        <v>1095</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13734</v>
      </c>
      <c r="G95" s="745"/>
    </row>
    <row r="96" spans="1:7" x14ac:dyDescent="0.2">
      <c r="A96" s="741" t="s">
        <v>139</v>
      </c>
      <c r="B96" s="741" t="s">
        <v>174</v>
      </c>
      <c r="C96" s="743">
        <v>1700</v>
      </c>
      <c r="D96" s="751" t="str">
        <f>'Revenues 9-14'!A82</f>
        <v>Total District/School Activity Income</v>
      </c>
      <c r="E96" s="739"/>
      <c r="F96" s="1781">
        <f>SUM('Revenues 9-14'!C82,'Revenues 9-14'!D82)</f>
        <v>100</v>
      </c>
      <c r="G96" s="745"/>
    </row>
    <row r="97" spans="1:7" x14ac:dyDescent="0.2">
      <c r="A97" s="741" t="s">
        <v>456</v>
      </c>
      <c r="B97" s="741" t="s">
        <v>175</v>
      </c>
      <c r="C97" s="743">
        <f>'Revenues 9-14'!B84</f>
        <v>1811</v>
      </c>
      <c r="D97" s="744" t="str">
        <f>'Revenues 9-14'!A84</f>
        <v>Rentals - Regular Textbooks</v>
      </c>
      <c r="E97" s="739"/>
      <c r="F97" s="1781">
        <f>'Revenues 9-14'!C84</f>
        <v>0</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0</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0</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2532508</v>
      </c>
      <c r="G103" s="745"/>
    </row>
    <row r="104" spans="1:7" x14ac:dyDescent="0.2">
      <c r="A104" s="741" t="s">
        <v>1001</v>
      </c>
      <c r="B104" s="741" t="s">
        <v>795</v>
      </c>
      <c r="C104" s="743">
        <f>'Revenues 9-14'!B104</f>
        <v>1991</v>
      </c>
      <c r="D104" s="752" t="str">
        <f>'Revenues 9-14'!A104</f>
        <v>Payment from Other Districts</v>
      </c>
      <c r="E104" s="739"/>
      <c r="F104" s="1781">
        <f>SUM('Revenues 9-14'!C104,'Revenues 9-14'!D104,'Revenues 9-14'!E104,'Revenues 9-14'!F104,'Revenues 9-14'!G104)</f>
        <v>4584863</v>
      </c>
      <c r="G104" s="745"/>
    </row>
    <row r="105" spans="1:7" x14ac:dyDescent="0.2">
      <c r="A105" s="741" t="s">
        <v>456</v>
      </c>
      <c r="B105" s="741" t="s">
        <v>802</v>
      </c>
      <c r="C105" s="743">
        <f>'Revenues 9-14'!B106</f>
        <v>1993</v>
      </c>
      <c r="D105" s="744" t="str">
        <f>'Revenues 9-14'!A106</f>
        <v>Other Local Fees (Describe &amp; Itemize)</v>
      </c>
      <c r="E105" s="739"/>
      <c r="F105" s="1781">
        <f>('Revenues 9-14'!C106)</f>
        <v>2289700</v>
      </c>
      <c r="G105" s="745"/>
    </row>
    <row r="106" spans="1:7" x14ac:dyDescent="0.2">
      <c r="A106" s="741" t="s">
        <v>500</v>
      </c>
      <c r="B106" s="741" t="s">
        <v>1904</v>
      </c>
      <c r="C106" s="746">
        <v>3100</v>
      </c>
      <c r="D106" s="752" t="str">
        <f>'Revenues 9-14'!A132</f>
        <v>Total Special Education</v>
      </c>
      <c r="E106" s="739"/>
      <c r="F106" s="1781">
        <f>SUM('Revenues 9-14'!C132:D132,'Revenues 9-14'!F132)</f>
        <v>0</v>
      </c>
      <c r="G106" s="745"/>
    </row>
    <row r="107" spans="1:7" x14ac:dyDescent="0.2">
      <c r="A107" s="741" t="s">
        <v>668</v>
      </c>
      <c r="B107" s="741" t="s">
        <v>1905</v>
      </c>
      <c r="C107" s="753">
        <v>3200</v>
      </c>
      <c r="D107" s="744" t="str">
        <f>'Revenues 9-14'!A141</f>
        <v>Total Career and Technical Education</v>
      </c>
      <c r="E107" s="739"/>
      <c r="F107" s="1781">
        <f>SUM('Revenues 9-14'!C141,'Revenues 9-14'!D141,'Revenues 9-14'!G141)</f>
        <v>0</v>
      </c>
      <c r="G107" s="745"/>
    </row>
    <row r="108" spans="1:7" x14ac:dyDescent="0.2">
      <c r="A108" s="754" t="s">
        <v>659</v>
      </c>
      <c r="B108" s="741" t="s">
        <v>1906</v>
      </c>
      <c r="C108" s="753">
        <v>3300</v>
      </c>
      <c r="D108" s="744" t="str">
        <f>'Revenues 9-14'!A145</f>
        <v>Total Bilingual Ed</v>
      </c>
      <c r="E108" s="739"/>
      <c r="F108" s="1781">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1">
        <f>'Revenues 9-14'!C146</f>
        <v>3473</v>
      </c>
      <c r="G109" s="745"/>
    </row>
    <row r="110" spans="1:7" x14ac:dyDescent="0.2">
      <c r="A110" s="741" t="s">
        <v>668</v>
      </c>
      <c r="B110" s="741" t="s">
        <v>1908</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1">
        <f>SUM('Revenues 9-14'!C148,'Revenues 9-14'!D148)</f>
        <v>0</v>
      </c>
      <c r="G111" s="745"/>
    </row>
    <row r="112" spans="1:7" x14ac:dyDescent="0.2">
      <c r="A112" s="741" t="s">
        <v>663</v>
      </c>
      <c r="B112" s="741" t="s">
        <v>1910</v>
      </c>
      <c r="C112" s="755">
        <v>3500</v>
      </c>
      <c r="D112" s="744" t="str">
        <f>'Revenues 9-14'!A155</f>
        <v>Total Transportation</v>
      </c>
      <c r="E112" s="739"/>
      <c r="F112" s="1781">
        <f>SUM('Revenues 9-14'!C155,'Revenues 9-14'!D155,'Revenues 9-14'!F155,'Revenues 9-14'!G155)</f>
        <v>785311</v>
      </c>
      <c r="G112" s="745"/>
    </row>
    <row r="113" spans="1:7" x14ac:dyDescent="0.2">
      <c r="A113" s="741" t="s">
        <v>456</v>
      </c>
      <c r="B113" s="741" t="s">
        <v>1911</v>
      </c>
      <c r="C113" s="753">
        <f>'Revenues 9-14'!B156</f>
        <v>3610</v>
      </c>
      <c r="D113" s="744" t="str">
        <f>'Revenues 9-14'!A156</f>
        <v>Learning Improvement - Change Grants</v>
      </c>
      <c r="E113" s="739"/>
      <c r="F113" s="1781">
        <f>'Revenues 9-14'!C156</f>
        <v>0</v>
      </c>
      <c r="G113" s="745"/>
    </row>
    <row r="114" spans="1:7" x14ac:dyDescent="0.2">
      <c r="A114" s="741" t="s">
        <v>663</v>
      </c>
      <c r="B114" s="741" t="s">
        <v>1912</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0">
        <f>SUM('Revenues 9-14'!C163:G163)</f>
        <v>0</v>
      </c>
      <c r="G119" s="745"/>
    </row>
    <row r="120" spans="1:7" x14ac:dyDescent="0.2">
      <c r="A120" s="756" t="s">
        <v>501</v>
      </c>
      <c r="B120" s="756" t="s">
        <v>1918</v>
      </c>
      <c r="C120" s="757">
        <f>'Revenues 9-14'!B164</f>
        <v>3815</v>
      </c>
      <c r="D120" s="758" t="str">
        <f>'Revenues 9-14'!A164</f>
        <v>State Charter Schools</v>
      </c>
      <c r="E120" s="739"/>
      <c r="F120" s="1780">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1">
        <f>'Revenues 9-14'!D167</f>
        <v>0</v>
      </c>
      <c r="G121" s="763"/>
    </row>
    <row r="122" spans="1:7" x14ac:dyDescent="0.2">
      <c r="A122" s="760" t="s">
        <v>497</v>
      </c>
      <c r="B122" s="760" t="s">
        <v>1920</v>
      </c>
      <c r="C122" s="761">
        <f>'Revenues 9-14'!B168</f>
        <v>3999</v>
      </c>
      <c r="D122" s="762" t="s">
        <v>540</v>
      </c>
      <c r="E122" s="764"/>
      <c r="F122" s="1781">
        <f>SUM('Revenues 9-14'!C168:G168,'Revenues 9-14'!J168)</f>
        <v>450938</v>
      </c>
      <c r="G122" s="763"/>
    </row>
    <row r="123" spans="1:7" x14ac:dyDescent="0.2">
      <c r="A123" s="760" t="s">
        <v>456</v>
      </c>
      <c r="B123" s="760" t="s">
        <v>1921</v>
      </c>
      <c r="C123" s="765">
        <f>'Revenues 9-14'!B177</f>
        <v>4045</v>
      </c>
      <c r="D123" s="762" t="str">
        <f>'Revenues 9-14'!A177 &amp; " (Subtract)"</f>
        <v>Head Start (Subtract)</v>
      </c>
      <c r="E123" s="739"/>
      <c r="F123" s="1781">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1923</v>
      </c>
      <c r="C125" s="765">
        <v>4100</v>
      </c>
      <c r="D125" s="766" t="str">
        <f>'Revenues 9-14'!A188</f>
        <v>Total Title V</v>
      </c>
      <c r="E125" s="739"/>
      <c r="F125" s="1781">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1">
        <f>SUM('Revenues 9-14'!C198,'Revenues 9-14'!G198)</f>
        <v>162317</v>
      </c>
      <c r="G126" s="763"/>
    </row>
    <row r="127" spans="1:7" x14ac:dyDescent="0.2">
      <c r="A127" s="760" t="s">
        <v>663</v>
      </c>
      <c r="B127" s="760" t="s">
        <v>1925</v>
      </c>
      <c r="C127" s="765">
        <v>4300</v>
      </c>
      <c r="D127" s="766" t="str">
        <f>'Revenues 9-14'!A204</f>
        <v>Total Title I</v>
      </c>
      <c r="E127" s="739"/>
      <c r="F127" s="1781">
        <f>SUM('Revenues 9-14'!C204,'Revenues 9-14'!D204,'Revenues 9-14'!F204,'Revenues 9-14'!G204)</f>
        <v>0</v>
      </c>
      <c r="G127" s="763"/>
    </row>
    <row r="128" spans="1:7" x14ac:dyDescent="0.2">
      <c r="A128" s="760" t="s">
        <v>663</v>
      </c>
      <c r="B128" s="760" t="s">
        <v>1926</v>
      </c>
      <c r="C128" s="765">
        <v>4400</v>
      </c>
      <c r="D128" s="766" t="str">
        <f>'Revenues 9-14'!A209</f>
        <v>Total Title IV</v>
      </c>
      <c r="E128" s="739"/>
      <c r="F128" s="1781">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81">
        <f>SUM('Revenues 9-14'!C213:D213,'Revenues 9-14'!F213:G213)</f>
        <v>7764501</v>
      </c>
      <c r="G129" s="763"/>
    </row>
    <row r="130" spans="1:7" x14ac:dyDescent="0.2">
      <c r="A130" s="760" t="s">
        <v>663</v>
      </c>
      <c r="B130" s="760" t="s">
        <v>1928</v>
      </c>
      <c r="C130" s="765">
        <f>'Revenues 9-14'!B214</f>
        <v>4625</v>
      </c>
      <c r="D130" s="766" t="str">
        <f>'Revenues 9-14'!A214</f>
        <v>Fed - Spec Education - IDEA - Room &amp; Board</v>
      </c>
      <c r="E130" s="739"/>
      <c r="F130" s="1781">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1930</v>
      </c>
      <c r="C133" s="765">
        <v>4700</v>
      </c>
      <c r="D133" s="762" t="str">
        <f>'Revenues 9-14'!A221</f>
        <v>Total CTE - Perkins</v>
      </c>
      <c r="E133" s="739"/>
      <c r="F133" s="1781">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1">
        <v>0</v>
      </c>
      <c r="G139" s="738"/>
    </row>
    <row r="140" spans="1:7" s="703" customFormat="1" hidden="1" x14ac:dyDescent="0.2">
      <c r="A140" s="767" t="s">
        <v>204</v>
      </c>
      <c r="B140" s="767" t="s">
        <v>1937</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1397</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1945</v>
      </c>
      <c r="C158" s="773" t="s">
        <v>835</v>
      </c>
      <c r="D158" s="774" t="s">
        <v>771</v>
      </c>
      <c r="E158" s="775"/>
      <c r="F158" s="1781">
        <f>SUM(F134:F157)</f>
        <v>0</v>
      </c>
      <c r="G158" s="738"/>
    </row>
    <row r="159" spans="1:7" s="703" customFormat="1" x14ac:dyDescent="0.2">
      <c r="A159" s="771" t="s">
        <v>456</v>
      </c>
      <c r="B159" s="772" t="s">
        <v>1946</v>
      </c>
      <c r="C159" s="773" t="s">
        <v>1407</v>
      </c>
      <c r="D159" s="774" t="s">
        <v>1408</v>
      </c>
      <c r="E159" s="775"/>
      <c r="F159" s="1781">
        <f>SUM('Revenues 9-14'!C253)</f>
        <v>0</v>
      </c>
      <c r="G159" s="738"/>
    </row>
    <row r="160" spans="1:7" s="703" customFormat="1" x14ac:dyDescent="0.2">
      <c r="A160" s="771" t="s">
        <v>497</v>
      </c>
      <c r="B160" s="772" t="s">
        <v>1947</v>
      </c>
      <c r="C160" s="773" t="s">
        <v>1446</v>
      </c>
      <c r="D160" s="774" t="s">
        <v>1447</v>
      </c>
      <c r="E160" s="775"/>
      <c r="F160" s="1781">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1">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0">
        <f>SUM('Revenues 9-14'!C259,'Revenues 9-14'!D259,'Revenues 9-14'!F259,'Revenues 9-14'!G259)</f>
        <v>0</v>
      </c>
      <c r="G165" s="763"/>
    </row>
    <row r="166" spans="1:7" x14ac:dyDescent="0.2">
      <c r="A166" s="760" t="s">
        <v>663</v>
      </c>
      <c r="B166" s="760" t="s">
        <v>1953</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1">
        <f>SUM('Revenues 9-14'!C263:D263,'Revenues 9-14'!F263:G263)</f>
        <v>360550</v>
      </c>
      <c r="G169" s="780">
        <v>6320</v>
      </c>
    </row>
    <row r="170" spans="1:7" x14ac:dyDescent="0.2">
      <c r="A170" s="760" t="s">
        <v>663</v>
      </c>
      <c r="B170" s="760" t="s">
        <v>1955</v>
      </c>
      <c r="C170" s="765">
        <f>'Revenues 9-14'!B264</f>
        <v>4992</v>
      </c>
      <c r="D170" s="766" t="str">
        <f>'Revenues 9-14'!A264</f>
        <v>Medicaid Matching Funds - Fee-for-Service Program</v>
      </c>
      <c r="E170" s="739"/>
      <c r="F170" s="1781">
        <f>SUM('Revenues 9-14'!C264:D264,'Revenues 9-14'!F264:G264)</f>
        <v>95183</v>
      </c>
      <c r="G170" s="780"/>
    </row>
    <row r="171" spans="1:7" x14ac:dyDescent="0.2">
      <c r="A171" s="781" t="s">
        <v>663</v>
      </c>
      <c r="B171" s="777" t="s">
        <v>1956</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21" t="s">
        <v>5</v>
      </c>
      <c r="B172" s="1522" t="s">
        <v>1879</v>
      </c>
      <c r="C172" s="1523">
        <v>3100</v>
      </c>
      <c r="D172" s="1524" t="s">
        <v>1881</v>
      </c>
      <c r="E172" s="739"/>
      <c r="F172" s="1782"/>
      <c r="G172" s="760"/>
    </row>
    <row r="173" spans="1:7" x14ac:dyDescent="0.2">
      <c r="A173" s="1521" t="s">
        <v>659</v>
      </c>
      <c r="B173" s="1522" t="s">
        <v>1879</v>
      </c>
      <c r="C173" s="1523">
        <v>3300</v>
      </c>
      <c r="D173" s="1524" t="s">
        <v>1882</v>
      </c>
      <c r="E173" s="739"/>
      <c r="F173" s="1782"/>
      <c r="G173" s="760"/>
    </row>
    <row r="174" spans="1:7" ht="6" customHeight="1" x14ac:dyDescent="0.2">
      <c r="A174" s="760"/>
      <c r="B174" s="760"/>
      <c r="C174" s="782"/>
      <c r="D174" s="760"/>
      <c r="E174" s="739"/>
      <c r="F174" s="1783"/>
      <c r="G174" s="780"/>
    </row>
    <row r="175" spans="1:7" x14ac:dyDescent="0.2">
      <c r="A175" s="1435"/>
      <c r="B175" s="1445"/>
      <c r="C175" s="1446"/>
      <c r="D175" s="1447" t="s">
        <v>2010</v>
      </c>
      <c r="E175" s="1448" t="s">
        <v>951</v>
      </c>
      <c r="F175" s="1784">
        <f>SUM(F85:F133,F158:F173)</f>
        <v>19043178</v>
      </c>
    </row>
    <row r="176" spans="1:7" ht="12" customHeight="1" x14ac:dyDescent="0.2">
      <c r="A176" s="1435"/>
      <c r="B176" s="1445"/>
      <c r="C176" s="1446"/>
      <c r="D176" s="1447" t="s">
        <v>2008</v>
      </c>
      <c r="E176" s="1448"/>
      <c r="F176" s="1781">
        <f>'PCTC-OEPP 27-28'!F78-F175</f>
        <v>30077753</v>
      </c>
    </row>
    <row r="177" spans="1:9" ht="12" customHeight="1" x14ac:dyDescent="0.2">
      <c r="A177" s="1435"/>
      <c r="B177" s="1445"/>
      <c r="C177" s="1446"/>
      <c r="D177" s="1447" t="s">
        <v>1788</v>
      </c>
      <c r="E177" s="1448"/>
      <c r="F177" s="1781">
        <f>'Cap Outlay Deprec 26'!I18</f>
        <v>1335864.8999999999</v>
      </c>
    </row>
    <row r="178" spans="1:9" ht="12" customHeight="1" x14ac:dyDescent="0.2">
      <c r="A178" s="1435"/>
      <c r="B178" s="1445"/>
      <c r="C178" s="1446"/>
      <c r="D178" s="1447" t="s">
        <v>2009</v>
      </c>
      <c r="E178" s="1448"/>
      <c r="F178" s="1781">
        <f>F176+F177</f>
        <v>31413617.899999999</v>
      </c>
    </row>
    <row r="179" spans="1:9" ht="12" customHeight="1" x14ac:dyDescent="0.2">
      <c r="A179" s="1435"/>
      <c r="B179" s="1449"/>
      <c r="C179" s="1446"/>
      <c r="D179" s="1787" t="str">
        <f>D79</f>
        <v>9 Month ADA from Average Daily Attendance - Student Information System (SIS) in IWAS-preliminary ADA 2019-2020</v>
      </c>
      <c r="E179" s="1448"/>
      <c r="F179" s="1785">
        <f>'PCTC-OEPP 27-28'!F79</f>
        <v>0</v>
      </c>
      <c r="G179" s="763"/>
      <c r="I179" s="701"/>
    </row>
    <row r="180" spans="1:9" ht="12" customHeight="1" thickBot="1" x14ac:dyDescent="0.25">
      <c r="A180" s="1435"/>
      <c r="B180" s="1449"/>
      <c r="C180" s="1446"/>
      <c r="D180" s="1447" t="s">
        <v>2011</v>
      </c>
      <c r="E180" s="1448" t="s">
        <v>1525</v>
      </c>
      <c r="F180" s="1786"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5"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6"/>
    </row>
    <row r="184" spans="1:9" s="1525"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6"/>
    </row>
    <row r="185" spans="1:9" ht="12" customHeight="1" x14ac:dyDescent="0.2">
      <c r="C185" s="782"/>
      <c r="D185" s="763"/>
      <c r="E185" s="782"/>
      <c r="F185" s="763"/>
      <c r="G185" s="763"/>
    </row>
    <row r="186" spans="1:9" x14ac:dyDescent="0.2">
      <c r="A186" s="1527" t="s">
        <v>1884</v>
      </c>
      <c r="B186" s="1528"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1"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75" customWidth="1"/>
    <col min="2" max="2" width="16.42578125" style="1876" bestFit="1" customWidth="1"/>
    <col min="3" max="3" width="33.7109375" style="1877" customWidth="1"/>
    <col min="4" max="4" width="16.28515625" style="1878" customWidth="1"/>
    <col min="5" max="5" width="23.5703125" style="1878" customWidth="1"/>
    <col min="6" max="6" width="23.28515625" style="1877" customWidth="1"/>
    <col min="7" max="16384" width="9.140625" style="1842"/>
  </cols>
  <sheetData>
    <row r="1" spans="1:6" ht="15" customHeight="1" x14ac:dyDescent="0.25">
      <c r="A1" s="1839" t="s">
        <v>1801</v>
      </c>
      <c r="B1" s="1840"/>
      <c r="C1" s="1841"/>
      <c r="D1" s="1841"/>
      <c r="E1" s="1841"/>
      <c r="F1" s="1841"/>
    </row>
    <row r="2" spans="1:6" x14ac:dyDescent="0.25">
      <c r="A2" s="1843"/>
      <c r="B2" s="1844"/>
      <c r="C2" s="1892" t="s">
        <v>1997</v>
      </c>
      <c r="D2" s="1843"/>
      <c r="E2" s="1843"/>
      <c r="F2" s="1843"/>
    </row>
    <row r="3" spans="1:6" ht="5.25" customHeight="1" x14ac:dyDescent="0.25">
      <c r="A3" s="1845"/>
      <c r="B3" s="1846"/>
      <c r="C3" s="1845"/>
      <c r="D3" s="1845"/>
      <c r="E3" s="1845"/>
      <c r="F3" s="1845"/>
    </row>
    <row r="4" spans="1:6" ht="18.75" customHeight="1" x14ac:dyDescent="0.25">
      <c r="A4" s="2398" t="s">
        <v>1789</v>
      </c>
      <c r="B4" s="2399"/>
      <c r="C4" s="2399"/>
      <c r="D4" s="2399"/>
      <c r="E4" s="2399"/>
      <c r="F4" s="2400"/>
    </row>
    <row r="5" spans="1:6" x14ac:dyDescent="0.25">
      <c r="A5" s="2401"/>
      <c r="B5" s="2402"/>
      <c r="C5" s="2402"/>
      <c r="D5" s="2402"/>
      <c r="E5" s="2402"/>
      <c r="F5" s="2403"/>
    </row>
    <row r="6" spans="1:6" ht="18.75" x14ac:dyDescent="0.25">
      <c r="A6" s="1847" t="s">
        <v>1790</v>
      </c>
      <c r="B6" s="1848"/>
      <c r="C6" s="1849"/>
      <c r="D6" s="1849"/>
      <c r="E6" s="1849"/>
      <c r="F6" s="1850"/>
    </row>
    <row r="7" spans="1:6" ht="47.25" customHeight="1" x14ac:dyDescent="0.25">
      <c r="A7" s="2404" t="s">
        <v>1979</v>
      </c>
      <c r="B7" s="2405"/>
      <c r="C7" s="2405"/>
      <c r="D7" s="2405"/>
      <c r="E7" s="2405"/>
      <c r="F7" s="2406"/>
    </row>
    <row r="8" spans="1:6" ht="20.25" customHeight="1" x14ac:dyDescent="0.25">
      <c r="A8" s="1882" t="s">
        <v>1981</v>
      </c>
      <c r="B8" s="1883"/>
      <c r="C8" s="1883"/>
      <c r="D8" s="1883"/>
      <c r="E8" s="1851"/>
      <c r="F8" s="1852"/>
    </row>
    <row r="9" spans="1:6" ht="18" customHeight="1" x14ac:dyDescent="0.25">
      <c r="A9" s="1853" t="s">
        <v>1978</v>
      </c>
      <c r="B9" s="1855"/>
      <c r="C9" s="1855"/>
      <c r="D9" s="1855"/>
      <c r="E9" s="1851"/>
      <c r="F9" s="1852"/>
    </row>
    <row r="10" spans="1:6" ht="15.75" customHeight="1" x14ac:dyDescent="0.25">
      <c r="A10" s="2407" t="s">
        <v>1975</v>
      </c>
      <c r="B10" s="2408"/>
      <c r="C10" s="2408"/>
      <c r="D10" s="2408"/>
      <c r="E10" s="2408"/>
      <c r="F10" s="2409"/>
    </row>
    <row r="11" spans="1:6" ht="33" customHeight="1" x14ac:dyDescent="0.25">
      <c r="A11" s="2404" t="s">
        <v>1980</v>
      </c>
      <c r="B11" s="2405"/>
      <c r="C11" s="2405"/>
      <c r="D11" s="2405"/>
      <c r="E11" s="2405"/>
      <c r="F11" s="2406"/>
    </row>
    <row r="12" spans="1:6" ht="15" customHeight="1" x14ac:dyDescent="0.25">
      <c r="A12" s="1853" t="s">
        <v>1976</v>
      </c>
      <c r="B12" s="1854"/>
      <c r="C12" s="1855"/>
      <c r="D12" s="1855"/>
      <c r="E12" s="1855"/>
      <c r="F12" s="1856"/>
    </row>
    <row r="13" spans="1:6" ht="17.25" customHeight="1" x14ac:dyDescent="0.25">
      <c r="A13" s="2404" t="s">
        <v>1977</v>
      </c>
      <c r="B13" s="2405"/>
      <c r="C13" s="2405"/>
      <c r="D13" s="2405"/>
      <c r="E13" s="2405"/>
      <c r="F13" s="2406"/>
    </row>
    <row r="14" spans="1:6" ht="15" customHeight="1" x14ac:dyDescent="0.25">
      <c r="A14" s="1853" t="s">
        <v>1794</v>
      </c>
      <c r="B14" s="1854"/>
      <c r="C14" s="1855"/>
      <c r="D14" s="1855"/>
      <c r="E14" s="1855"/>
      <c r="F14" s="1856"/>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57" t="s">
        <v>1795</v>
      </c>
      <c r="B16" s="1858" t="s">
        <v>1796</v>
      </c>
      <c r="C16" s="1857" t="s">
        <v>1797</v>
      </c>
      <c r="D16" s="1859" t="s">
        <v>1798</v>
      </c>
      <c r="E16" s="1859" t="s">
        <v>1799</v>
      </c>
      <c r="F16" s="1859" t="s">
        <v>1800</v>
      </c>
    </row>
    <row r="17" spans="1:7" x14ac:dyDescent="0.25">
      <c r="A17" s="1860" t="s">
        <v>1802</v>
      </c>
      <c r="B17" s="1887" t="s">
        <v>1793</v>
      </c>
      <c r="C17" s="1861" t="s">
        <v>1791</v>
      </c>
      <c r="D17" s="1862">
        <v>500000</v>
      </c>
      <c r="E17" s="1862" t="str">
        <f>IF(D17&lt;25000,D17,"25,000")</f>
        <v>25,000</v>
      </c>
      <c r="F17" s="1863">
        <f>IF(D17&gt;=25000,(D17-E17),"0")</f>
        <v>475000</v>
      </c>
    </row>
    <row r="18" spans="1:7" x14ac:dyDescent="0.25">
      <c r="A18" s="2057" t="s">
        <v>2109</v>
      </c>
      <c r="B18" s="1888"/>
      <c r="C18" s="1893"/>
      <c r="D18" s="1866"/>
      <c r="E18" s="1886">
        <f t="shared" ref="E18:E81" si="0">IF(D18&lt;25000,D18,"25,000")</f>
        <v>0</v>
      </c>
      <c r="F18" s="1886" t="str">
        <f t="shared" ref="F18:F81" si="1">IF(D18&gt;=25000,(D18-E18),"0")</f>
        <v>0</v>
      </c>
      <c r="G18" s="1867"/>
    </row>
    <row r="19" spans="1:7" x14ac:dyDescent="0.25">
      <c r="A19" s="1868"/>
      <c r="B19" s="1888"/>
      <c r="C19" s="1865"/>
      <c r="D19" s="1866"/>
      <c r="E19" s="1886">
        <f t="shared" si="0"/>
        <v>0</v>
      </c>
      <c r="F19" s="1886" t="str">
        <f t="shared" si="1"/>
        <v>0</v>
      </c>
    </row>
    <row r="20" spans="1:7" x14ac:dyDescent="0.25">
      <c r="A20" s="1868"/>
      <c r="B20" s="1888"/>
      <c r="C20" s="1865"/>
      <c r="D20" s="1866"/>
      <c r="E20" s="1886">
        <f t="shared" si="0"/>
        <v>0</v>
      </c>
      <c r="F20" s="1886" t="str">
        <f t="shared" si="1"/>
        <v>0</v>
      </c>
    </row>
    <row r="21" spans="1:7" x14ac:dyDescent="0.25">
      <c r="A21" s="1868"/>
      <c r="B21" s="1888"/>
      <c r="C21" s="1865"/>
      <c r="D21" s="1866"/>
      <c r="E21" s="1886">
        <f t="shared" si="0"/>
        <v>0</v>
      </c>
      <c r="F21" s="1886" t="str">
        <f t="shared" si="1"/>
        <v>0</v>
      </c>
    </row>
    <row r="22" spans="1:7" x14ac:dyDescent="0.25">
      <c r="A22" s="1868"/>
      <c r="B22" s="1888"/>
      <c r="C22" s="1865"/>
      <c r="D22" s="1866"/>
      <c r="E22" s="1886">
        <f t="shared" si="0"/>
        <v>0</v>
      </c>
      <c r="F22" s="1886" t="str">
        <f t="shared" si="1"/>
        <v>0</v>
      </c>
    </row>
    <row r="23" spans="1:7" x14ac:dyDescent="0.25">
      <c r="A23" s="1868"/>
      <c r="B23" s="1888"/>
      <c r="C23" s="1865"/>
      <c r="D23" s="1866"/>
      <c r="E23" s="1886">
        <f t="shared" si="0"/>
        <v>0</v>
      </c>
      <c r="F23" s="1886" t="str">
        <f t="shared" si="1"/>
        <v>0</v>
      </c>
    </row>
    <row r="24" spans="1:7" x14ac:dyDescent="0.25">
      <c r="A24" s="1868"/>
      <c r="B24" s="1888"/>
      <c r="C24" s="1865"/>
      <c r="D24" s="1866"/>
      <c r="E24" s="1886">
        <f t="shared" si="0"/>
        <v>0</v>
      </c>
      <c r="F24" s="1886" t="str">
        <f t="shared" si="1"/>
        <v>0</v>
      </c>
    </row>
    <row r="25" spans="1:7" x14ac:dyDescent="0.25">
      <c r="A25" s="1868"/>
      <c r="B25" s="1888"/>
      <c r="C25" s="1865"/>
      <c r="D25" s="1866"/>
      <c r="E25" s="1886">
        <f t="shared" si="0"/>
        <v>0</v>
      </c>
      <c r="F25" s="1886" t="str">
        <f t="shared" si="1"/>
        <v>0</v>
      </c>
    </row>
    <row r="26" spans="1:7" x14ac:dyDescent="0.25">
      <c r="A26" s="1868"/>
      <c r="B26" s="1888"/>
      <c r="C26" s="1865"/>
      <c r="D26" s="1866"/>
      <c r="E26" s="1886">
        <f t="shared" si="0"/>
        <v>0</v>
      </c>
      <c r="F26" s="1886" t="str">
        <f t="shared" si="1"/>
        <v>0</v>
      </c>
    </row>
    <row r="27" spans="1:7" x14ac:dyDescent="0.25">
      <c r="A27" s="1868"/>
      <c r="B27" s="1888"/>
      <c r="C27" s="1869"/>
      <c r="D27" s="1866"/>
      <c r="E27" s="1886">
        <f t="shared" si="0"/>
        <v>0</v>
      </c>
      <c r="F27" s="1886" t="str">
        <f t="shared" si="1"/>
        <v>0</v>
      </c>
    </row>
    <row r="28" spans="1:7" x14ac:dyDescent="0.25">
      <c r="A28" s="1868"/>
      <c r="B28" s="1888"/>
      <c r="C28" s="1869"/>
      <c r="D28" s="1866"/>
      <c r="E28" s="1886">
        <f t="shared" si="0"/>
        <v>0</v>
      </c>
      <c r="F28" s="1886" t="str">
        <f t="shared" si="1"/>
        <v>0</v>
      </c>
    </row>
    <row r="29" spans="1:7" x14ac:dyDescent="0.25">
      <c r="A29" s="1868"/>
      <c r="B29" s="1888"/>
      <c r="C29" s="1869"/>
      <c r="D29" s="1866"/>
      <c r="E29" s="1886">
        <f t="shared" si="0"/>
        <v>0</v>
      </c>
      <c r="F29" s="1886" t="str">
        <f t="shared" si="1"/>
        <v>0</v>
      </c>
    </row>
    <row r="30" spans="1:7" x14ac:dyDescent="0.25">
      <c r="A30" s="1868"/>
      <c r="B30" s="1888"/>
      <c r="C30" s="1869"/>
      <c r="D30" s="1866"/>
      <c r="E30" s="1886">
        <f t="shared" si="0"/>
        <v>0</v>
      </c>
      <c r="F30" s="1886" t="str">
        <f t="shared" si="1"/>
        <v>0</v>
      </c>
    </row>
    <row r="31" spans="1:7" x14ac:dyDescent="0.25">
      <c r="A31" s="1868"/>
      <c r="B31" s="1888"/>
      <c r="C31" s="1869"/>
      <c r="D31" s="1866"/>
      <c r="E31" s="1886">
        <f t="shared" si="0"/>
        <v>0</v>
      </c>
      <c r="F31" s="1886" t="str">
        <f t="shared" si="1"/>
        <v>0</v>
      </c>
    </row>
    <row r="32" spans="1:7" x14ac:dyDescent="0.25">
      <c r="A32" s="1868"/>
      <c r="B32" s="1888"/>
      <c r="C32" s="1869"/>
      <c r="D32" s="1866"/>
      <c r="E32" s="1886">
        <f t="shared" si="0"/>
        <v>0</v>
      </c>
      <c r="F32" s="1886" t="str">
        <f t="shared" si="1"/>
        <v>0</v>
      </c>
    </row>
    <row r="33" spans="1:6" x14ac:dyDescent="0.25">
      <c r="A33" s="1868"/>
      <c r="B33" s="1888"/>
      <c r="C33" s="1869"/>
      <c r="D33" s="1866"/>
      <c r="E33" s="1886">
        <f t="shared" si="0"/>
        <v>0</v>
      </c>
      <c r="F33" s="1886" t="str">
        <f t="shared" si="1"/>
        <v>0</v>
      </c>
    </row>
    <row r="34" spans="1:6" x14ac:dyDescent="0.25">
      <c r="A34" s="1868"/>
      <c r="B34" s="1888"/>
      <c r="C34" s="1869"/>
      <c r="D34" s="1866"/>
      <c r="E34" s="1886">
        <f t="shared" si="0"/>
        <v>0</v>
      </c>
      <c r="F34" s="1886" t="str">
        <f t="shared" si="1"/>
        <v>0</v>
      </c>
    </row>
    <row r="35" spans="1:6" x14ac:dyDescent="0.25">
      <c r="A35" s="1868"/>
      <c r="B35" s="1888"/>
      <c r="C35" s="1869"/>
      <c r="D35" s="1866"/>
      <c r="E35" s="1886">
        <f t="shared" si="0"/>
        <v>0</v>
      </c>
      <c r="F35" s="1886" t="str">
        <f t="shared" si="1"/>
        <v>0</v>
      </c>
    </row>
    <row r="36" spans="1:6" x14ac:dyDescent="0.25">
      <c r="A36" s="1868"/>
      <c r="B36" s="1888"/>
      <c r="C36" s="1869"/>
      <c r="D36" s="1866"/>
      <c r="E36" s="1886">
        <f t="shared" si="0"/>
        <v>0</v>
      </c>
      <c r="F36" s="1886" t="str">
        <f t="shared" si="1"/>
        <v>0</v>
      </c>
    </row>
    <row r="37" spans="1:6" x14ac:dyDescent="0.25">
      <c r="A37" s="1868"/>
      <c r="B37" s="1888"/>
      <c r="C37" s="1869"/>
      <c r="D37" s="1866"/>
      <c r="E37" s="1886">
        <f t="shared" si="0"/>
        <v>0</v>
      </c>
      <c r="F37" s="1886" t="str">
        <f t="shared" si="1"/>
        <v>0</v>
      </c>
    </row>
    <row r="38" spans="1:6" x14ac:dyDescent="0.25">
      <c r="A38" s="1868"/>
      <c r="B38" s="1888"/>
      <c r="C38" s="1869"/>
      <c r="D38" s="1866"/>
      <c r="E38" s="1886">
        <f t="shared" si="0"/>
        <v>0</v>
      </c>
      <c r="F38" s="1886" t="str">
        <f t="shared" si="1"/>
        <v>0</v>
      </c>
    </row>
    <row r="39" spans="1:6" x14ac:dyDescent="0.25">
      <c r="A39" s="1868"/>
      <c r="B39" s="1889"/>
      <c r="C39" s="1869"/>
      <c r="D39" s="1866"/>
      <c r="E39" s="1886">
        <f t="shared" si="0"/>
        <v>0</v>
      </c>
      <c r="F39" s="1886" t="str">
        <f t="shared" si="1"/>
        <v>0</v>
      </c>
    </row>
    <row r="40" spans="1:6" x14ac:dyDescent="0.25">
      <c r="A40" s="1868"/>
      <c r="B40" s="1889"/>
      <c r="C40" s="1869"/>
      <c r="D40" s="1866"/>
      <c r="E40" s="1886">
        <f t="shared" si="0"/>
        <v>0</v>
      </c>
      <c r="F40" s="1886" t="str">
        <f t="shared" si="1"/>
        <v>0</v>
      </c>
    </row>
    <row r="41" spans="1:6" x14ac:dyDescent="0.25">
      <c r="A41" s="1868"/>
      <c r="B41" s="1889"/>
      <c r="C41" s="1869"/>
      <c r="D41" s="1866"/>
      <c r="E41" s="1886">
        <f t="shared" si="0"/>
        <v>0</v>
      </c>
      <c r="F41" s="1886" t="str">
        <f t="shared" si="1"/>
        <v>0</v>
      </c>
    </row>
    <row r="42" spans="1:6" x14ac:dyDescent="0.25">
      <c r="A42" s="1868"/>
      <c r="B42" s="1889"/>
      <c r="C42" s="1869"/>
      <c r="D42" s="1866"/>
      <c r="E42" s="1886">
        <f t="shared" si="0"/>
        <v>0</v>
      </c>
      <c r="F42" s="1886" t="str">
        <f t="shared" si="1"/>
        <v>0</v>
      </c>
    </row>
    <row r="43" spans="1:6" x14ac:dyDescent="0.25">
      <c r="A43" s="1868"/>
      <c r="B43" s="1889"/>
      <c r="C43" s="1869"/>
      <c r="D43" s="1866"/>
      <c r="E43" s="1886">
        <f t="shared" si="0"/>
        <v>0</v>
      </c>
      <c r="F43" s="1886" t="str">
        <f t="shared" si="1"/>
        <v>0</v>
      </c>
    </row>
    <row r="44" spans="1:6" x14ac:dyDescent="0.25">
      <c r="A44" s="1868"/>
      <c r="B44" s="1889"/>
      <c r="C44" s="1869"/>
      <c r="D44" s="1866"/>
      <c r="E44" s="1886">
        <f t="shared" si="0"/>
        <v>0</v>
      </c>
      <c r="F44" s="1886" t="str">
        <f t="shared" si="1"/>
        <v>0</v>
      </c>
    </row>
    <row r="45" spans="1:6" x14ac:dyDescent="0.25">
      <c r="A45" s="1868"/>
      <c r="B45" s="1889"/>
      <c r="C45" s="1869"/>
      <c r="D45" s="1866"/>
      <c r="E45" s="1886">
        <f t="shared" si="0"/>
        <v>0</v>
      </c>
      <c r="F45" s="1886" t="str">
        <f t="shared" si="1"/>
        <v>0</v>
      </c>
    </row>
    <row r="46" spans="1:6" x14ac:dyDescent="0.25">
      <c r="A46" s="1868"/>
      <c r="B46" s="1889"/>
      <c r="C46" s="1869"/>
      <c r="D46" s="1866"/>
      <c r="E46" s="1886">
        <f t="shared" si="0"/>
        <v>0</v>
      </c>
      <c r="F46" s="1886" t="str">
        <f t="shared" si="1"/>
        <v>0</v>
      </c>
    </row>
    <row r="47" spans="1:6" x14ac:dyDescent="0.25">
      <c r="A47" s="1868"/>
      <c r="B47" s="1889"/>
      <c r="C47" s="1869"/>
      <c r="D47" s="1866"/>
      <c r="E47" s="1886">
        <f t="shared" si="0"/>
        <v>0</v>
      </c>
      <c r="F47" s="1886" t="str">
        <f t="shared" si="1"/>
        <v>0</v>
      </c>
    </row>
    <row r="48" spans="1:6" x14ac:dyDescent="0.25">
      <c r="A48" s="1868"/>
      <c r="B48" s="1889"/>
      <c r="C48" s="1869"/>
      <c r="D48" s="1866"/>
      <c r="E48" s="1886">
        <f t="shared" si="0"/>
        <v>0</v>
      </c>
      <c r="F48" s="1886" t="str">
        <f t="shared" si="1"/>
        <v>0</v>
      </c>
    </row>
    <row r="49" spans="1:6" x14ac:dyDescent="0.25">
      <c r="A49" s="1868"/>
      <c r="B49" s="1889"/>
      <c r="C49" s="1869"/>
      <c r="D49" s="1866"/>
      <c r="E49" s="1886">
        <f t="shared" si="0"/>
        <v>0</v>
      </c>
      <c r="F49" s="1886" t="str">
        <f t="shared" si="1"/>
        <v>0</v>
      </c>
    </row>
    <row r="50" spans="1:6" x14ac:dyDescent="0.25">
      <c r="A50" s="1868"/>
      <c r="B50" s="1889"/>
      <c r="C50" s="1869"/>
      <c r="D50" s="1866"/>
      <c r="E50" s="1886">
        <f t="shared" si="0"/>
        <v>0</v>
      </c>
      <c r="F50" s="1886" t="str">
        <f t="shared" si="1"/>
        <v>0</v>
      </c>
    </row>
    <row r="51" spans="1:6" x14ac:dyDescent="0.25">
      <c r="A51" s="1868"/>
      <c r="B51" s="1889"/>
      <c r="C51" s="1869"/>
      <c r="D51" s="1866"/>
      <c r="E51" s="1886">
        <f t="shared" si="0"/>
        <v>0</v>
      </c>
      <c r="F51" s="1886" t="str">
        <f t="shared" si="1"/>
        <v>0</v>
      </c>
    </row>
    <row r="52" spans="1:6" x14ac:dyDescent="0.25">
      <c r="A52" s="1868"/>
      <c r="B52" s="1889"/>
      <c r="C52" s="1869"/>
      <c r="D52" s="1866"/>
      <c r="E52" s="1886">
        <f t="shared" si="0"/>
        <v>0</v>
      </c>
      <c r="F52" s="1886" t="str">
        <f t="shared" si="1"/>
        <v>0</v>
      </c>
    </row>
    <row r="53" spans="1:6" x14ac:dyDescent="0.25">
      <c r="A53" s="1868"/>
      <c r="B53" s="1889"/>
      <c r="C53" s="1869"/>
      <c r="D53" s="1866"/>
      <c r="E53" s="1886">
        <f t="shared" si="0"/>
        <v>0</v>
      </c>
      <c r="F53" s="1886" t="str">
        <f t="shared" si="1"/>
        <v>0</v>
      </c>
    </row>
    <row r="54" spans="1:6" x14ac:dyDescent="0.25">
      <c r="A54" s="1868"/>
      <c r="B54" s="1889"/>
      <c r="C54" s="1869"/>
      <c r="D54" s="1866"/>
      <c r="E54" s="1886">
        <f t="shared" si="0"/>
        <v>0</v>
      </c>
      <c r="F54" s="1886" t="str">
        <f t="shared" si="1"/>
        <v>0</v>
      </c>
    </row>
    <row r="55" spans="1:6" x14ac:dyDescent="0.25">
      <c r="A55" s="1868"/>
      <c r="B55" s="1889"/>
      <c r="C55" s="1869"/>
      <c r="D55" s="1866"/>
      <c r="E55" s="1886">
        <f t="shared" si="0"/>
        <v>0</v>
      </c>
      <c r="F55" s="1886" t="str">
        <f t="shared" si="1"/>
        <v>0</v>
      </c>
    </row>
    <row r="56" spans="1:6" x14ac:dyDescent="0.25">
      <c r="A56" s="1868"/>
      <c r="B56" s="1889"/>
      <c r="C56" s="1869"/>
      <c r="D56" s="1866"/>
      <c r="E56" s="1886">
        <f t="shared" si="0"/>
        <v>0</v>
      </c>
      <c r="F56" s="1886" t="str">
        <f t="shared" si="1"/>
        <v>0</v>
      </c>
    </row>
    <row r="57" spans="1:6" x14ac:dyDescent="0.25">
      <c r="A57" s="1868"/>
      <c r="B57" s="1889"/>
      <c r="C57" s="1869"/>
      <c r="D57" s="1866"/>
      <c r="E57" s="1886">
        <f t="shared" si="0"/>
        <v>0</v>
      </c>
      <c r="F57" s="1886" t="str">
        <f t="shared" si="1"/>
        <v>0</v>
      </c>
    </row>
    <row r="58" spans="1:6" x14ac:dyDescent="0.25">
      <c r="A58" s="1868"/>
      <c r="B58" s="1889"/>
      <c r="C58" s="1869"/>
      <c r="D58" s="1866"/>
      <c r="E58" s="1886">
        <f t="shared" si="0"/>
        <v>0</v>
      </c>
      <c r="F58" s="1886" t="str">
        <f t="shared" si="1"/>
        <v>0</v>
      </c>
    </row>
    <row r="59" spans="1:6" x14ac:dyDescent="0.25">
      <c r="A59" s="1868"/>
      <c r="B59" s="1889"/>
      <c r="C59" s="1869"/>
      <c r="D59" s="1866"/>
      <c r="E59" s="1886">
        <f t="shared" si="0"/>
        <v>0</v>
      </c>
      <c r="F59" s="1886" t="str">
        <f t="shared" si="1"/>
        <v>0</v>
      </c>
    </row>
    <row r="60" spans="1:6" x14ac:dyDescent="0.25">
      <c r="A60" s="1868"/>
      <c r="B60" s="1889"/>
      <c r="C60" s="1869"/>
      <c r="D60" s="1866"/>
      <c r="E60" s="1886">
        <f t="shared" si="0"/>
        <v>0</v>
      </c>
      <c r="F60" s="1886" t="str">
        <f t="shared" si="1"/>
        <v>0</v>
      </c>
    </row>
    <row r="61" spans="1:6" x14ac:dyDescent="0.25">
      <c r="A61" s="1868"/>
      <c r="B61" s="1889"/>
      <c r="C61" s="1869"/>
      <c r="D61" s="1866"/>
      <c r="E61" s="1886">
        <f t="shared" si="0"/>
        <v>0</v>
      </c>
      <c r="F61" s="1886" t="str">
        <f t="shared" si="1"/>
        <v>0</v>
      </c>
    </row>
    <row r="62" spans="1:6" x14ac:dyDescent="0.25">
      <c r="A62" s="1868"/>
      <c r="B62" s="1889"/>
      <c r="C62" s="1869"/>
      <c r="D62" s="1866"/>
      <c r="E62" s="1886">
        <f t="shared" si="0"/>
        <v>0</v>
      </c>
      <c r="F62" s="1886" t="str">
        <f t="shared" si="1"/>
        <v>0</v>
      </c>
    </row>
    <row r="63" spans="1:6" x14ac:dyDescent="0.25">
      <c r="A63" s="1868"/>
      <c r="B63" s="1889"/>
      <c r="C63" s="1869"/>
      <c r="D63" s="1866"/>
      <c r="E63" s="1886">
        <f t="shared" si="0"/>
        <v>0</v>
      </c>
      <c r="F63" s="1886" t="str">
        <f t="shared" si="1"/>
        <v>0</v>
      </c>
    </row>
    <row r="64" spans="1:6" x14ac:dyDescent="0.25">
      <c r="A64" s="1868"/>
      <c r="B64" s="1889"/>
      <c r="C64" s="1869"/>
      <c r="D64" s="1866"/>
      <c r="E64" s="1886">
        <f t="shared" si="0"/>
        <v>0</v>
      </c>
      <c r="F64" s="1886" t="str">
        <f t="shared" si="1"/>
        <v>0</v>
      </c>
    </row>
    <row r="65" spans="1:6" x14ac:dyDescent="0.25">
      <c r="A65" s="1864"/>
      <c r="B65" s="1889"/>
      <c r="C65" s="1865"/>
      <c r="D65" s="1866"/>
      <c r="E65" s="1886">
        <f t="shared" si="0"/>
        <v>0</v>
      </c>
      <c r="F65" s="1886" t="str">
        <f t="shared" si="1"/>
        <v>0</v>
      </c>
    </row>
    <row r="66" spans="1:6" x14ac:dyDescent="0.25">
      <c r="A66" s="1868"/>
      <c r="B66" s="1889"/>
      <c r="C66" s="1869"/>
      <c r="D66" s="1866"/>
      <c r="E66" s="1886">
        <f t="shared" si="0"/>
        <v>0</v>
      </c>
      <c r="F66" s="1886" t="str">
        <f t="shared" si="1"/>
        <v>0</v>
      </c>
    </row>
    <row r="67" spans="1:6" x14ac:dyDescent="0.25">
      <c r="A67" s="1868"/>
      <c r="B67" s="1889"/>
      <c r="C67" s="1869"/>
      <c r="D67" s="1866"/>
      <c r="E67" s="1886">
        <f t="shared" si="0"/>
        <v>0</v>
      </c>
      <c r="F67" s="1886" t="str">
        <f t="shared" si="1"/>
        <v>0</v>
      </c>
    </row>
    <row r="68" spans="1:6" x14ac:dyDescent="0.25">
      <c r="A68" s="1868"/>
      <c r="B68" s="1889"/>
      <c r="C68" s="1869"/>
      <c r="D68" s="1866"/>
      <c r="E68" s="1886">
        <f t="shared" si="0"/>
        <v>0</v>
      </c>
      <c r="F68" s="1886" t="str">
        <f t="shared" si="1"/>
        <v>0</v>
      </c>
    </row>
    <row r="69" spans="1:6" x14ac:dyDescent="0.25">
      <c r="A69" s="1868"/>
      <c r="B69" s="1889"/>
      <c r="C69" s="1869"/>
      <c r="D69" s="1866"/>
      <c r="E69" s="1886">
        <f t="shared" si="0"/>
        <v>0</v>
      </c>
      <c r="F69" s="1886" t="str">
        <f t="shared" si="1"/>
        <v>0</v>
      </c>
    </row>
    <row r="70" spans="1:6" x14ac:dyDescent="0.25">
      <c r="A70" s="1868"/>
      <c r="B70" s="1889"/>
      <c r="C70" s="1869"/>
      <c r="D70" s="1866"/>
      <c r="E70" s="1886">
        <f t="shared" si="0"/>
        <v>0</v>
      </c>
      <c r="F70" s="1886" t="str">
        <f t="shared" si="1"/>
        <v>0</v>
      </c>
    </row>
    <row r="71" spans="1:6" x14ac:dyDescent="0.25">
      <c r="A71" s="1868"/>
      <c r="B71" s="1889"/>
      <c r="C71" s="1869"/>
      <c r="D71" s="1866"/>
      <c r="E71" s="1886">
        <f t="shared" si="0"/>
        <v>0</v>
      </c>
      <c r="F71" s="1886" t="str">
        <f t="shared" si="1"/>
        <v>0</v>
      </c>
    </row>
    <row r="72" spans="1:6" x14ac:dyDescent="0.25">
      <c r="A72" s="1868"/>
      <c r="B72" s="1889"/>
      <c r="C72" s="1869"/>
      <c r="D72" s="1866"/>
      <c r="E72" s="1886">
        <f t="shared" si="0"/>
        <v>0</v>
      </c>
      <c r="F72" s="1886" t="str">
        <f t="shared" si="1"/>
        <v>0</v>
      </c>
    </row>
    <row r="73" spans="1:6" x14ac:dyDescent="0.25">
      <c r="A73" s="1868"/>
      <c r="B73" s="1889"/>
      <c r="C73" s="1869"/>
      <c r="D73" s="1866"/>
      <c r="E73" s="1886">
        <f t="shared" si="0"/>
        <v>0</v>
      </c>
      <c r="F73" s="1886" t="str">
        <f t="shared" si="1"/>
        <v>0</v>
      </c>
    </row>
    <row r="74" spans="1:6" x14ac:dyDescent="0.25">
      <c r="A74" s="1868"/>
      <c r="B74" s="1889"/>
      <c r="C74" s="1869"/>
      <c r="D74" s="1866"/>
      <c r="E74" s="1886">
        <f t="shared" si="0"/>
        <v>0</v>
      </c>
      <c r="F74" s="1886" t="str">
        <f t="shared" si="1"/>
        <v>0</v>
      </c>
    </row>
    <row r="75" spans="1:6" x14ac:dyDescent="0.25">
      <c r="A75" s="1868"/>
      <c r="B75" s="1889"/>
      <c r="C75" s="1869"/>
      <c r="D75" s="1866"/>
      <c r="E75" s="1886">
        <f t="shared" si="0"/>
        <v>0</v>
      </c>
      <c r="F75" s="1886" t="str">
        <f t="shared" si="1"/>
        <v>0</v>
      </c>
    </row>
    <row r="76" spans="1:6" x14ac:dyDescent="0.25">
      <c r="A76" s="1868"/>
      <c r="B76" s="1889"/>
      <c r="C76" s="1869"/>
      <c r="D76" s="1866"/>
      <c r="E76" s="1886">
        <f t="shared" si="0"/>
        <v>0</v>
      </c>
      <c r="F76" s="1886" t="str">
        <f t="shared" si="1"/>
        <v>0</v>
      </c>
    </row>
    <row r="77" spans="1:6" x14ac:dyDescent="0.25">
      <c r="A77" s="1868"/>
      <c r="B77" s="1889"/>
      <c r="C77" s="1869"/>
      <c r="D77" s="1866"/>
      <c r="E77" s="1886">
        <f t="shared" si="0"/>
        <v>0</v>
      </c>
      <c r="F77" s="1886" t="str">
        <f t="shared" si="1"/>
        <v>0</v>
      </c>
    </row>
    <row r="78" spans="1:6" x14ac:dyDescent="0.25">
      <c r="A78" s="1868"/>
      <c r="B78" s="1889"/>
      <c r="C78" s="1869"/>
      <c r="D78" s="1866"/>
      <c r="E78" s="1886">
        <f t="shared" si="0"/>
        <v>0</v>
      </c>
      <c r="F78" s="1886" t="str">
        <f t="shared" si="1"/>
        <v>0</v>
      </c>
    </row>
    <row r="79" spans="1:6" x14ac:dyDescent="0.25">
      <c r="A79" s="1868"/>
      <c r="B79" s="1889"/>
      <c r="C79" s="1869"/>
      <c r="D79" s="1866"/>
      <c r="E79" s="1886">
        <f t="shared" si="0"/>
        <v>0</v>
      </c>
      <c r="F79" s="1886" t="str">
        <f t="shared" si="1"/>
        <v>0</v>
      </c>
    </row>
    <row r="80" spans="1:6" x14ac:dyDescent="0.25">
      <c r="A80" s="1868"/>
      <c r="B80" s="1889"/>
      <c r="C80" s="1869"/>
      <c r="D80" s="1866"/>
      <c r="E80" s="1886">
        <f t="shared" si="0"/>
        <v>0</v>
      </c>
      <c r="F80" s="1886" t="str">
        <f t="shared" si="1"/>
        <v>0</v>
      </c>
    </row>
    <row r="81" spans="1:6" x14ac:dyDescent="0.25">
      <c r="A81" s="1868"/>
      <c r="B81" s="1889"/>
      <c r="C81" s="1869"/>
      <c r="D81" s="1866"/>
      <c r="E81" s="1886">
        <f t="shared" si="0"/>
        <v>0</v>
      </c>
      <c r="F81" s="1886" t="str">
        <f t="shared" si="1"/>
        <v>0</v>
      </c>
    </row>
    <row r="82" spans="1:6" x14ac:dyDescent="0.25">
      <c r="A82" s="1868"/>
      <c r="B82" s="1889"/>
      <c r="C82" s="1869"/>
      <c r="D82" s="1866"/>
      <c r="E82" s="1886">
        <f t="shared" ref="E82:E141" si="2">IF(D82&lt;25000,D82,"25,000")</f>
        <v>0</v>
      </c>
      <c r="F82" s="1886" t="str">
        <f t="shared" ref="F82:F141" si="3">IF(D82&gt;=25000,(D82-E82),"0")</f>
        <v>0</v>
      </c>
    </row>
    <row r="83" spans="1:6" x14ac:dyDescent="0.25">
      <c r="A83" s="1868"/>
      <c r="B83" s="1889"/>
      <c r="C83" s="1869"/>
      <c r="D83" s="1866"/>
      <c r="E83" s="1886">
        <f t="shared" si="2"/>
        <v>0</v>
      </c>
      <c r="F83" s="1886" t="str">
        <f t="shared" si="3"/>
        <v>0</v>
      </c>
    </row>
    <row r="84" spans="1:6" x14ac:dyDescent="0.25">
      <c r="A84" s="1868"/>
      <c r="B84" s="1889"/>
      <c r="C84" s="1869"/>
      <c r="D84" s="1866"/>
      <c r="E84" s="1886">
        <f t="shared" si="2"/>
        <v>0</v>
      </c>
      <c r="F84" s="1886" t="str">
        <f t="shared" si="3"/>
        <v>0</v>
      </c>
    </row>
    <row r="85" spans="1:6" x14ac:dyDescent="0.25">
      <c r="A85" s="1868"/>
      <c r="B85" s="1889"/>
      <c r="C85" s="1869"/>
      <c r="D85" s="1866"/>
      <c r="E85" s="1886">
        <f t="shared" si="2"/>
        <v>0</v>
      </c>
      <c r="F85" s="1886" t="str">
        <f t="shared" si="3"/>
        <v>0</v>
      </c>
    </row>
    <row r="86" spans="1:6" x14ac:dyDescent="0.25">
      <c r="A86" s="1868"/>
      <c r="B86" s="1889"/>
      <c r="C86" s="1869"/>
      <c r="D86" s="1866"/>
      <c r="E86" s="1886">
        <f t="shared" si="2"/>
        <v>0</v>
      </c>
      <c r="F86" s="1886" t="str">
        <f t="shared" si="3"/>
        <v>0</v>
      </c>
    </row>
    <row r="87" spans="1:6" x14ac:dyDescent="0.25">
      <c r="A87" s="1868"/>
      <c r="B87" s="1889"/>
      <c r="C87" s="1869"/>
      <c r="D87" s="1866"/>
      <c r="E87" s="1886">
        <f t="shared" si="2"/>
        <v>0</v>
      </c>
      <c r="F87" s="1886" t="str">
        <f t="shared" si="3"/>
        <v>0</v>
      </c>
    </row>
    <row r="88" spans="1:6" x14ac:dyDescent="0.25">
      <c r="A88" s="1868"/>
      <c r="B88" s="1889"/>
      <c r="C88" s="1869"/>
      <c r="D88" s="1866"/>
      <c r="E88" s="1886">
        <f t="shared" si="2"/>
        <v>0</v>
      </c>
      <c r="F88" s="1886" t="str">
        <f t="shared" si="3"/>
        <v>0</v>
      </c>
    </row>
    <row r="89" spans="1:6" x14ac:dyDescent="0.25">
      <c r="A89" s="1868"/>
      <c r="B89" s="1889"/>
      <c r="C89" s="1869"/>
      <c r="D89" s="1866"/>
      <c r="E89" s="1886">
        <f t="shared" si="2"/>
        <v>0</v>
      </c>
      <c r="F89" s="1886" t="str">
        <f t="shared" si="3"/>
        <v>0</v>
      </c>
    </row>
    <row r="90" spans="1:6" x14ac:dyDescent="0.25">
      <c r="A90" s="1868"/>
      <c r="B90" s="1889"/>
      <c r="C90" s="1869"/>
      <c r="D90" s="1866"/>
      <c r="E90" s="1886">
        <f t="shared" si="2"/>
        <v>0</v>
      </c>
      <c r="F90" s="1886" t="str">
        <f t="shared" si="3"/>
        <v>0</v>
      </c>
    </row>
    <row r="91" spans="1:6" x14ac:dyDescent="0.25">
      <c r="A91" s="1868"/>
      <c r="B91" s="1889"/>
      <c r="C91" s="1869"/>
      <c r="D91" s="1866"/>
      <c r="E91" s="1886">
        <f t="shared" si="2"/>
        <v>0</v>
      </c>
      <c r="F91" s="1886" t="str">
        <f t="shared" si="3"/>
        <v>0</v>
      </c>
    </row>
    <row r="92" spans="1:6" x14ac:dyDescent="0.25">
      <c r="A92" s="1868"/>
      <c r="B92" s="1889"/>
      <c r="C92" s="1869"/>
      <c r="D92" s="1866"/>
      <c r="E92" s="1886">
        <f t="shared" si="2"/>
        <v>0</v>
      </c>
      <c r="F92" s="1886" t="str">
        <f t="shared" si="3"/>
        <v>0</v>
      </c>
    </row>
    <row r="93" spans="1:6" x14ac:dyDescent="0.25">
      <c r="A93" s="1868"/>
      <c r="B93" s="1889"/>
      <c r="C93" s="1869"/>
      <c r="D93" s="1866"/>
      <c r="E93" s="1886">
        <f t="shared" si="2"/>
        <v>0</v>
      </c>
      <c r="F93" s="1886" t="str">
        <f t="shared" si="3"/>
        <v>0</v>
      </c>
    </row>
    <row r="94" spans="1:6" x14ac:dyDescent="0.25">
      <c r="A94" s="1868"/>
      <c r="B94" s="1889"/>
      <c r="C94" s="1869"/>
      <c r="D94" s="1866"/>
      <c r="E94" s="1886">
        <f t="shared" si="2"/>
        <v>0</v>
      </c>
      <c r="F94" s="1886" t="str">
        <f t="shared" si="3"/>
        <v>0</v>
      </c>
    </row>
    <row r="95" spans="1:6" x14ac:dyDescent="0.25">
      <c r="A95" s="1868"/>
      <c r="B95" s="1889"/>
      <c r="C95" s="1869"/>
      <c r="D95" s="1866"/>
      <c r="E95" s="1886">
        <f t="shared" si="2"/>
        <v>0</v>
      </c>
      <c r="F95" s="1886" t="str">
        <f t="shared" si="3"/>
        <v>0</v>
      </c>
    </row>
    <row r="96" spans="1:6" x14ac:dyDescent="0.25">
      <c r="A96" s="1868"/>
      <c r="B96" s="1889"/>
      <c r="C96" s="1869"/>
      <c r="D96" s="1866"/>
      <c r="E96" s="1886">
        <f t="shared" si="2"/>
        <v>0</v>
      </c>
      <c r="F96" s="1886" t="str">
        <f t="shared" si="3"/>
        <v>0</v>
      </c>
    </row>
    <row r="97" spans="1:6" x14ac:dyDescent="0.25">
      <c r="A97" s="1868"/>
      <c r="B97" s="1889"/>
      <c r="C97" s="1869"/>
      <c r="D97" s="1866"/>
      <c r="E97" s="1886">
        <f t="shared" si="2"/>
        <v>0</v>
      </c>
      <c r="F97" s="1886" t="str">
        <f t="shared" si="3"/>
        <v>0</v>
      </c>
    </row>
    <row r="98" spans="1:6" x14ac:dyDescent="0.25">
      <c r="A98" s="1868"/>
      <c r="B98" s="1889"/>
      <c r="C98" s="1869"/>
      <c r="D98" s="1866"/>
      <c r="E98" s="1886">
        <f t="shared" si="2"/>
        <v>0</v>
      </c>
      <c r="F98" s="1886" t="str">
        <f t="shared" si="3"/>
        <v>0</v>
      </c>
    </row>
    <row r="99" spans="1:6" x14ac:dyDescent="0.25">
      <c r="A99" s="1868"/>
      <c r="B99" s="1889"/>
      <c r="C99" s="1869"/>
      <c r="D99" s="1866"/>
      <c r="E99" s="1886">
        <f t="shared" si="2"/>
        <v>0</v>
      </c>
      <c r="F99" s="1886" t="str">
        <f t="shared" si="3"/>
        <v>0</v>
      </c>
    </row>
    <row r="100" spans="1:6" x14ac:dyDescent="0.25">
      <c r="A100" s="1868"/>
      <c r="B100" s="1889"/>
      <c r="C100" s="1869"/>
      <c r="D100" s="1866"/>
      <c r="E100" s="1886">
        <f t="shared" si="2"/>
        <v>0</v>
      </c>
      <c r="F100" s="1886" t="str">
        <f t="shared" si="3"/>
        <v>0</v>
      </c>
    </row>
    <row r="101" spans="1:6" x14ac:dyDescent="0.25">
      <c r="A101" s="1868"/>
      <c r="B101" s="1889"/>
      <c r="C101" s="1869"/>
      <c r="D101" s="1866"/>
      <c r="E101" s="1886">
        <f t="shared" si="2"/>
        <v>0</v>
      </c>
      <c r="F101" s="1886" t="str">
        <f t="shared" si="3"/>
        <v>0</v>
      </c>
    </row>
    <row r="102" spans="1:6" x14ac:dyDescent="0.25">
      <c r="A102" s="1868"/>
      <c r="B102" s="1889"/>
      <c r="C102" s="1869"/>
      <c r="D102" s="1866"/>
      <c r="E102" s="1886">
        <f t="shared" si="2"/>
        <v>0</v>
      </c>
      <c r="F102" s="1886" t="str">
        <f t="shared" si="3"/>
        <v>0</v>
      </c>
    </row>
    <row r="103" spans="1:6" x14ac:dyDescent="0.25">
      <c r="A103" s="1868"/>
      <c r="B103" s="1889"/>
      <c r="C103" s="1869"/>
      <c r="D103" s="1866"/>
      <c r="E103" s="1886">
        <f t="shared" si="2"/>
        <v>0</v>
      </c>
      <c r="F103" s="1886" t="str">
        <f t="shared" si="3"/>
        <v>0</v>
      </c>
    </row>
    <row r="104" spans="1:6" x14ac:dyDescent="0.25">
      <c r="A104" s="1868"/>
      <c r="B104" s="1889"/>
      <c r="C104" s="1869"/>
      <c r="D104" s="1866"/>
      <c r="E104" s="1886">
        <f t="shared" si="2"/>
        <v>0</v>
      </c>
      <c r="F104" s="1886" t="str">
        <f t="shared" si="3"/>
        <v>0</v>
      </c>
    </row>
    <row r="105" spans="1:6" x14ac:dyDescent="0.25">
      <c r="A105" s="1868"/>
      <c r="B105" s="1889"/>
      <c r="C105" s="1869"/>
      <c r="D105" s="1866"/>
      <c r="E105" s="1886">
        <f t="shared" si="2"/>
        <v>0</v>
      </c>
      <c r="F105" s="1886" t="str">
        <f t="shared" si="3"/>
        <v>0</v>
      </c>
    </row>
    <row r="106" spans="1:6" x14ac:dyDescent="0.25">
      <c r="A106" s="1868"/>
      <c r="B106" s="1889"/>
      <c r="C106" s="1869"/>
      <c r="D106" s="1866"/>
      <c r="E106" s="1886">
        <f t="shared" si="2"/>
        <v>0</v>
      </c>
      <c r="F106" s="1886" t="str">
        <f t="shared" si="3"/>
        <v>0</v>
      </c>
    </row>
    <row r="107" spans="1:6" x14ac:dyDescent="0.25">
      <c r="A107" s="1868"/>
      <c r="B107" s="1889"/>
      <c r="C107" s="1869"/>
      <c r="D107" s="1866"/>
      <c r="E107" s="1886">
        <f t="shared" si="2"/>
        <v>0</v>
      </c>
      <c r="F107" s="1886" t="str">
        <f t="shared" si="3"/>
        <v>0</v>
      </c>
    </row>
    <row r="108" spans="1:6" x14ac:dyDescent="0.25">
      <c r="A108" s="1868"/>
      <c r="B108" s="1889"/>
      <c r="C108" s="1869"/>
      <c r="D108" s="1866"/>
      <c r="E108" s="1886">
        <f t="shared" si="2"/>
        <v>0</v>
      </c>
      <c r="F108" s="1886" t="str">
        <f t="shared" si="3"/>
        <v>0</v>
      </c>
    </row>
    <row r="109" spans="1:6" x14ac:dyDescent="0.25">
      <c r="A109" s="1868"/>
      <c r="B109" s="1889"/>
      <c r="C109" s="1869"/>
      <c r="D109" s="1866"/>
      <c r="E109" s="1886">
        <f t="shared" si="2"/>
        <v>0</v>
      </c>
      <c r="F109" s="1886" t="str">
        <f t="shared" si="3"/>
        <v>0</v>
      </c>
    </row>
    <row r="110" spans="1:6" x14ac:dyDescent="0.25">
      <c r="A110" s="1868"/>
      <c r="B110" s="1889"/>
      <c r="C110" s="1869"/>
      <c r="D110" s="1866"/>
      <c r="E110" s="1886">
        <f t="shared" si="2"/>
        <v>0</v>
      </c>
      <c r="F110" s="1886" t="str">
        <f t="shared" si="3"/>
        <v>0</v>
      </c>
    </row>
    <row r="111" spans="1:6" x14ac:dyDescent="0.25">
      <c r="A111" s="1868"/>
      <c r="B111" s="1889"/>
      <c r="C111" s="1869"/>
      <c r="D111" s="1866"/>
      <c r="E111" s="1886">
        <f t="shared" si="2"/>
        <v>0</v>
      </c>
      <c r="F111" s="1886" t="str">
        <f t="shared" si="3"/>
        <v>0</v>
      </c>
    </row>
    <row r="112" spans="1:6" x14ac:dyDescent="0.25">
      <c r="A112" s="1868"/>
      <c r="B112" s="1889"/>
      <c r="C112" s="1869"/>
      <c r="D112" s="1866"/>
      <c r="E112" s="1886">
        <f t="shared" si="2"/>
        <v>0</v>
      </c>
      <c r="F112" s="1886" t="str">
        <f t="shared" si="3"/>
        <v>0</v>
      </c>
    </row>
    <row r="113" spans="1:6" x14ac:dyDescent="0.25">
      <c r="A113" s="1868"/>
      <c r="B113" s="1889"/>
      <c r="C113" s="1869"/>
      <c r="D113" s="1866"/>
      <c r="E113" s="1886">
        <f t="shared" si="2"/>
        <v>0</v>
      </c>
      <c r="F113" s="1886" t="str">
        <f t="shared" si="3"/>
        <v>0</v>
      </c>
    </row>
    <row r="114" spans="1:6" x14ac:dyDescent="0.25">
      <c r="A114" s="1868"/>
      <c r="B114" s="1889"/>
      <c r="C114" s="1869"/>
      <c r="D114" s="1866"/>
      <c r="E114" s="1886">
        <f t="shared" si="2"/>
        <v>0</v>
      </c>
      <c r="F114" s="1886" t="str">
        <f t="shared" si="3"/>
        <v>0</v>
      </c>
    </row>
    <row r="115" spans="1:6" x14ac:dyDescent="0.25">
      <c r="A115" s="1868"/>
      <c r="B115" s="1889"/>
      <c r="C115" s="1869"/>
      <c r="D115" s="1866"/>
      <c r="E115" s="1886">
        <f t="shared" si="2"/>
        <v>0</v>
      </c>
      <c r="F115" s="1886" t="str">
        <f t="shared" si="3"/>
        <v>0</v>
      </c>
    </row>
    <row r="116" spans="1:6" x14ac:dyDescent="0.25">
      <c r="A116" s="1868"/>
      <c r="B116" s="1889"/>
      <c r="C116" s="1869"/>
      <c r="D116" s="1866"/>
      <c r="E116" s="1886">
        <f t="shared" si="2"/>
        <v>0</v>
      </c>
      <c r="F116" s="1886" t="str">
        <f t="shared" si="3"/>
        <v>0</v>
      </c>
    </row>
    <row r="117" spans="1:6" x14ac:dyDescent="0.25">
      <c r="A117" s="1868"/>
      <c r="B117" s="1889"/>
      <c r="C117" s="1869"/>
      <c r="D117" s="1866"/>
      <c r="E117" s="1886">
        <f t="shared" si="2"/>
        <v>0</v>
      </c>
      <c r="F117" s="1886" t="str">
        <f t="shared" si="3"/>
        <v>0</v>
      </c>
    </row>
    <row r="118" spans="1:6" x14ac:dyDescent="0.25">
      <c r="A118" s="1868"/>
      <c r="B118" s="1889"/>
      <c r="C118" s="1869"/>
      <c r="D118" s="1866"/>
      <c r="E118" s="1886">
        <f t="shared" si="2"/>
        <v>0</v>
      </c>
      <c r="F118" s="1886" t="str">
        <f t="shared" si="3"/>
        <v>0</v>
      </c>
    </row>
    <row r="119" spans="1:6" x14ac:dyDescent="0.25">
      <c r="A119" s="1868"/>
      <c r="B119" s="1889"/>
      <c r="C119" s="1869"/>
      <c r="D119" s="1866"/>
      <c r="E119" s="1886">
        <f t="shared" si="2"/>
        <v>0</v>
      </c>
      <c r="F119" s="1886" t="str">
        <f t="shared" si="3"/>
        <v>0</v>
      </c>
    </row>
    <row r="120" spans="1:6" x14ac:dyDescent="0.25">
      <c r="A120" s="1868"/>
      <c r="B120" s="1889"/>
      <c r="C120" s="1869"/>
      <c r="D120" s="1866"/>
      <c r="E120" s="1886">
        <f t="shared" si="2"/>
        <v>0</v>
      </c>
      <c r="F120" s="1886" t="str">
        <f t="shared" si="3"/>
        <v>0</v>
      </c>
    </row>
    <row r="121" spans="1:6" x14ac:dyDescent="0.25">
      <c r="A121" s="1868"/>
      <c r="B121" s="1889"/>
      <c r="C121" s="1869"/>
      <c r="D121" s="1866"/>
      <c r="E121" s="1886">
        <f t="shared" si="2"/>
        <v>0</v>
      </c>
      <c r="F121" s="1886" t="str">
        <f t="shared" si="3"/>
        <v>0</v>
      </c>
    </row>
    <row r="122" spans="1:6" x14ac:dyDescent="0.25">
      <c r="A122" s="1868"/>
      <c r="B122" s="1889"/>
      <c r="C122" s="1869"/>
      <c r="D122" s="1866"/>
      <c r="E122" s="1886">
        <f t="shared" si="2"/>
        <v>0</v>
      </c>
      <c r="F122" s="1886" t="str">
        <f t="shared" si="3"/>
        <v>0</v>
      </c>
    </row>
    <row r="123" spans="1:6" x14ac:dyDescent="0.25">
      <c r="A123" s="1868"/>
      <c r="B123" s="1889"/>
      <c r="C123" s="1869"/>
      <c r="D123" s="1866"/>
      <c r="E123" s="1886">
        <f t="shared" si="2"/>
        <v>0</v>
      </c>
      <c r="F123" s="1886" t="str">
        <f t="shared" si="3"/>
        <v>0</v>
      </c>
    </row>
    <row r="124" spans="1:6" x14ac:dyDescent="0.25">
      <c r="A124" s="1868"/>
      <c r="B124" s="1889"/>
      <c r="C124" s="1869"/>
      <c r="D124" s="1866"/>
      <c r="E124" s="1886">
        <f t="shared" si="2"/>
        <v>0</v>
      </c>
      <c r="F124" s="1886" t="str">
        <f t="shared" si="3"/>
        <v>0</v>
      </c>
    </row>
    <row r="125" spans="1:6" x14ac:dyDescent="0.25">
      <c r="A125" s="1868"/>
      <c r="B125" s="1889"/>
      <c r="C125" s="1869"/>
      <c r="D125" s="1866"/>
      <c r="E125" s="1886">
        <f t="shared" si="2"/>
        <v>0</v>
      </c>
      <c r="F125" s="1886" t="str">
        <f t="shared" si="3"/>
        <v>0</v>
      </c>
    </row>
    <row r="126" spans="1:6" x14ac:dyDescent="0.25">
      <c r="A126" s="1868"/>
      <c r="B126" s="1889"/>
      <c r="C126" s="1869"/>
      <c r="D126" s="1866"/>
      <c r="E126" s="1886">
        <f t="shared" si="2"/>
        <v>0</v>
      </c>
      <c r="F126" s="1886" t="str">
        <f t="shared" si="3"/>
        <v>0</v>
      </c>
    </row>
    <row r="127" spans="1:6" x14ac:dyDescent="0.25">
      <c r="A127" s="1868"/>
      <c r="B127" s="1889"/>
      <c r="C127" s="1869"/>
      <c r="D127" s="1866"/>
      <c r="E127" s="1886">
        <f t="shared" si="2"/>
        <v>0</v>
      </c>
      <c r="F127" s="1886" t="str">
        <f t="shared" si="3"/>
        <v>0</v>
      </c>
    </row>
    <row r="128" spans="1:6" x14ac:dyDescent="0.25">
      <c r="A128" s="1868"/>
      <c r="B128" s="1889"/>
      <c r="C128" s="1869"/>
      <c r="D128" s="1866"/>
      <c r="E128" s="1886">
        <f t="shared" si="2"/>
        <v>0</v>
      </c>
      <c r="F128" s="1886" t="str">
        <f t="shared" si="3"/>
        <v>0</v>
      </c>
    </row>
    <row r="129" spans="1:6" x14ac:dyDescent="0.25">
      <c r="A129" s="1868"/>
      <c r="B129" s="1889"/>
      <c r="C129" s="1869"/>
      <c r="D129" s="1866"/>
      <c r="E129" s="1886">
        <f t="shared" si="2"/>
        <v>0</v>
      </c>
      <c r="F129" s="1886" t="str">
        <f t="shared" si="3"/>
        <v>0</v>
      </c>
    </row>
    <row r="130" spans="1:6" x14ac:dyDescent="0.25">
      <c r="A130" s="1868"/>
      <c r="B130" s="1889"/>
      <c r="C130" s="1869"/>
      <c r="D130" s="1866"/>
      <c r="E130" s="1886">
        <f t="shared" si="2"/>
        <v>0</v>
      </c>
      <c r="F130" s="1886" t="str">
        <f t="shared" si="3"/>
        <v>0</v>
      </c>
    </row>
    <row r="131" spans="1:6" x14ac:dyDescent="0.25">
      <c r="A131" s="1868"/>
      <c r="B131" s="1889"/>
      <c r="C131" s="1869"/>
      <c r="D131" s="1866"/>
      <c r="E131" s="1886">
        <f t="shared" si="2"/>
        <v>0</v>
      </c>
      <c r="F131" s="1886" t="str">
        <f t="shared" si="3"/>
        <v>0</v>
      </c>
    </row>
    <row r="132" spans="1:6" x14ac:dyDescent="0.25">
      <c r="A132" s="1868"/>
      <c r="B132" s="1889"/>
      <c r="C132" s="1869"/>
      <c r="D132" s="1866"/>
      <c r="E132" s="1886">
        <f t="shared" si="2"/>
        <v>0</v>
      </c>
      <c r="F132" s="1886" t="str">
        <f t="shared" si="3"/>
        <v>0</v>
      </c>
    </row>
    <row r="133" spans="1:6" x14ac:dyDescent="0.25">
      <c r="A133" s="1868"/>
      <c r="B133" s="1889"/>
      <c r="C133" s="1869"/>
      <c r="D133" s="1866"/>
      <c r="E133" s="1886">
        <f t="shared" si="2"/>
        <v>0</v>
      </c>
      <c r="F133" s="1886" t="str">
        <f t="shared" si="3"/>
        <v>0</v>
      </c>
    </row>
    <row r="134" spans="1:6" x14ac:dyDescent="0.25">
      <c r="A134" s="1868"/>
      <c r="B134" s="1889"/>
      <c r="C134" s="1869"/>
      <c r="D134" s="1866"/>
      <c r="E134" s="1886">
        <f t="shared" si="2"/>
        <v>0</v>
      </c>
      <c r="F134" s="1886" t="str">
        <f t="shared" si="3"/>
        <v>0</v>
      </c>
    </row>
    <row r="135" spans="1:6" x14ac:dyDescent="0.25">
      <c r="A135" s="1868"/>
      <c r="B135" s="1889"/>
      <c r="C135" s="1869"/>
      <c r="D135" s="1866"/>
      <c r="E135" s="1886">
        <f t="shared" si="2"/>
        <v>0</v>
      </c>
      <c r="F135" s="1886" t="str">
        <f t="shared" si="3"/>
        <v>0</v>
      </c>
    </row>
    <row r="136" spans="1:6" x14ac:dyDescent="0.25">
      <c r="A136" s="1868"/>
      <c r="B136" s="1889"/>
      <c r="C136" s="1869"/>
      <c r="D136" s="1866"/>
      <c r="E136" s="1886">
        <f t="shared" si="2"/>
        <v>0</v>
      </c>
      <c r="F136" s="1886" t="str">
        <f t="shared" si="3"/>
        <v>0</v>
      </c>
    </row>
    <row r="137" spans="1:6" x14ac:dyDescent="0.25">
      <c r="A137" s="1868"/>
      <c r="B137" s="1889"/>
      <c r="C137" s="1869"/>
      <c r="D137" s="1866"/>
      <c r="E137" s="1886">
        <f t="shared" si="2"/>
        <v>0</v>
      </c>
      <c r="F137" s="1886" t="str">
        <f t="shared" si="3"/>
        <v>0</v>
      </c>
    </row>
    <row r="138" spans="1:6" x14ac:dyDescent="0.25">
      <c r="A138" s="1868"/>
      <c r="B138" s="1889"/>
      <c r="C138" s="1869"/>
      <c r="D138" s="1866"/>
      <c r="E138" s="1886">
        <f t="shared" si="2"/>
        <v>0</v>
      </c>
      <c r="F138" s="1886" t="str">
        <f t="shared" si="3"/>
        <v>0</v>
      </c>
    </row>
    <row r="139" spans="1:6" x14ac:dyDescent="0.25">
      <c r="A139" s="1868"/>
      <c r="B139" s="1889"/>
      <c r="C139" s="1869"/>
      <c r="D139" s="1866"/>
      <c r="E139" s="1886">
        <f t="shared" si="2"/>
        <v>0</v>
      </c>
      <c r="F139" s="1886" t="str">
        <f t="shared" si="3"/>
        <v>0</v>
      </c>
    </row>
    <row r="140" spans="1:6" x14ac:dyDescent="0.25">
      <c r="A140" s="1868"/>
      <c r="B140" s="1889"/>
      <c r="C140" s="1869"/>
      <c r="D140" s="1866"/>
      <c r="E140" s="1886">
        <f t="shared" si="2"/>
        <v>0</v>
      </c>
      <c r="F140" s="1886" t="str">
        <f t="shared" si="3"/>
        <v>0</v>
      </c>
    </row>
    <row r="141" spans="1:6" x14ac:dyDescent="0.25">
      <c r="A141" s="1868"/>
      <c r="B141" s="1890"/>
      <c r="C141" s="1869"/>
      <c r="D141" s="1866"/>
      <c r="E141" s="1886">
        <f t="shared" si="2"/>
        <v>0</v>
      </c>
      <c r="F141" s="1886" t="str">
        <f t="shared" si="3"/>
        <v>0</v>
      </c>
    </row>
    <row r="142" spans="1:6" x14ac:dyDescent="0.25">
      <c r="A142" s="1870" t="s">
        <v>155</v>
      </c>
      <c r="B142" s="1891"/>
      <c r="C142" s="1871"/>
      <c r="D142" s="1872">
        <f>SUM(D18:D141)</f>
        <v>0</v>
      </c>
      <c r="E142" s="1873">
        <f>SUM(E18:E141)</f>
        <v>0</v>
      </c>
      <c r="F142" s="1874">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0" t="s">
        <v>1657</v>
      </c>
      <c r="B5" s="2411"/>
      <c r="C5" s="2411"/>
      <c r="D5" s="2411"/>
      <c r="E5" s="2411"/>
      <c r="F5" s="2411"/>
      <c r="G5" s="2412"/>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88"/>
      <c r="F7" s="805"/>
      <c r="G7" s="806"/>
      <c r="H7" s="157"/>
      <c r="I7" s="157"/>
    </row>
    <row r="8" spans="1:13" s="542" customFormat="1" ht="12" customHeight="1" x14ac:dyDescent="0.2">
      <c r="A8" s="802" t="s">
        <v>129</v>
      </c>
      <c r="B8" s="803"/>
      <c r="C8" s="803"/>
      <c r="D8" s="804"/>
      <c r="E8" s="1788">
        <v>438700</v>
      </c>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1888</v>
      </c>
      <c r="B10" s="803"/>
      <c r="C10" s="807"/>
      <c r="D10" s="804"/>
      <c r="E10" s="1788">
        <v>177630</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89">
        <v>15932</v>
      </c>
      <c r="F11" s="805"/>
      <c r="G11" s="808"/>
      <c r="H11" s="178"/>
      <c r="I11" s="178"/>
      <c r="J11" s="1835"/>
      <c r="K11" s="1835"/>
      <c r="L11" s="1835"/>
      <c r="M11" s="1835"/>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v>88919</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27205574</v>
      </c>
      <c r="F19" s="1790"/>
      <c r="G19" s="1792">
        <f>'Expenditures 15-22'!K33-SUM('Expenditures 15-22'!G33,'Expenditures 15-22'!I33)+'Expenditures 15-22'!D229</f>
        <v>27205574</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13657441</v>
      </c>
      <c r="F21" s="1793"/>
      <c r="G21" s="1796">
        <f>'Expenditures 15-22'!K42-SUM('Expenditures 15-22'!G42,'Expenditures 15-22'!I42)+'Expenditures 15-22'!K120-SUM('Expenditures 15-22'!G120,'Expenditures 15-22'!I120)+'Expenditures 15-22'!K180-SUM('Expenditures 15-22'!G180,'Expenditures 15-22'!I180)+'Expenditures 15-22'!D238</f>
        <v>13657441</v>
      </c>
      <c r="H21" s="817"/>
      <c r="I21" s="157"/>
    </row>
    <row r="22" spans="1:9" s="542" customFormat="1" ht="12" customHeight="1" x14ac:dyDescent="0.2">
      <c r="A22" s="824" t="s">
        <v>560</v>
      </c>
      <c r="B22" s="825"/>
      <c r="C22" s="823">
        <v>2200</v>
      </c>
      <c r="D22" s="1793"/>
      <c r="E22" s="1795">
        <f>'Expenditures 15-22'!K47-SUM('Expenditures 15-22'!G47,'Expenditures 15-22'!I47)+'Expenditures 15-22'!D243</f>
        <v>1339191</v>
      </c>
      <c r="F22" s="1793"/>
      <c r="G22" s="1796">
        <f>'Expenditures 15-22'!K47-SUM('Expenditures 15-22'!G47,'Expenditures 15-22'!I47)+'Expenditures 15-22'!D243</f>
        <v>1339191</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2077941</v>
      </c>
      <c r="F23" s="1793"/>
      <c r="G23" s="1795">
        <f>'Expenditures 15-22'!K53-SUM('Expenditures 15-22'!G53,'Expenditures 15-22'!I53)+'Expenditures 15-22'!D257+'Expenditures 15-22'!K330-SUM('Expenditures 15-22'!G330,'Expenditures 15-22'!I330)</f>
        <v>2077941</v>
      </c>
      <c r="H23" s="817"/>
      <c r="I23" s="157"/>
    </row>
    <row r="24" spans="1:9" s="542" customFormat="1" ht="12" customHeight="1" x14ac:dyDescent="0.2">
      <c r="A24" s="824" t="s">
        <v>562</v>
      </c>
      <c r="B24" s="825"/>
      <c r="C24" s="823">
        <v>2400</v>
      </c>
      <c r="D24" s="1793"/>
      <c r="E24" s="1795">
        <f>'Expenditures 15-22'!K57-SUM('Expenditures 15-22'!G57,'Expenditures 15-22'!I57)+'Expenditures 15-22'!D261</f>
        <v>2673225</v>
      </c>
      <c r="F24" s="1793"/>
      <c r="G24" s="1796">
        <f>'Expenditures 15-22'!K57-SUM('Expenditures 15-22'!G57,'Expenditures 15-22'!I57)+'Expenditures 15-22'!D261</f>
        <v>2673225</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259808</v>
      </c>
      <c r="E26" s="1795">
        <f>'Expenditures 15-22'!K122-SUM('Expenditures 15-22'!G122,'Expenditures 15-22'!I122)+E7</f>
        <v>0</v>
      </c>
      <c r="F26" s="1795">
        <f>'Expenditures 15-22'!K59-SUM('Expenditures 15-22'!G59,'Expenditures 15-22'!I59)+'Expenditures 15-22'!D263-E7</f>
        <v>259808</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58831</v>
      </c>
      <c r="E27" s="1795">
        <f>E8</f>
        <v>438700</v>
      </c>
      <c r="F27" s="1795">
        <f>'Expenditures 15-22'!K60-SUM('Expenditures 15-22'!G60,'Expenditures 15-22'!I60)+'Expenditures 15-22'!D264-E8</f>
        <v>58831</v>
      </c>
      <c r="G27" s="1796">
        <f>E8</f>
        <v>438700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2466837</v>
      </c>
      <c r="F28" s="1797">
        <f>'Expenditures 15-22'!K61-SUM('Expenditures 15-22'!G61,'Expenditures 15-22'!I61)+'Expenditures 15-22'!K124-SUM('Expenditures 15-22'!G124,'Expenditures 15-22'!I124)+'Expenditures 15-22'!D266-E9</f>
        <v>2466837</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1065394</v>
      </c>
      <c r="F29" s="1793"/>
      <c r="G29" s="1796">
        <f>'Expenditures 15-22'!K62-SUM('Expenditures 15-22'!G62,'Expenditures 15-22'!I62)+'Expenditures 15-22'!K125-SUM('Expenditures 15-22'!G125,'Expenditures 15-22'!I125)+'Expenditures 15-22'!K182-SUM('Expenditures 15-22'!G182,'Expenditures 15-22'!I182)+'Expenditures 15-22'!D267</f>
        <v>1065394</v>
      </c>
      <c r="H29" s="815"/>
    </row>
    <row r="30" spans="1:9" ht="12" customHeight="1" x14ac:dyDescent="0.2">
      <c r="A30" s="824" t="s">
        <v>100</v>
      </c>
      <c r="B30" s="827"/>
      <c r="C30" s="823">
        <v>2560</v>
      </c>
      <c r="D30" s="1793"/>
      <c r="E30" s="1795">
        <f>'Expenditures 15-22'!K63-SUM('Expenditures 15-22'!G63,'Expenditures 15-22'!I63)+'Expenditures 15-22'!D268-E10</f>
        <v>0</v>
      </c>
      <c r="F30" s="1793"/>
      <c r="G30" s="1795">
        <f>'Expenditures 15-22'!K63-SUM('Expenditures 15-22'!G63,'Expenditures 15-22'!I63)+'Expenditures 15-22'!D268-E10</f>
        <v>0</v>
      </c>
    </row>
    <row r="31" spans="1:9" ht="12" customHeight="1" x14ac:dyDescent="0.2">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1051</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x14ac:dyDescent="0.2">
      <c r="A36" s="824" t="s">
        <v>400</v>
      </c>
      <c r="B36" s="827"/>
      <c r="C36" s="823">
        <v>2640</v>
      </c>
      <c r="D36" s="1795">
        <f>'Expenditures 15-22'!K70-SUM('Expenditures 15-22'!G70,'Expenditures 15-22'!I70)+'Expenditures 15-22'!D275-E13</f>
        <v>0</v>
      </c>
      <c r="E36" s="1795">
        <f>E13</f>
        <v>0</v>
      </c>
      <c r="F36" s="1795">
        <f>'Expenditures 15-22'!K70-SUM('Expenditures 15-22'!G70,'Expenditures 15-22'!I70)+'Expenditures 15-22'!D275-E13</f>
        <v>0</v>
      </c>
      <c r="G36" s="1795">
        <f>E13</f>
        <v>0</v>
      </c>
    </row>
    <row r="37" spans="1:7" ht="12" customHeight="1" x14ac:dyDescent="0.2">
      <c r="A37" s="824" t="s">
        <v>401</v>
      </c>
      <c r="B37" s="827"/>
      <c r="C37" s="823">
        <v>2660</v>
      </c>
      <c r="D37" s="1795">
        <f>'Expenditures 15-22'!K71-SUM('Expenditures 15-22'!G71,'Expenditures 15-22'!I71)+'Expenditures 15-22'!D276-E14</f>
        <v>5321</v>
      </c>
      <c r="E37" s="1795">
        <f>E14</f>
        <v>88919</v>
      </c>
      <c r="F37" s="1795">
        <f>'Expenditures 15-22'!K71-SUM('Expenditures 15-22'!G71,'Expenditures 15-22'!I71)+'Expenditures 15-22'!D276-E14</f>
        <v>5321</v>
      </c>
      <c r="G37" s="1795">
        <f>E14</f>
        <v>88919</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451</v>
      </c>
      <c r="F39" s="1793"/>
      <c r="G39" s="1795">
        <f>'Expenditures 15-22'!K75-SUM('Expenditures 15-22'!G75,'Expenditures 15-22'!I75)+'Expenditures 15-22'!K130-SUM('Expenditures 15-22'!G130,'Expenditures 15-22'!I130)+'Expenditures 15-22'!K185-SUM('Expenditures 15-22'!G185,'Expenditures 15-22'!I185)+'Expenditures 15-22'!D280</f>
        <v>451</v>
      </c>
    </row>
    <row r="40" spans="1:7" ht="12" customHeight="1" x14ac:dyDescent="0.2">
      <c r="A40" s="820" t="s">
        <v>1792</v>
      </c>
      <c r="B40" s="821"/>
      <c r="C40" s="823"/>
      <c r="D40" s="1793"/>
      <c r="E40" s="1797">
        <f>-'Contracts Paid in CY 29'!F142</f>
        <v>0</v>
      </c>
      <c r="F40" s="1793"/>
      <c r="G40" s="1797">
        <f>-'Contracts Paid in CY 29'!F142</f>
        <v>0</v>
      </c>
    </row>
    <row r="41" spans="1:7" ht="12" customHeight="1" x14ac:dyDescent="0.2">
      <c r="A41" s="828" t="s">
        <v>155</v>
      </c>
      <c r="B41" s="829"/>
      <c r="C41" s="830"/>
      <c r="D41" s="1797">
        <f>SUM(D19:D39)</f>
        <v>323960</v>
      </c>
      <c r="E41" s="1797">
        <f>SUM(E19:E40)</f>
        <v>51013673</v>
      </c>
      <c r="F41" s="1797">
        <f>SUM(F19:F39)</f>
        <v>2790797</v>
      </c>
      <c r="G41" s="1797">
        <f>SUM(G19:G40)</f>
        <v>48546836</v>
      </c>
    </row>
    <row r="42" spans="1:7" x14ac:dyDescent="0.2">
      <c r="A42" s="817"/>
      <c r="B42" s="157"/>
      <c r="C42" s="831"/>
      <c r="D42" s="2413" t="s">
        <v>519</v>
      </c>
      <c r="E42" s="2414"/>
      <c r="F42" s="832" t="s">
        <v>520</v>
      </c>
      <c r="G42" s="833"/>
    </row>
    <row r="43" spans="1:7" ht="12" customHeight="1" x14ac:dyDescent="0.2">
      <c r="A43" s="817"/>
      <c r="B43" s="157"/>
      <c r="C43" s="831"/>
      <c r="D43" s="1450" t="s">
        <v>470</v>
      </c>
      <c r="E43" s="1798">
        <f>D41</f>
        <v>323960</v>
      </c>
      <c r="F43" s="1450" t="s">
        <v>470</v>
      </c>
      <c r="G43" s="1798">
        <f>F41</f>
        <v>2790797</v>
      </c>
    </row>
    <row r="44" spans="1:7" ht="12" customHeight="1" x14ac:dyDescent="0.2">
      <c r="A44" s="817"/>
      <c r="B44" s="157"/>
      <c r="C44" s="831"/>
      <c r="D44" s="1450" t="s">
        <v>471</v>
      </c>
      <c r="E44" s="1798">
        <f>E41</f>
        <v>51013673</v>
      </c>
      <c r="F44" s="1450" t="s">
        <v>471</v>
      </c>
      <c r="G44" s="1798">
        <f>G41</f>
        <v>48546836</v>
      </c>
    </row>
    <row r="45" spans="1:7" ht="12" customHeight="1" x14ac:dyDescent="0.2">
      <c r="A45" s="817"/>
      <c r="B45" s="157"/>
      <c r="C45" s="157"/>
      <c r="D45" s="1451" t="s">
        <v>998</v>
      </c>
      <c r="E45" s="1799">
        <f>(E43/E44)</f>
        <v>6.3504543183942079E-3</v>
      </c>
      <c r="F45" s="1451" t="s">
        <v>998</v>
      </c>
      <c r="G45" s="1799">
        <f>(G43/G44)</f>
        <v>5.7486691820657479E-2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Normal="10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21" t="s">
        <v>1360</v>
      </c>
      <c r="B1" s="2421"/>
      <c r="C1" s="2421"/>
      <c r="D1" s="2421"/>
      <c r="E1" s="2421"/>
      <c r="F1" s="2421"/>
    </row>
    <row r="2" spans="1:15" x14ac:dyDescent="0.2">
      <c r="A2" s="1505" t="s">
        <v>1872</v>
      </c>
      <c r="B2" s="1470"/>
      <c r="C2" s="1505"/>
      <c r="D2" s="1470"/>
      <c r="E2" s="1470"/>
      <c r="F2" s="1471"/>
    </row>
    <row r="3" spans="1:15" x14ac:dyDescent="0.2">
      <c r="A3" s="1800" t="str">
        <f>"Fiscal Year Ending June 30, "&amp;'AFR20'!E2</f>
        <v>Fiscal Year Ending June 30, 2020</v>
      </c>
      <c r="B3" s="1470"/>
      <c r="C3" s="1505"/>
      <c r="D3" s="1470"/>
      <c r="E3" s="1470"/>
      <c r="F3" s="1471"/>
      <c r="H3" s="1836"/>
      <c r="I3" s="1836"/>
      <c r="J3" s="1836"/>
      <c r="K3" s="1836"/>
    </row>
    <row r="4" spans="1:15" ht="3.75" customHeight="1" x14ac:dyDescent="0.2">
      <c r="A4" s="1470"/>
      <c r="B4" s="1470"/>
      <c r="C4" s="1470"/>
      <c r="D4" s="1470"/>
      <c r="E4" s="1470"/>
      <c r="F4" s="1471"/>
    </row>
    <row r="5" spans="1:15" ht="15" x14ac:dyDescent="0.25">
      <c r="A5" s="2422" t="s">
        <v>1526</v>
      </c>
      <c r="B5" s="2423"/>
      <c r="C5" s="2424"/>
      <c r="D5" s="2424"/>
      <c r="E5" s="2424"/>
      <c r="F5" s="2424"/>
      <c r="G5" s="1499"/>
      <c r="L5" s="1499"/>
      <c r="M5" s="1837"/>
      <c r="N5" s="1837"/>
      <c r="O5" s="1837"/>
    </row>
    <row r="6" spans="1:15" ht="12" customHeight="1" x14ac:dyDescent="0.25">
      <c r="A6" s="1472"/>
      <c r="B6" s="1473"/>
      <c r="C6" s="2425" t="str">
        <f>COVER!A17</f>
        <v xml:space="preserve">  Special Ed Dist of Lake Cty (SEDOL)</v>
      </c>
      <c r="D6" s="2425"/>
      <c r="E6" s="2425"/>
      <c r="F6" s="1474"/>
      <c r="G6" s="1499"/>
      <c r="L6" s="1499"/>
      <c r="M6" s="1837"/>
      <c r="N6" s="1837"/>
      <c r="O6" s="1837"/>
    </row>
    <row r="7" spans="1:15" ht="11.25" customHeight="1" thickBot="1" x14ac:dyDescent="0.3">
      <c r="A7" s="1472"/>
      <c r="B7" s="1473"/>
      <c r="C7" s="2426">
        <f>COVER!A13</f>
        <v>34049825060</v>
      </c>
      <c r="D7" s="2426"/>
      <c r="E7" s="2426"/>
      <c r="F7" s="1474"/>
      <c r="G7" s="1499"/>
      <c r="L7" s="1499"/>
      <c r="M7" s="1837"/>
      <c r="N7" s="1837"/>
      <c r="O7" s="1837"/>
    </row>
    <row r="8" spans="1:15" ht="25.5" customHeight="1" thickBot="1" x14ac:dyDescent="0.25">
      <c r="A8" s="1511" t="s">
        <v>1868</v>
      </c>
      <c r="B8" s="1475"/>
      <c r="C8" s="1507" t="s">
        <v>1659</v>
      </c>
      <c r="D8" s="1506" t="s">
        <v>1660</v>
      </c>
      <c r="E8" s="1508" t="s">
        <v>1361</v>
      </c>
      <c r="F8" s="1506" t="s">
        <v>1661</v>
      </c>
      <c r="G8" s="1499"/>
      <c r="H8" s="1476" t="b">
        <v>0</v>
      </c>
      <c r="L8" s="1499"/>
      <c r="M8" s="1837"/>
      <c r="N8" s="1837"/>
      <c r="O8" s="1837"/>
    </row>
    <row r="9" spans="1:15" ht="15.75" customHeight="1" x14ac:dyDescent="0.2">
      <c r="A9" s="1477" t="s">
        <v>1522</v>
      </c>
      <c r="B9" s="1478"/>
      <c r="C9" s="1479"/>
      <c r="D9" s="1479"/>
      <c r="E9" s="1480"/>
      <c r="F9" s="1481"/>
      <c r="G9" s="1499"/>
      <c r="L9" s="1499"/>
      <c r="M9" s="1837"/>
      <c r="N9" s="1837"/>
      <c r="O9" s="1837"/>
    </row>
    <row r="10" spans="1:15" ht="27.75" customHeight="1" x14ac:dyDescent="0.2">
      <c r="A10" s="1482" t="s">
        <v>1658</v>
      </c>
      <c r="B10" s="1483"/>
      <c r="C10" s="1484"/>
      <c r="D10" s="1484"/>
      <c r="E10" s="1509" t="s">
        <v>1362</v>
      </c>
      <c r="F10" s="1510" t="s">
        <v>1363</v>
      </c>
      <c r="G10" s="1499"/>
      <c r="L10" s="1499"/>
      <c r="M10" s="1837"/>
      <c r="N10" s="1837"/>
      <c r="O10" s="1837"/>
    </row>
    <row r="11" spans="1:15" ht="12" customHeight="1" x14ac:dyDescent="0.2">
      <c r="A11" s="1485" t="s">
        <v>1364</v>
      </c>
      <c r="B11" s="1486"/>
      <c r="C11" s="1487"/>
      <c r="D11" s="1487"/>
      <c r="E11" s="1488"/>
      <c r="F11" s="1489"/>
      <c r="G11" s="1499"/>
      <c r="H11" s="1499">
        <f>IF(C11="X",5,0)</f>
        <v>0</v>
      </c>
      <c r="I11" s="1499">
        <f>IF(D11="X",5,0)</f>
        <v>0</v>
      </c>
      <c r="J11" s="1499">
        <f>IF(E11="X",5,0)</f>
        <v>0</v>
      </c>
      <c r="L11" s="1499"/>
      <c r="M11" s="1837"/>
      <c r="N11" s="1837"/>
      <c r="O11" s="1837"/>
    </row>
    <row r="12" spans="1:15" ht="12" customHeight="1" x14ac:dyDescent="0.2">
      <c r="A12" s="1485" t="s">
        <v>1365</v>
      </c>
      <c r="B12" s="1486"/>
      <c r="C12" s="1487"/>
      <c r="D12" s="1487"/>
      <c r="E12" s="1490"/>
      <c r="F12" s="1489"/>
      <c r="G12" s="1499"/>
      <c r="H12" s="1499">
        <f t="shared" ref="H12:H33" si="0">IF(C12="X",5,0)</f>
        <v>0</v>
      </c>
      <c r="I12" s="1499">
        <f t="shared" ref="I12:I33" si="1">IF(D12="X",5,0)</f>
        <v>0</v>
      </c>
      <c r="J12" s="1499">
        <f t="shared" ref="J12:J33" si="2">IF(E12="X",5,0)</f>
        <v>0</v>
      </c>
      <c r="L12" s="1499"/>
      <c r="M12" s="1837"/>
      <c r="N12" s="1837"/>
      <c r="O12" s="1837"/>
    </row>
    <row r="13" spans="1:15" ht="12" customHeight="1" x14ac:dyDescent="0.2">
      <c r="A13" s="1485" t="s">
        <v>1366</v>
      </c>
      <c r="B13" s="1486"/>
      <c r="C13" s="1487" t="s">
        <v>2068</v>
      </c>
      <c r="D13" s="1487" t="s">
        <v>2068</v>
      </c>
      <c r="E13" s="1490"/>
      <c r="F13" s="1489" t="s">
        <v>2074</v>
      </c>
      <c r="G13" s="1499"/>
      <c r="H13" s="1499">
        <f t="shared" si="0"/>
        <v>5</v>
      </c>
      <c r="I13" s="1499">
        <f t="shared" si="1"/>
        <v>5</v>
      </c>
      <c r="J13" s="1499">
        <f t="shared" si="2"/>
        <v>0</v>
      </c>
      <c r="L13" s="1499"/>
      <c r="M13" s="1837"/>
      <c r="N13" s="1837"/>
      <c r="O13" s="1837"/>
    </row>
    <row r="14" spans="1:15" ht="12" customHeight="1" x14ac:dyDescent="0.2">
      <c r="A14" s="1485" t="s">
        <v>1367</v>
      </c>
      <c r="B14" s="1486"/>
      <c r="C14" s="1487" t="s">
        <v>2068</v>
      </c>
      <c r="D14" s="1487" t="s">
        <v>2068</v>
      </c>
      <c r="E14" s="1490"/>
      <c r="F14" s="1489" t="s">
        <v>2075</v>
      </c>
      <c r="G14" s="1499"/>
      <c r="H14" s="1499">
        <f t="shared" si="0"/>
        <v>5</v>
      </c>
      <c r="I14" s="1499">
        <f t="shared" si="1"/>
        <v>5</v>
      </c>
      <c r="J14" s="1499">
        <f t="shared" si="2"/>
        <v>0</v>
      </c>
      <c r="L14" s="1499"/>
      <c r="M14" s="1837"/>
      <c r="N14" s="1837"/>
      <c r="O14" s="1837"/>
    </row>
    <row r="15" spans="1:15" ht="12" customHeight="1" x14ac:dyDescent="0.2">
      <c r="A15" s="1485" t="s">
        <v>1368</v>
      </c>
      <c r="B15" s="1486"/>
      <c r="C15" s="1487" t="s">
        <v>2068</v>
      </c>
      <c r="D15" s="1487" t="s">
        <v>2068</v>
      </c>
      <c r="E15" s="1490"/>
      <c r="F15" s="1489" t="s">
        <v>2076</v>
      </c>
      <c r="G15" s="1499"/>
      <c r="H15" s="1499">
        <f t="shared" si="0"/>
        <v>5</v>
      </c>
      <c r="I15" s="1499">
        <f t="shared" si="1"/>
        <v>5</v>
      </c>
      <c r="J15" s="1499">
        <f t="shared" si="2"/>
        <v>0</v>
      </c>
      <c r="L15" s="1499"/>
      <c r="M15" s="1837"/>
      <c r="N15" s="1837"/>
      <c r="O15" s="1837"/>
    </row>
    <row r="16" spans="1:15" ht="12" customHeight="1" x14ac:dyDescent="0.2">
      <c r="A16" s="1485" t="s">
        <v>1369</v>
      </c>
      <c r="B16" s="1486"/>
      <c r="C16" s="1487" t="s">
        <v>2068</v>
      </c>
      <c r="D16" s="1487" t="s">
        <v>2068</v>
      </c>
      <c r="E16" s="1490"/>
      <c r="F16" s="1489" t="s">
        <v>2077</v>
      </c>
      <c r="G16" s="1499"/>
      <c r="H16" s="1499">
        <f t="shared" si="0"/>
        <v>5</v>
      </c>
      <c r="I16" s="1499">
        <f t="shared" si="1"/>
        <v>5</v>
      </c>
      <c r="J16" s="1499">
        <f t="shared" si="2"/>
        <v>0</v>
      </c>
      <c r="L16" s="1499"/>
      <c r="M16" s="1837"/>
      <c r="N16" s="1837"/>
      <c r="O16" s="1837"/>
    </row>
    <row r="17" spans="1:15" ht="12" customHeight="1" x14ac:dyDescent="0.2">
      <c r="A17" s="1485" t="s">
        <v>1370</v>
      </c>
      <c r="B17" s="1486"/>
      <c r="C17" s="1487"/>
      <c r="D17" s="1487"/>
      <c r="E17" s="1490"/>
      <c r="F17" s="1489"/>
      <c r="G17" s="1499"/>
      <c r="H17" s="1499">
        <f t="shared" si="0"/>
        <v>0</v>
      </c>
      <c r="I17" s="1499">
        <f t="shared" si="1"/>
        <v>0</v>
      </c>
      <c r="J17" s="1499">
        <f t="shared" si="2"/>
        <v>0</v>
      </c>
      <c r="L17" s="1499"/>
      <c r="M17" s="1837"/>
      <c r="N17" s="1837"/>
      <c r="O17" s="1837"/>
    </row>
    <row r="18" spans="1:15" ht="12" customHeight="1" x14ac:dyDescent="0.2">
      <c r="A18" s="1485" t="s">
        <v>1371</v>
      </c>
      <c r="B18" s="1486"/>
      <c r="C18" s="1487" t="s">
        <v>2068</v>
      </c>
      <c r="D18" s="1487" t="s">
        <v>2068</v>
      </c>
      <c r="E18" s="1490"/>
      <c r="F18" s="1489" t="s">
        <v>2078</v>
      </c>
      <c r="G18" s="1499"/>
      <c r="H18" s="1499">
        <f t="shared" si="0"/>
        <v>5</v>
      </c>
      <c r="I18" s="1499">
        <f t="shared" si="1"/>
        <v>5</v>
      </c>
      <c r="J18" s="1499">
        <f t="shared" si="2"/>
        <v>0</v>
      </c>
      <c r="L18" s="1499"/>
      <c r="M18" s="1837"/>
      <c r="N18" s="1837"/>
      <c r="O18" s="1837"/>
    </row>
    <row r="19" spans="1:15" ht="12" customHeight="1" x14ac:dyDescent="0.2">
      <c r="A19" s="1485" t="s">
        <v>1507</v>
      </c>
      <c r="B19" s="1486"/>
      <c r="C19" s="1487" t="s">
        <v>2068</v>
      </c>
      <c r="D19" s="1487" t="s">
        <v>2068</v>
      </c>
      <c r="E19" s="1490"/>
      <c r="F19" s="1489" t="s">
        <v>2079</v>
      </c>
      <c r="G19" s="1499"/>
      <c r="H19" s="1499">
        <f t="shared" si="0"/>
        <v>5</v>
      </c>
      <c r="I19" s="1499">
        <f t="shared" si="1"/>
        <v>5</v>
      </c>
      <c r="J19" s="1499">
        <f t="shared" si="2"/>
        <v>0</v>
      </c>
      <c r="L19" s="1499"/>
      <c r="M19" s="1837"/>
      <c r="N19" s="1837"/>
      <c r="O19" s="1837"/>
    </row>
    <row r="20" spans="1:15" ht="12" customHeight="1" x14ac:dyDescent="0.2">
      <c r="A20" s="1485" t="s">
        <v>1508</v>
      </c>
      <c r="B20" s="1486"/>
      <c r="C20" s="1487" t="s">
        <v>2068</v>
      </c>
      <c r="D20" s="1487" t="s">
        <v>2068</v>
      </c>
      <c r="E20" s="1490"/>
      <c r="F20" s="1489" t="s">
        <v>2080</v>
      </c>
      <c r="G20" s="1499"/>
      <c r="H20" s="1499">
        <f t="shared" si="0"/>
        <v>5</v>
      </c>
      <c r="I20" s="1499">
        <f t="shared" si="1"/>
        <v>5</v>
      </c>
      <c r="J20" s="1499">
        <f t="shared" si="2"/>
        <v>0</v>
      </c>
      <c r="L20" s="1499"/>
      <c r="M20" s="1837"/>
      <c r="N20" s="1837"/>
      <c r="O20" s="1837"/>
    </row>
    <row r="21" spans="1:15" ht="12" customHeight="1" x14ac:dyDescent="0.2">
      <c r="A21" s="1485" t="s">
        <v>1509</v>
      </c>
      <c r="B21" s="1486"/>
      <c r="C21" s="1487"/>
      <c r="D21" s="1487"/>
      <c r="E21" s="1490"/>
      <c r="F21" s="1489"/>
      <c r="G21" s="1499"/>
      <c r="H21" s="1499">
        <f t="shared" si="0"/>
        <v>0</v>
      </c>
      <c r="I21" s="1499">
        <f t="shared" si="1"/>
        <v>0</v>
      </c>
      <c r="J21" s="1499">
        <f t="shared" si="2"/>
        <v>0</v>
      </c>
      <c r="L21" s="1499"/>
      <c r="M21" s="1837"/>
      <c r="N21" s="1837"/>
      <c r="O21" s="1837"/>
    </row>
    <row r="22" spans="1:15" ht="12" customHeight="1" x14ac:dyDescent="0.2">
      <c r="A22" s="1485" t="s">
        <v>1510</v>
      </c>
      <c r="B22" s="1486"/>
      <c r="C22" s="1487"/>
      <c r="D22" s="1487"/>
      <c r="E22" s="1490"/>
      <c r="F22" s="1489"/>
      <c r="G22" s="1499"/>
      <c r="H22" s="1499">
        <f t="shared" si="0"/>
        <v>0</v>
      </c>
      <c r="I22" s="1499">
        <f t="shared" si="1"/>
        <v>0</v>
      </c>
      <c r="J22" s="1499">
        <f t="shared" si="2"/>
        <v>0</v>
      </c>
      <c r="L22" s="1499"/>
      <c r="M22" s="1837"/>
      <c r="N22" s="1837"/>
      <c r="O22" s="1837"/>
    </row>
    <row r="23" spans="1:15" ht="12" customHeight="1" x14ac:dyDescent="0.2">
      <c r="A23" s="1485" t="s">
        <v>1511</v>
      </c>
      <c r="B23" s="1486"/>
      <c r="C23" s="1487"/>
      <c r="D23" s="1487"/>
      <c r="E23" s="1490"/>
      <c r="F23" s="1489"/>
      <c r="G23" s="1499"/>
      <c r="H23" s="1499">
        <f t="shared" si="0"/>
        <v>0</v>
      </c>
      <c r="I23" s="1499">
        <f t="shared" si="1"/>
        <v>0</v>
      </c>
      <c r="J23" s="1499">
        <f t="shared" si="2"/>
        <v>0</v>
      </c>
      <c r="L23" s="1499"/>
      <c r="M23" s="1837"/>
      <c r="N23" s="1837"/>
      <c r="O23" s="1837"/>
    </row>
    <row r="24" spans="1:15" ht="12" customHeight="1" x14ac:dyDescent="0.2">
      <c r="A24" s="1485" t="s">
        <v>1512</v>
      </c>
      <c r="B24" s="1486"/>
      <c r="C24" s="1487"/>
      <c r="D24" s="1487"/>
      <c r="E24" s="1490"/>
      <c r="F24" s="1489"/>
      <c r="G24" s="1499"/>
      <c r="H24" s="1499">
        <f t="shared" si="0"/>
        <v>0</v>
      </c>
      <c r="I24" s="1499">
        <f t="shared" si="1"/>
        <v>0</v>
      </c>
      <c r="J24" s="1499">
        <f t="shared" si="2"/>
        <v>0</v>
      </c>
      <c r="L24" s="1499"/>
      <c r="M24" s="1837"/>
      <c r="N24" s="1837"/>
      <c r="O24" s="1837"/>
    </row>
    <row r="25" spans="1:15" ht="12" customHeight="1" x14ac:dyDescent="0.2">
      <c r="A25" s="1485" t="s">
        <v>1513</v>
      </c>
      <c r="B25" s="1486"/>
      <c r="C25" s="1487"/>
      <c r="D25" s="1487"/>
      <c r="E25" s="1490"/>
      <c r="F25" s="1489"/>
      <c r="G25" s="1499"/>
      <c r="H25" s="1499">
        <f t="shared" si="0"/>
        <v>0</v>
      </c>
      <c r="I25" s="1499">
        <f t="shared" si="1"/>
        <v>0</v>
      </c>
      <c r="J25" s="1499">
        <f t="shared" si="2"/>
        <v>0</v>
      </c>
      <c r="L25" s="1499"/>
      <c r="M25" s="1837"/>
      <c r="N25" s="1837"/>
      <c r="O25" s="1837"/>
    </row>
    <row r="26" spans="1:15" ht="12" customHeight="1" x14ac:dyDescent="0.2">
      <c r="A26" s="1485" t="s">
        <v>1514</v>
      </c>
      <c r="B26" s="1486"/>
      <c r="C26" s="1487" t="s">
        <v>2068</v>
      </c>
      <c r="D26" s="1487" t="s">
        <v>2068</v>
      </c>
      <c r="E26" s="1490"/>
      <c r="F26" s="1489" t="s">
        <v>2081</v>
      </c>
      <c r="G26" s="1499"/>
      <c r="H26" s="1499">
        <f t="shared" si="0"/>
        <v>5</v>
      </c>
      <c r="I26" s="1499">
        <f t="shared" si="1"/>
        <v>5</v>
      </c>
      <c r="J26" s="1499">
        <f t="shared" si="2"/>
        <v>0</v>
      </c>
      <c r="L26" s="1499"/>
      <c r="M26" s="1837"/>
      <c r="N26" s="1837"/>
      <c r="O26" s="1837"/>
    </row>
    <row r="27" spans="1:15" ht="18.75" x14ac:dyDescent="0.2">
      <c r="A27" s="1485" t="s">
        <v>1515</v>
      </c>
      <c r="B27" s="1486"/>
      <c r="C27" s="1487"/>
      <c r="D27" s="1487"/>
      <c r="E27" s="1490"/>
      <c r="F27" s="1489"/>
      <c r="G27" s="1499"/>
      <c r="H27" s="1499">
        <f t="shared" si="0"/>
        <v>0</v>
      </c>
      <c r="I27" s="1499">
        <f t="shared" si="1"/>
        <v>0</v>
      </c>
      <c r="J27" s="1499">
        <f t="shared" si="2"/>
        <v>0</v>
      </c>
      <c r="L27" s="1499"/>
      <c r="M27" s="1837"/>
      <c r="N27" s="1837"/>
      <c r="O27" s="1837"/>
    </row>
    <row r="28" spans="1:15" ht="12" customHeight="1" x14ac:dyDescent="0.2">
      <c r="A28" s="1485" t="s">
        <v>1516</v>
      </c>
      <c r="B28" s="1486"/>
      <c r="C28" s="1487"/>
      <c r="D28" s="1487"/>
      <c r="E28" s="1490"/>
      <c r="F28" s="1489"/>
      <c r="G28" s="1499"/>
      <c r="H28" s="1499">
        <f t="shared" si="0"/>
        <v>0</v>
      </c>
      <c r="I28" s="1499">
        <f t="shared" si="1"/>
        <v>0</v>
      </c>
      <c r="J28" s="1499">
        <f t="shared" si="2"/>
        <v>0</v>
      </c>
      <c r="L28" s="1499"/>
      <c r="M28" s="1837"/>
      <c r="N28" s="1837"/>
      <c r="O28" s="1837"/>
    </row>
    <row r="29" spans="1:15" ht="12" customHeight="1" x14ac:dyDescent="0.2">
      <c r="A29" s="1485" t="s">
        <v>1517</v>
      </c>
      <c r="B29" s="1486"/>
      <c r="C29" s="1487"/>
      <c r="D29" s="1487"/>
      <c r="E29" s="1490"/>
      <c r="F29" s="1489"/>
      <c r="G29" s="1499"/>
      <c r="H29" s="1499">
        <f t="shared" si="0"/>
        <v>0</v>
      </c>
      <c r="I29" s="1499">
        <f t="shared" si="1"/>
        <v>0</v>
      </c>
      <c r="J29" s="1499">
        <f t="shared" si="2"/>
        <v>0</v>
      </c>
      <c r="L29" s="1499"/>
      <c r="M29" s="1837"/>
      <c r="N29" s="1837"/>
      <c r="O29" s="1837"/>
    </row>
    <row r="30" spans="1:15" ht="12" customHeight="1" x14ac:dyDescent="0.2">
      <c r="A30" s="1485" t="s">
        <v>1518</v>
      </c>
      <c r="B30" s="1486"/>
      <c r="C30" s="1487" t="s">
        <v>2068</v>
      </c>
      <c r="D30" s="1487"/>
      <c r="E30" s="1490"/>
      <c r="F30" s="1489" t="s">
        <v>2142</v>
      </c>
      <c r="G30" s="1499"/>
      <c r="H30" s="1499">
        <f t="shared" si="0"/>
        <v>5</v>
      </c>
      <c r="I30" s="1499">
        <f t="shared" si="1"/>
        <v>0</v>
      </c>
      <c r="J30" s="1499">
        <f t="shared" si="2"/>
        <v>0</v>
      </c>
      <c r="L30" s="1499"/>
      <c r="M30" s="1837"/>
      <c r="N30" s="1837"/>
      <c r="O30" s="1837"/>
    </row>
    <row r="31" spans="1:15" ht="12" customHeight="1" x14ac:dyDescent="0.2">
      <c r="A31" s="1485" t="s">
        <v>1519</v>
      </c>
      <c r="B31" s="1486"/>
      <c r="C31" s="1487"/>
      <c r="D31" s="1487"/>
      <c r="E31" s="1490"/>
      <c r="F31" s="1489"/>
      <c r="G31" s="1499"/>
      <c r="H31" s="1499">
        <f t="shared" si="0"/>
        <v>0</v>
      </c>
      <c r="I31" s="1499">
        <f t="shared" si="1"/>
        <v>0</v>
      </c>
      <c r="J31" s="1499">
        <f t="shared" si="2"/>
        <v>0</v>
      </c>
      <c r="L31" s="1838"/>
      <c r="M31" s="1837"/>
      <c r="N31" s="1837"/>
      <c r="O31" s="1837"/>
    </row>
    <row r="32" spans="1:15" ht="12" customHeight="1" x14ac:dyDescent="0.2">
      <c r="A32" s="1485" t="s">
        <v>1520</v>
      </c>
      <c r="B32" s="1486"/>
      <c r="C32" s="1487"/>
      <c r="D32" s="1487"/>
      <c r="E32" s="1490"/>
      <c r="F32" s="1489"/>
      <c r="G32" s="1499"/>
      <c r="H32" s="1499">
        <f t="shared" si="0"/>
        <v>0</v>
      </c>
      <c r="I32" s="1499">
        <f t="shared" si="1"/>
        <v>0</v>
      </c>
      <c r="J32" s="1499">
        <f t="shared" si="2"/>
        <v>0</v>
      </c>
      <c r="L32" s="1499"/>
      <c r="M32" s="1837"/>
      <c r="N32" s="1837"/>
      <c r="O32" s="1837"/>
    </row>
    <row r="33" spans="1:15" ht="12" customHeight="1" x14ac:dyDescent="0.2">
      <c r="A33" s="1485" t="s">
        <v>1521</v>
      </c>
      <c r="B33" s="1486"/>
      <c r="C33" s="1487"/>
      <c r="D33" s="1487"/>
      <c r="E33" s="1490"/>
      <c r="F33" s="1489"/>
      <c r="G33" s="1499"/>
      <c r="H33" s="1499">
        <f t="shared" si="0"/>
        <v>0</v>
      </c>
      <c r="I33" s="1499">
        <f t="shared" si="1"/>
        <v>0</v>
      </c>
      <c r="J33" s="1499">
        <f t="shared" si="2"/>
        <v>0</v>
      </c>
      <c r="L33" s="1499"/>
      <c r="M33" s="1837"/>
      <c r="N33" s="1837"/>
      <c r="O33" s="1837"/>
    </row>
    <row r="34" spans="1:15" ht="12" customHeight="1" x14ac:dyDescent="0.25">
      <c r="A34" s="1491"/>
      <c r="B34" s="1491"/>
      <c r="C34" s="1491"/>
      <c r="D34" s="1491"/>
      <c r="E34" s="1491"/>
      <c r="F34" s="1491"/>
      <c r="G34" s="1499"/>
      <c r="H34" s="1499">
        <f>SUM(H11:H32)</f>
        <v>45</v>
      </c>
      <c r="I34" s="1499">
        <f>SUM(I11:I32)</f>
        <v>40</v>
      </c>
      <c r="J34" s="1499">
        <f>SUM(J11:J32)</f>
        <v>0</v>
      </c>
      <c r="K34" s="1499">
        <f>SUM(H34:J34)</f>
        <v>85</v>
      </c>
      <c r="L34" s="1499"/>
      <c r="M34" s="1837"/>
      <c r="N34" s="1837"/>
      <c r="O34" s="1837"/>
    </row>
    <row r="35" spans="1:15" ht="12" customHeight="1" x14ac:dyDescent="0.2">
      <c r="A35" s="1492" t="s">
        <v>1373</v>
      </c>
      <c r="B35" s="1493"/>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494"/>
      <c r="B39" s="1494"/>
      <c r="C39" s="1494"/>
      <c r="D39" s="1494"/>
      <c r="E39" s="1494"/>
      <c r="F39" s="1494"/>
    </row>
    <row r="40" spans="1:15" s="1491" customFormat="1" ht="12" customHeight="1" x14ac:dyDescent="0.25">
      <c r="A40" s="1495" t="s">
        <v>1372</v>
      </c>
      <c r="B40" s="1496"/>
      <c r="C40" s="2435"/>
      <c r="D40" s="2435"/>
      <c r="E40" s="2435"/>
      <c r="F40" s="2436"/>
      <c r="H40" s="1500"/>
      <c r="I40" s="1500"/>
      <c r="J40" s="1500"/>
      <c r="K40" s="1500"/>
    </row>
    <row r="41" spans="1:15" s="1491" customFormat="1" ht="12" customHeight="1" x14ac:dyDescent="0.25">
      <c r="A41" s="2437"/>
      <c r="B41" s="2438"/>
      <c r="C41" s="2438"/>
      <c r="D41" s="2438"/>
      <c r="E41" s="2438"/>
      <c r="F41" s="2439"/>
      <c r="H41" s="1500"/>
      <c r="I41" s="1500"/>
      <c r="J41" s="1500"/>
      <c r="K41" s="1500"/>
    </row>
    <row r="42" spans="1:15" s="1491" customFormat="1" ht="12" customHeight="1" x14ac:dyDescent="0.25">
      <c r="A42" s="2437"/>
      <c r="B42" s="2438"/>
      <c r="C42" s="2438"/>
      <c r="D42" s="2438"/>
      <c r="E42" s="2438"/>
      <c r="F42" s="2439"/>
      <c r="H42" s="1500"/>
      <c r="I42" s="1500"/>
      <c r="J42" s="1500"/>
      <c r="K42" s="1500"/>
    </row>
    <row r="43" spans="1:15" s="1491" customFormat="1" ht="15" x14ac:dyDescent="0.25">
      <c r="A43" s="2429"/>
      <c r="B43" s="2430"/>
      <c r="C43" s="2430"/>
      <c r="D43" s="2430"/>
      <c r="E43" s="2430"/>
      <c r="F43" s="2431"/>
      <c r="H43" s="1500"/>
      <c r="I43" s="1500"/>
      <c r="J43" s="1500"/>
      <c r="K43" s="1500"/>
    </row>
    <row r="44" spans="1:15" s="1491" customFormat="1" ht="12" hidden="1" customHeight="1" x14ac:dyDescent="0.25">
      <c r="A44" s="2429"/>
      <c r="B44" s="2430"/>
      <c r="C44" s="2430"/>
      <c r="D44" s="2430"/>
      <c r="E44" s="2430"/>
      <c r="F44" s="2431"/>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dimension ref="A1:N72"/>
  <sheetViews>
    <sheetView showGridLines="0" topLeftCell="A46" zoomScaleNormal="100" workbookViewId="0">
      <selection activeCell="E67" sqref="E67"/>
    </sheetView>
  </sheetViews>
  <sheetFormatPr defaultColWidth="9.140625" defaultRowHeight="15" x14ac:dyDescent="0.25"/>
  <cols>
    <col min="1" max="1" width="2.7109375" style="1917" customWidth="1"/>
    <col min="2" max="2" width="3" style="1917" customWidth="1"/>
    <col min="3" max="3" width="38" style="1917" customWidth="1"/>
    <col min="4" max="4" width="7.7109375" style="1917" customWidth="1"/>
    <col min="5" max="5" width="10.7109375" style="1917" customWidth="1"/>
    <col min="6" max="6" width="11" style="1917" customWidth="1"/>
    <col min="7" max="8" width="9.140625" style="1917"/>
    <col min="9" max="9" width="10.85546875" style="1917" customWidth="1"/>
    <col min="10" max="10" width="12.42578125" style="1917" customWidth="1"/>
    <col min="11" max="11" width="9.140625" style="1917"/>
    <col min="12" max="12" width="13.140625" style="1917" customWidth="1"/>
    <col min="13" max="13" width="9.140625" style="1917"/>
    <col min="14" max="14" width="17.85546875" style="1917" customWidth="1"/>
    <col min="15" max="16384" width="9.140625" style="1917"/>
  </cols>
  <sheetData>
    <row r="1" spans="1:14" x14ac:dyDescent="0.25">
      <c r="A1" s="2031"/>
      <c r="B1" s="2028"/>
      <c r="C1" s="2028"/>
      <c r="D1" s="2028"/>
      <c r="E1" s="2028"/>
      <c r="F1" s="2028"/>
      <c r="G1" s="2030" t="s">
        <v>402</v>
      </c>
      <c r="H1" s="2029"/>
      <c r="I1" s="2028"/>
      <c r="J1" s="2028"/>
      <c r="K1" s="2028"/>
      <c r="L1" s="2028"/>
      <c r="M1" s="2028"/>
      <c r="N1" s="2027"/>
    </row>
    <row r="2" spans="1:14" x14ac:dyDescent="0.25">
      <c r="A2" s="1960"/>
      <c r="B2" s="847"/>
      <c r="C2" s="847"/>
      <c r="D2" s="847"/>
      <c r="E2" s="847"/>
      <c r="F2" s="847"/>
      <c r="G2" s="1916" t="s">
        <v>1996</v>
      </c>
      <c r="H2" s="2026"/>
      <c r="I2" s="847"/>
      <c r="J2" s="847"/>
      <c r="K2" s="847"/>
      <c r="L2" s="847"/>
      <c r="M2" s="847"/>
      <c r="N2" s="1959"/>
    </row>
    <row r="3" spans="1:14" x14ac:dyDescent="0.25">
      <c r="A3" s="1960"/>
      <c r="B3" s="847"/>
      <c r="C3" s="847"/>
      <c r="D3" s="847"/>
      <c r="E3" s="847"/>
      <c r="F3" s="847"/>
      <c r="G3" s="1916" t="s">
        <v>403</v>
      </c>
      <c r="H3" s="847"/>
      <c r="I3" s="847"/>
      <c r="J3" s="847"/>
      <c r="K3" s="847"/>
      <c r="L3" s="847"/>
      <c r="M3" s="847"/>
      <c r="N3" s="1959"/>
    </row>
    <row r="4" spans="1:14" x14ac:dyDescent="0.25">
      <c r="A4" s="1960"/>
      <c r="B4" s="847"/>
      <c r="C4" s="847"/>
      <c r="D4" s="847"/>
      <c r="E4" s="847"/>
      <c r="F4" s="847"/>
      <c r="G4" s="1916" t="s">
        <v>862</v>
      </c>
      <c r="H4" s="847"/>
      <c r="I4" s="847"/>
      <c r="J4" s="847"/>
      <c r="K4" s="847"/>
      <c r="L4" s="847"/>
      <c r="M4" s="847"/>
      <c r="N4" s="1959"/>
    </row>
    <row r="5" spans="1:14" x14ac:dyDescent="0.25">
      <c r="A5" s="1960"/>
      <c r="B5" s="847"/>
      <c r="C5" s="847"/>
      <c r="D5" s="847"/>
      <c r="E5" s="847"/>
      <c r="F5" s="1916"/>
      <c r="G5" s="1916"/>
      <c r="H5" s="847"/>
      <c r="I5" s="847"/>
      <c r="J5" s="847"/>
      <c r="K5" s="847"/>
      <c r="L5" s="847"/>
      <c r="M5" s="847"/>
      <c r="N5" s="1959"/>
    </row>
    <row r="6" spans="1:14" x14ac:dyDescent="0.25">
      <c r="A6" s="2025" t="s">
        <v>667</v>
      </c>
      <c r="B6" s="1369"/>
      <c r="C6" s="1369"/>
      <c r="D6" s="1369"/>
      <c r="E6" s="1370"/>
      <c r="F6" s="2024"/>
      <c r="G6" s="1916"/>
      <c r="H6" s="847"/>
      <c r="I6" s="1948" t="s">
        <v>1020</v>
      </c>
      <c r="J6" s="2482" t="str">
        <f>COVER!A17</f>
        <v xml:space="preserve">  Special Ed Dist of Lake Cty (SEDOL)</v>
      </c>
      <c r="K6" s="2482"/>
      <c r="L6" s="2483"/>
      <c r="M6" s="847"/>
      <c r="N6" s="1959"/>
    </row>
    <row r="7" spans="1:14" x14ac:dyDescent="0.25">
      <c r="A7" s="2484" t="s">
        <v>863</v>
      </c>
      <c r="B7" s="2485"/>
      <c r="C7" s="2485"/>
      <c r="D7" s="2485"/>
      <c r="E7" s="2486"/>
      <c r="F7" s="2023"/>
      <c r="G7" s="847"/>
      <c r="H7" s="847"/>
      <c r="I7" s="1948" t="s">
        <v>369</v>
      </c>
      <c r="J7" s="2487">
        <f>COVER!A13</f>
        <v>34049825060</v>
      </c>
      <c r="K7" s="2487"/>
      <c r="L7" s="2487"/>
      <c r="M7" s="847"/>
      <c r="N7" s="1959"/>
    </row>
    <row r="8" spans="1:14" x14ac:dyDescent="0.25">
      <c r="A8" s="2022"/>
      <c r="B8" s="2021"/>
      <c r="C8" s="2021"/>
      <c r="D8" s="2021"/>
      <c r="E8" s="2020"/>
      <c r="F8" s="2019"/>
      <c r="G8" s="2018"/>
      <c r="H8" s="2018"/>
      <c r="I8" s="2018"/>
      <c r="J8" s="2018"/>
      <c r="K8" s="2018"/>
      <c r="L8" s="2018"/>
      <c r="M8" s="847"/>
      <c r="N8" s="1959"/>
    </row>
    <row r="9" spans="1:14" x14ac:dyDescent="0.25">
      <c r="A9" s="2017"/>
      <c r="B9" s="2016"/>
      <c r="C9" s="2016"/>
      <c r="D9" s="2015"/>
      <c r="E9" s="2014" t="s">
        <v>2056</v>
      </c>
      <c r="F9" s="2012"/>
      <c r="G9" s="2012"/>
      <c r="H9" s="2012"/>
      <c r="I9" s="2013" t="s">
        <v>2055</v>
      </c>
      <c r="J9" s="2012"/>
      <c r="K9" s="2012"/>
      <c r="L9" s="2011"/>
      <c r="M9" s="847"/>
      <c r="N9" s="1959"/>
    </row>
    <row r="10" spans="1:14" x14ac:dyDescent="0.25">
      <c r="A10" s="1960"/>
      <c r="B10" s="847"/>
      <c r="C10" s="1916"/>
      <c r="D10" s="2010"/>
      <c r="E10" s="2009" t="s">
        <v>422</v>
      </c>
      <c r="F10" s="2006" t="s">
        <v>423</v>
      </c>
      <c r="G10" s="2007" t="s">
        <v>429</v>
      </c>
      <c r="H10" s="2008"/>
      <c r="I10" s="2006" t="s">
        <v>422</v>
      </c>
      <c r="J10" s="2006" t="s">
        <v>423</v>
      </c>
      <c r="K10" s="2007" t="s">
        <v>429</v>
      </c>
      <c r="L10" s="2006"/>
      <c r="M10" s="847"/>
      <c r="N10" s="1959"/>
    </row>
    <row r="11" spans="1:14" ht="51" x14ac:dyDescent="0.25">
      <c r="A11" s="2488" t="s">
        <v>478</v>
      </c>
      <c r="B11" s="2489"/>
      <c r="C11" s="2490"/>
      <c r="D11" s="2005" t="s">
        <v>865</v>
      </c>
      <c r="E11" s="2005" t="s">
        <v>64</v>
      </c>
      <c r="F11" s="2005" t="s">
        <v>6</v>
      </c>
      <c r="G11" s="2004" t="s">
        <v>2054</v>
      </c>
      <c r="H11" s="2003" t="s">
        <v>155</v>
      </c>
      <c r="I11" s="2005" t="s">
        <v>64</v>
      </c>
      <c r="J11" s="2005" t="s">
        <v>6</v>
      </c>
      <c r="K11" s="2004" t="s">
        <v>1995</v>
      </c>
      <c r="L11" s="2003" t="s">
        <v>155</v>
      </c>
      <c r="M11" s="847"/>
      <c r="N11" s="1959"/>
    </row>
    <row r="12" spans="1:14" x14ac:dyDescent="0.25">
      <c r="A12" s="1989">
        <v>1</v>
      </c>
      <c r="B12" s="2001" t="s">
        <v>812</v>
      </c>
      <c r="C12" s="2000"/>
      <c r="D12" s="1999">
        <v>2320</v>
      </c>
      <c r="E12" s="1998">
        <f>'Expenditures 15-22'!K50</f>
        <v>1290232</v>
      </c>
      <c r="F12" s="1996"/>
      <c r="G12" s="1997">
        <f>G68</f>
        <v>0</v>
      </c>
      <c r="H12" s="1993">
        <f t="shared" ref="H12:H18" si="0">SUM(E12:G12)</f>
        <v>1290232</v>
      </c>
      <c r="I12" s="1994"/>
      <c r="J12" s="1996"/>
      <c r="K12" s="1994"/>
      <c r="L12" s="1993">
        <f t="shared" ref="L12:L18" si="1">SUM(I12:K12)</f>
        <v>0</v>
      </c>
      <c r="M12" s="847"/>
      <c r="N12" s="1959"/>
    </row>
    <row r="13" spans="1:14" x14ac:dyDescent="0.25">
      <c r="A13" s="1989">
        <v>2</v>
      </c>
      <c r="B13" s="2001" t="s">
        <v>42</v>
      </c>
      <c r="C13" s="2000"/>
      <c r="D13" s="1999">
        <v>2330</v>
      </c>
      <c r="E13" s="1998">
        <f>'Expenditures 15-22'!K51</f>
        <v>0</v>
      </c>
      <c r="F13" s="1996"/>
      <c r="G13" s="1997">
        <f>H68</f>
        <v>0</v>
      </c>
      <c r="H13" s="1993">
        <f t="shared" si="0"/>
        <v>0</v>
      </c>
      <c r="I13" s="1994"/>
      <c r="J13" s="1996"/>
      <c r="K13" s="1994"/>
      <c r="L13" s="1993">
        <f t="shared" si="1"/>
        <v>0</v>
      </c>
      <c r="M13" s="847"/>
      <c r="N13" s="1959"/>
    </row>
    <row r="14" spans="1:14" x14ac:dyDescent="0.25">
      <c r="A14" s="1989">
        <v>3</v>
      </c>
      <c r="B14" s="2001" t="s">
        <v>43</v>
      </c>
      <c r="C14" s="2000"/>
      <c r="D14" s="2002">
        <v>2490</v>
      </c>
      <c r="E14" s="1998">
        <f>'Expenditures 15-22'!K56</f>
        <v>69738</v>
      </c>
      <c r="F14" s="1996"/>
      <c r="G14" s="1997">
        <f>I68</f>
        <v>0</v>
      </c>
      <c r="H14" s="1993">
        <f t="shared" si="0"/>
        <v>69738</v>
      </c>
      <c r="I14" s="1994"/>
      <c r="J14" s="1996"/>
      <c r="K14" s="1994"/>
      <c r="L14" s="1993">
        <f t="shared" si="1"/>
        <v>0</v>
      </c>
      <c r="M14" s="847"/>
      <c r="N14" s="1959"/>
    </row>
    <row r="15" spans="1:14" x14ac:dyDescent="0.25">
      <c r="A15" s="1989">
        <v>4</v>
      </c>
      <c r="B15" s="2001" t="s">
        <v>1058</v>
      </c>
      <c r="C15" s="2000"/>
      <c r="D15" s="1999">
        <v>2510</v>
      </c>
      <c r="E15" s="1998">
        <f>'Expenditures 15-22'!K59</f>
        <v>259808</v>
      </c>
      <c r="F15" s="1998">
        <f>'Expenditures 15-22'!K122</f>
        <v>0</v>
      </c>
      <c r="G15" s="1997">
        <f>J68</f>
        <v>0</v>
      </c>
      <c r="H15" s="1993">
        <f t="shared" si="0"/>
        <v>259808</v>
      </c>
      <c r="I15" s="1994"/>
      <c r="J15" s="1994"/>
      <c r="K15" s="1994"/>
      <c r="L15" s="1993">
        <f t="shared" si="1"/>
        <v>0</v>
      </c>
      <c r="M15" s="847"/>
      <c r="N15" s="1959"/>
    </row>
    <row r="16" spans="1:14" x14ac:dyDescent="0.25">
      <c r="A16" s="1989">
        <v>5</v>
      </c>
      <c r="B16" s="2001" t="s">
        <v>101</v>
      </c>
      <c r="C16" s="2000"/>
      <c r="D16" s="1999">
        <v>2570</v>
      </c>
      <c r="E16" s="1998">
        <f>'Expenditures 15-22'!K64</f>
        <v>0</v>
      </c>
      <c r="F16" s="1996"/>
      <c r="G16" s="1997">
        <f>K68</f>
        <v>0</v>
      </c>
      <c r="H16" s="1993">
        <f t="shared" si="0"/>
        <v>0</v>
      </c>
      <c r="I16" s="1994"/>
      <c r="J16" s="1996"/>
      <c r="K16" s="1994"/>
      <c r="L16" s="1993">
        <f t="shared" si="1"/>
        <v>0</v>
      </c>
      <c r="M16" s="847"/>
      <c r="N16" s="1959"/>
    </row>
    <row r="17" spans="1:14" x14ac:dyDescent="0.25">
      <c r="A17" s="1989">
        <v>6</v>
      </c>
      <c r="B17" s="2001" t="s">
        <v>1050</v>
      </c>
      <c r="C17" s="2000"/>
      <c r="D17" s="1999">
        <v>2610</v>
      </c>
      <c r="E17" s="1998">
        <f>'Expenditures 15-22'!K67</f>
        <v>0</v>
      </c>
      <c r="F17" s="1996"/>
      <c r="G17" s="1997">
        <f>L68</f>
        <v>0</v>
      </c>
      <c r="H17" s="1993">
        <f t="shared" si="0"/>
        <v>0</v>
      </c>
      <c r="I17" s="1994"/>
      <c r="J17" s="1996"/>
      <c r="K17" s="1994"/>
      <c r="L17" s="1993">
        <f t="shared" si="1"/>
        <v>0</v>
      </c>
      <c r="M17" s="847"/>
      <c r="N17" s="1959"/>
    </row>
    <row r="18" spans="1:14" ht="28.5" customHeight="1" x14ac:dyDescent="0.25">
      <c r="A18" s="1995">
        <v>7</v>
      </c>
      <c r="B18" s="2491" t="s">
        <v>7</v>
      </c>
      <c r="C18" s="2491"/>
      <c r="D18" s="2492"/>
      <c r="E18" s="1994"/>
      <c r="F18" s="1994"/>
      <c r="G18" s="1994"/>
      <c r="H18" s="1993">
        <f t="shared" si="0"/>
        <v>0</v>
      </c>
      <c r="I18" s="1994"/>
      <c r="J18" s="1994"/>
      <c r="K18" s="1994"/>
      <c r="L18" s="1993">
        <f t="shared" si="1"/>
        <v>0</v>
      </c>
      <c r="M18" s="847"/>
      <c r="N18" s="1959"/>
    </row>
    <row r="19" spans="1:14" ht="15.75" thickBot="1" x14ac:dyDescent="0.3">
      <c r="A19" s="1989">
        <v>8</v>
      </c>
      <c r="B19" s="1992" t="s">
        <v>1150</v>
      </c>
      <c r="C19" s="847"/>
      <c r="D19" s="1991"/>
      <c r="E19" s="1990">
        <f t="shared" ref="E19:L19" si="2">SUM(E12:E17)-E18</f>
        <v>1619778</v>
      </c>
      <c r="F19" s="1990">
        <f t="shared" si="2"/>
        <v>0</v>
      </c>
      <c r="G19" s="1990">
        <f t="shared" si="2"/>
        <v>0</v>
      </c>
      <c r="H19" s="1990">
        <f t="shared" si="2"/>
        <v>1619778</v>
      </c>
      <c r="I19" s="1990">
        <f t="shared" si="2"/>
        <v>0</v>
      </c>
      <c r="J19" s="1990">
        <f t="shared" si="2"/>
        <v>0</v>
      </c>
      <c r="K19" s="1990">
        <f t="shared" si="2"/>
        <v>0</v>
      </c>
      <c r="L19" s="1990">
        <f t="shared" si="2"/>
        <v>0</v>
      </c>
      <c r="M19" s="847"/>
      <c r="N19" s="1959"/>
    </row>
    <row r="20" spans="1:14" ht="15.75" thickTop="1" x14ac:dyDescent="0.25">
      <c r="A20" s="1989">
        <v>9</v>
      </c>
      <c r="B20" s="2480" t="s">
        <v>2053</v>
      </c>
      <c r="C20" s="2480"/>
      <c r="D20" s="2481"/>
      <c r="E20" s="1988"/>
      <c r="F20" s="1988"/>
      <c r="G20" s="1988"/>
      <c r="H20" s="1988"/>
      <c r="I20" s="1988"/>
      <c r="J20" s="1988"/>
      <c r="K20" s="1988"/>
      <c r="L20" s="1987" t="str">
        <f>IF(AND(H19&gt;0,L19&gt;0),(((L19-H19)/H19)),"Enter Budget Data")</f>
        <v>Enter Budget Data</v>
      </c>
      <c r="M20" s="847"/>
      <c r="N20" s="1959"/>
    </row>
    <row r="21" spans="1:14" x14ac:dyDescent="0.25">
      <c r="A21" s="1986" t="s">
        <v>194</v>
      </c>
      <c r="B21" s="294" t="s">
        <v>2052</v>
      </c>
      <c r="C21" s="847"/>
      <c r="D21" s="1970"/>
      <c r="E21" s="1969"/>
      <c r="F21" s="1985"/>
      <c r="G21" s="1985"/>
      <c r="H21" s="1985"/>
      <c r="I21" s="1985"/>
      <c r="J21" s="1985"/>
      <c r="K21" s="1985"/>
      <c r="L21" s="1984"/>
      <c r="M21" s="847"/>
      <c r="N21" s="1959"/>
    </row>
    <row r="22" spans="1:14" x14ac:dyDescent="0.25">
      <c r="A22" s="1960"/>
      <c r="B22" s="1972"/>
      <c r="C22" s="847"/>
      <c r="D22" s="847"/>
      <c r="E22" s="847"/>
      <c r="F22" s="847"/>
      <c r="G22" s="847"/>
      <c r="H22" s="847"/>
      <c r="I22" s="847"/>
      <c r="J22" s="847"/>
      <c r="K22" s="847"/>
      <c r="L22" s="847"/>
      <c r="M22" s="847"/>
      <c r="N22" s="1959"/>
    </row>
    <row r="23" spans="1:14" x14ac:dyDescent="0.25">
      <c r="A23" s="1983" t="s">
        <v>132</v>
      </c>
      <c r="B23" s="1972"/>
      <c r="C23" s="847"/>
      <c r="D23" s="847"/>
      <c r="E23" s="847"/>
      <c r="F23" s="847"/>
      <c r="G23" s="847"/>
      <c r="H23" s="847"/>
      <c r="I23" s="847"/>
      <c r="J23" s="847"/>
      <c r="K23" s="847"/>
      <c r="L23" s="847"/>
      <c r="M23" s="847"/>
      <c r="N23" s="1959"/>
    </row>
    <row r="24" spans="1:14" x14ac:dyDescent="0.25">
      <c r="A24" s="1982" t="s">
        <v>2051</v>
      </c>
      <c r="B24" s="1981"/>
      <c r="C24" s="1980"/>
      <c r="D24" s="1980"/>
      <c r="E24" s="1980"/>
      <c r="F24" s="1980"/>
      <c r="G24" s="1980"/>
      <c r="H24" s="1980"/>
      <c r="I24" s="1980"/>
      <c r="J24" s="1980"/>
      <c r="K24" s="1980"/>
      <c r="L24" s="847"/>
      <c r="M24" s="847"/>
      <c r="N24" s="1959"/>
    </row>
    <row r="25" spans="1:14" x14ac:dyDescent="0.25">
      <c r="A25" s="1982" t="s">
        <v>2050</v>
      </c>
      <c r="B25" s="1981"/>
      <c r="C25" s="1980"/>
      <c r="D25" s="1980"/>
      <c r="E25" s="1980"/>
      <c r="F25" s="1980"/>
      <c r="G25" s="1980"/>
      <c r="H25" s="1980"/>
      <c r="I25" s="1980"/>
      <c r="J25" s="1980"/>
      <c r="K25" s="1980"/>
      <c r="L25" s="847"/>
      <c r="M25" s="847"/>
      <c r="N25" s="1959"/>
    </row>
    <row r="26" spans="1:14" x14ac:dyDescent="0.25">
      <c r="A26" s="1979"/>
      <c r="B26" s="1972"/>
      <c r="C26" s="847"/>
      <c r="D26" s="847"/>
      <c r="E26" s="847"/>
      <c r="F26" s="847"/>
      <c r="G26" s="847"/>
      <c r="H26" s="847"/>
      <c r="I26" s="847"/>
      <c r="J26" s="847"/>
      <c r="K26" s="847"/>
      <c r="L26" s="847"/>
      <c r="M26" s="847"/>
      <c r="N26" s="1959"/>
    </row>
    <row r="27" spans="1:14" x14ac:dyDescent="0.25">
      <c r="A27" s="1960"/>
      <c r="B27" s="1972"/>
      <c r="C27" s="2466"/>
      <c r="D27" s="2466"/>
      <c r="E27" s="1978"/>
      <c r="F27" s="2467"/>
      <c r="G27" s="2467"/>
      <c r="H27" s="2467"/>
      <c r="I27" s="847"/>
      <c r="J27" s="847"/>
      <c r="K27" s="847"/>
      <c r="L27" s="847"/>
      <c r="M27" s="847"/>
      <c r="N27" s="1959"/>
    </row>
    <row r="28" spans="1:14" x14ac:dyDescent="0.25">
      <c r="A28" s="1960"/>
      <c r="B28" s="1972"/>
      <c r="C28" s="1977" t="s">
        <v>1025</v>
      </c>
      <c r="D28" s="1976"/>
      <c r="E28" s="1975"/>
      <c r="F28" s="2468" t="s">
        <v>1489</v>
      </c>
      <c r="G28" s="2468"/>
      <c r="H28" s="2468"/>
      <c r="I28" s="847"/>
      <c r="J28" s="847"/>
      <c r="K28" s="847"/>
      <c r="L28" s="847"/>
      <c r="M28" s="847"/>
      <c r="N28" s="1959"/>
    </row>
    <row r="29" spans="1:14" x14ac:dyDescent="0.25">
      <c r="A29" s="1960"/>
      <c r="B29" s="1972"/>
      <c r="C29" s="2469"/>
      <c r="D29" s="2469"/>
      <c r="E29" s="846"/>
      <c r="F29" s="2469"/>
      <c r="G29" s="2469"/>
      <c r="H29" s="2469"/>
      <c r="I29" s="847"/>
      <c r="J29" s="847"/>
      <c r="K29" s="847"/>
      <c r="L29" s="847"/>
      <c r="M29" s="847"/>
      <c r="N29" s="1959"/>
    </row>
    <row r="30" spans="1:14" x14ac:dyDescent="0.25">
      <c r="A30" s="1960"/>
      <c r="B30" s="1972"/>
      <c r="C30" s="1974" t="s">
        <v>1541</v>
      </c>
      <c r="D30" s="847"/>
      <c r="E30" s="1973"/>
      <c r="F30" s="2470" t="s">
        <v>1490</v>
      </c>
      <c r="G30" s="2470"/>
      <c r="H30" s="2470"/>
      <c r="I30" s="847"/>
      <c r="J30" s="847"/>
      <c r="K30" s="847"/>
      <c r="L30" s="847"/>
      <c r="M30" s="847"/>
      <c r="N30" s="1959"/>
    </row>
    <row r="31" spans="1:14" x14ac:dyDescent="0.25">
      <c r="A31" s="1960"/>
      <c r="B31" s="1972"/>
      <c r="C31" s="1971"/>
      <c r="D31" s="847"/>
      <c r="E31" s="1970"/>
      <c r="F31" s="1969"/>
      <c r="G31" s="1969"/>
      <c r="H31" s="1969"/>
      <c r="I31" s="847"/>
      <c r="J31" s="847"/>
      <c r="K31" s="847"/>
      <c r="L31" s="847"/>
      <c r="M31" s="847"/>
      <c r="N31" s="1959"/>
    </row>
    <row r="32" spans="1:14" x14ac:dyDescent="0.25">
      <c r="A32" s="1960"/>
      <c r="B32" s="1968" t="s">
        <v>1026</v>
      </c>
      <c r="C32" s="847"/>
      <c r="D32" s="847"/>
      <c r="E32" s="847"/>
      <c r="F32" s="847"/>
      <c r="G32" s="847"/>
      <c r="H32" s="847"/>
      <c r="I32" s="847"/>
      <c r="J32" s="847"/>
      <c r="K32" s="847"/>
      <c r="L32" s="847"/>
      <c r="M32" s="847"/>
      <c r="N32" s="1959"/>
    </row>
    <row r="33" spans="1:14" x14ac:dyDescent="0.25">
      <c r="A33" s="1960"/>
      <c r="B33" s="1967"/>
      <c r="C33" s="847"/>
      <c r="D33" s="847"/>
      <c r="E33" s="847"/>
      <c r="F33" s="847"/>
      <c r="G33" s="847"/>
      <c r="H33" s="847"/>
      <c r="I33" s="847"/>
      <c r="J33" s="847"/>
      <c r="K33" s="847"/>
      <c r="L33" s="847"/>
      <c r="M33" s="847"/>
      <c r="N33" s="1959"/>
    </row>
    <row r="34" spans="1:14" x14ac:dyDescent="0.25">
      <c r="A34" s="1960"/>
      <c r="B34" s="1962"/>
      <c r="C34" s="2471" t="s">
        <v>2049</v>
      </c>
      <c r="D34" s="2471"/>
      <c r="E34" s="2471"/>
      <c r="F34" s="2471"/>
      <c r="G34" s="2471"/>
      <c r="H34" s="2471"/>
      <c r="I34" s="2471"/>
      <c r="J34" s="2471"/>
      <c r="K34" s="1966"/>
      <c r="L34" s="847"/>
      <c r="M34" s="847"/>
      <c r="N34" s="1959"/>
    </row>
    <row r="35" spans="1:14" x14ac:dyDescent="0.25">
      <c r="A35" s="1960"/>
      <c r="B35" s="847"/>
      <c r="C35" s="2471"/>
      <c r="D35" s="2471"/>
      <c r="E35" s="2471"/>
      <c r="F35" s="2471"/>
      <c r="G35" s="2471"/>
      <c r="H35" s="2471"/>
      <c r="I35" s="2471"/>
      <c r="J35" s="2471"/>
      <c r="K35" s="1966"/>
      <c r="L35" s="847"/>
      <c r="M35" s="847"/>
      <c r="N35" s="1959"/>
    </row>
    <row r="36" spans="1:14" x14ac:dyDescent="0.25">
      <c r="A36" s="1960"/>
      <c r="B36" s="847"/>
      <c r="C36" s="1965"/>
      <c r="D36" s="847"/>
      <c r="E36" s="847"/>
      <c r="F36" s="847"/>
      <c r="G36" s="847"/>
      <c r="H36" s="847"/>
      <c r="I36" s="847"/>
      <c r="J36" s="847"/>
      <c r="K36" s="847"/>
      <c r="L36" s="847"/>
      <c r="M36" s="847"/>
      <c r="N36" s="1959"/>
    </row>
    <row r="37" spans="1:14" x14ac:dyDescent="0.25">
      <c r="A37" s="1960"/>
      <c r="B37" s="1962"/>
      <c r="C37" s="2471" t="s">
        <v>2048</v>
      </c>
      <c r="D37" s="2471"/>
      <c r="E37" s="2471"/>
      <c r="F37" s="2471"/>
      <c r="G37" s="2471"/>
      <c r="H37" s="2471"/>
      <c r="I37" s="2471"/>
      <c r="J37" s="2471"/>
      <c r="K37" s="1966"/>
      <c r="L37" s="838"/>
      <c r="M37" s="847"/>
      <c r="N37" s="1959"/>
    </row>
    <row r="38" spans="1:14" x14ac:dyDescent="0.25">
      <c r="A38" s="1960"/>
      <c r="B38" s="847"/>
      <c r="C38" s="2471"/>
      <c r="D38" s="2471"/>
      <c r="E38" s="2471"/>
      <c r="F38" s="2471"/>
      <c r="G38" s="2471"/>
      <c r="H38" s="2471"/>
      <c r="I38" s="2471"/>
      <c r="J38" s="2471"/>
      <c r="K38" s="1966"/>
      <c r="L38" s="838"/>
      <c r="M38" s="847"/>
      <c r="N38" s="1959"/>
    </row>
    <row r="39" spans="1:14" x14ac:dyDescent="0.25">
      <c r="A39" s="1960"/>
      <c r="B39" s="847"/>
      <c r="C39" s="1965"/>
      <c r="D39" s="847"/>
      <c r="E39" s="1963"/>
      <c r="F39" s="1964"/>
      <c r="G39" s="1964"/>
      <c r="H39" s="1963"/>
      <c r="I39" s="847"/>
      <c r="J39" s="847"/>
      <c r="K39" s="847"/>
      <c r="L39" s="847"/>
      <c r="M39" s="847"/>
      <c r="N39" s="1959"/>
    </row>
    <row r="40" spans="1:14" x14ac:dyDescent="0.25">
      <c r="A40" s="1960"/>
      <c r="B40" s="1962"/>
      <c r="C40" s="2472" t="s">
        <v>2047</v>
      </c>
      <c r="D40" s="2473"/>
      <c r="E40" s="2473"/>
      <c r="F40" s="2473"/>
      <c r="G40" s="2473"/>
      <c r="H40" s="2473"/>
      <c r="I40" s="2473"/>
      <c r="J40" s="2473"/>
      <c r="K40" s="1961"/>
      <c r="L40" s="847"/>
      <c r="M40" s="847"/>
      <c r="N40" s="1959"/>
    </row>
    <row r="41" spans="1:14" x14ac:dyDescent="0.25">
      <c r="A41" s="1960"/>
      <c r="B41" s="847"/>
      <c r="C41" s="839"/>
      <c r="D41" s="839"/>
      <c r="E41" s="839"/>
      <c r="F41" s="839"/>
      <c r="G41" s="839"/>
      <c r="H41" s="839"/>
      <c r="I41" s="839"/>
      <c r="J41" s="839"/>
      <c r="K41" s="839"/>
      <c r="L41" s="847"/>
      <c r="M41" s="847"/>
      <c r="N41" s="1959"/>
    </row>
    <row r="42" spans="1:14" ht="15.75" thickBot="1" x14ac:dyDescent="0.3">
      <c r="A42" s="1958"/>
      <c r="B42" s="1957"/>
      <c r="C42" s="1957"/>
      <c r="D42" s="1957"/>
      <c r="E42" s="1957"/>
      <c r="F42" s="1957"/>
      <c r="G42" s="1957"/>
      <c r="H42" s="1957"/>
      <c r="I42" s="1957"/>
      <c r="J42" s="1957"/>
      <c r="K42" s="1957"/>
      <c r="L42" s="1957"/>
      <c r="M42" s="1957"/>
      <c r="N42" s="1956"/>
    </row>
    <row r="43" spans="1:14" ht="27" thickBot="1" x14ac:dyDescent="0.45">
      <c r="A43" s="2474" t="s">
        <v>2046</v>
      </c>
      <c r="B43" s="2475"/>
      <c r="C43" s="2475"/>
      <c r="D43" s="2475"/>
      <c r="E43" s="2475"/>
      <c r="F43" s="2475"/>
      <c r="G43" s="2475"/>
      <c r="H43" s="2475"/>
      <c r="I43" s="2475"/>
      <c r="J43" s="2475"/>
      <c r="K43" s="2475"/>
      <c r="L43" s="2475"/>
      <c r="M43" s="2475"/>
      <c r="N43" s="2476"/>
    </row>
    <row r="44" spans="1:14" x14ac:dyDescent="0.25">
      <c r="A44" s="1947"/>
      <c r="B44" s="1946"/>
      <c r="C44" s="1946"/>
      <c r="D44" s="1946"/>
      <c r="E44" s="1946"/>
      <c r="F44" s="1946"/>
      <c r="G44" s="1946"/>
      <c r="H44" s="1946"/>
      <c r="I44" s="1946"/>
      <c r="J44" s="1946"/>
      <c r="K44" s="1946"/>
      <c r="L44" s="1946"/>
      <c r="M44" s="1946"/>
      <c r="N44" s="1945"/>
    </row>
    <row r="45" spans="1:14" x14ac:dyDescent="0.25">
      <c r="A45" s="1947" t="s">
        <v>2045</v>
      </c>
      <c r="B45" s="1946"/>
      <c r="C45" s="1946"/>
      <c r="D45" s="1946"/>
      <c r="E45" s="1946"/>
      <c r="F45" s="1946"/>
      <c r="G45" s="1946"/>
      <c r="H45" s="1946"/>
      <c r="I45" s="1946"/>
      <c r="J45" s="1946"/>
      <c r="K45" s="1946"/>
      <c r="L45" s="1946"/>
      <c r="M45" s="1946"/>
      <c r="N45" s="1945"/>
    </row>
    <row r="46" spans="1:14" x14ac:dyDescent="0.25">
      <c r="A46" s="2477" t="s">
        <v>2044</v>
      </c>
      <c r="B46" s="2478"/>
      <c r="C46" s="2478"/>
      <c r="D46" s="2478"/>
      <c r="E46" s="2478"/>
      <c r="F46" s="2478"/>
      <c r="G46" s="2478"/>
      <c r="H46" s="2478"/>
      <c r="I46" s="2478"/>
      <c r="J46" s="2478"/>
      <c r="K46" s="2478"/>
      <c r="L46" s="2478"/>
      <c r="M46" s="2478"/>
      <c r="N46" s="2479"/>
    </row>
    <row r="47" spans="1:14" x14ac:dyDescent="0.25">
      <c r="A47" s="2477"/>
      <c r="B47" s="2478"/>
      <c r="C47" s="2478"/>
      <c r="D47" s="2478"/>
      <c r="E47" s="2478"/>
      <c r="F47" s="2478"/>
      <c r="G47" s="2478"/>
      <c r="H47" s="2478"/>
      <c r="I47" s="2478"/>
      <c r="J47" s="2478"/>
      <c r="K47" s="2478"/>
      <c r="L47" s="2478"/>
      <c r="M47" s="2478"/>
      <c r="N47" s="2479"/>
    </row>
    <row r="48" spans="1:14" x14ac:dyDescent="0.25">
      <c r="A48" s="1955"/>
      <c r="B48" s="1946"/>
      <c r="C48" s="1946"/>
      <c r="D48" s="1954"/>
      <c r="E48" s="1954"/>
      <c r="F48" s="1954"/>
      <c r="G48" s="1954"/>
      <c r="H48" s="1954"/>
      <c r="I48" s="1954"/>
      <c r="J48" s="1954"/>
      <c r="K48" s="1954"/>
      <c r="L48" s="1954"/>
      <c r="M48" s="1954"/>
      <c r="N48" s="1953"/>
    </row>
    <row r="49" spans="1:14" ht="15.75" x14ac:dyDescent="0.25">
      <c r="A49" s="1949" t="s">
        <v>2043</v>
      </c>
      <c r="B49" s="1952"/>
      <c r="C49" s="1952"/>
      <c r="D49" s="1951"/>
      <c r="E49" s="1951"/>
      <c r="F49" s="1951"/>
      <c r="G49" s="1951"/>
      <c r="H49" s="1951"/>
      <c r="I49" s="1951"/>
      <c r="J49" s="1951"/>
      <c r="K49" s="1951"/>
      <c r="L49" s="1951"/>
      <c r="M49" s="1951"/>
      <c r="N49" s="1950"/>
    </row>
    <row r="50" spans="1:14" x14ac:dyDescent="0.25">
      <c r="A50" s="1949" t="s">
        <v>2042</v>
      </c>
      <c r="B50" s="1946"/>
      <c r="C50" s="1946"/>
      <c r="D50" s="1946"/>
      <c r="E50" s="1946"/>
      <c r="F50" s="1946"/>
      <c r="G50" s="1946"/>
      <c r="H50" s="1946"/>
      <c r="I50" s="1946"/>
      <c r="J50" s="1946"/>
      <c r="K50" s="1946"/>
      <c r="L50" s="1946"/>
      <c r="M50" s="1946"/>
      <c r="N50" s="1945"/>
    </row>
    <row r="51" spans="1:14" x14ac:dyDescent="0.25">
      <c r="A51" s="1947"/>
      <c r="B51" s="1946"/>
      <c r="C51" s="1946"/>
      <c r="D51" s="1946"/>
      <c r="E51" s="1946"/>
      <c r="F51" s="1946"/>
      <c r="G51" s="1946"/>
      <c r="H51" s="1946"/>
      <c r="I51" s="1946"/>
      <c r="J51" s="1946"/>
      <c r="K51" s="1946"/>
      <c r="L51" s="1946"/>
      <c r="M51" s="1946"/>
      <c r="N51" s="1945"/>
    </row>
    <row r="52" spans="1:14" x14ac:dyDescent="0.25">
      <c r="A52" s="1947"/>
      <c r="B52" s="1946"/>
      <c r="C52" s="1946"/>
      <c r="D52" s="1946"/>
      <c r="E52" s="1946"/>
      <c r="F52" s="1946"/>
      <c r="G52" s="1946"/>
      <c r="H52" s="1946"/>
      <c r="I52" s="1946"/>
      <c r="J52" s="1946"/>
      <c r="K52" s="1948" t="s">
        <v>1020</v>
      </c>
      <c r="L52" s="2464" t="str">
        <f>J6</f>
        <v xml:space="preserve">  Special Ed Dist of Lake Cty (SEDOL)</v>
      </c>
      <c r="M52" s="2464"/>
      <c r="N52" s="2465"/>
    </row>
    <row r="53" spans="1:14" x14ac:dyDescent="0.25">
      <c r="A53" s="1947"/>
      <c r="B53" s="1946"/>
      <c r="C53" s="1946"/>
      <c r="D53" s="1946"/>
      <c r="E53" s="1946"/>
      <c r="F53" s="1946"/>
      <c r="G53" s="1946"/>
      <c r="H53" s="1946"/>
      <c r="I53" s="1946"/>
      <c r="J53" s="1946"/>
      <c r="K53" s="1948" t="s">
        <v>369</v>
      </c>
      <c r="L53" s="2451">
        <f>J7</f>
        <v>34049825060</v>
      </c>
      <c r="M53" s="2451"/>
      <c r="N53" s="2452"/>
    </row>
    <row r="54" spans="1:14" ht="15.75" thickBot="1" x14ac:dyDescent="0.3">
      <c r="A54" s="1947"/>
      <c r="B54" s="1946"/>
      <c r="C54" s="1946"/>
      <c r="D54" s="1946"/>
      <c r="E54" s="1946"/>
      <c r="F54" s="1946"/>
      <c r="G54" s="1946"/>
      <c r="H54" s="1946"/>
      <c r="I54" s="1946"/>
      <c r="J54" s="1946"/>
      <c r="K54" s="1946"/>
      <c r="L54" s="1946"/>
      <c r="M54" s="1946"/>
      <c r="N54" s="1945"/>
    </row>
    <row r="55" spans="1:14" x14ac:dyDescent="0.25">
      <c r="A55" s="2453"/>
      <c r="B55" s="2454"/>
      <c r="C55" s="2454"/>
      <c r="D55" s="1929"/>
      <c r="E55" s="1929"/>
      <c r="F55" s="1929"/>
      <c r="G55" s="2455" t="s">
        <v>2041</v>
      </c>
      <c r="H55" s="2455"/>
      <c r="I55" s="2455"/>
      <c r="J55" s="2455"/>
      <c r="K55" s="2455"/>
      <c r="L55" s="2455"/>
      <c r="M55" s="2455"/>
      <c r="N55" s="2456"/>
    </row>
    <row r="56" spans="1:14" ht="64.5" x14ac:dyDescent="0.25">
      <c r="A56" s="2457" t="s">
        <v>2040</v>
      </c>
      <c r="B56" s="2458"/>
      <c r="C56" s="2459"/>
      <c r="D56" s="1943" t="s">
        <v>2039</v>
      </c>
      <c r="E56" s="1943" t="s">
        <v>2038</v>
      </c>
      <c r="F56" s="1944"/>
      <c r="G56" s="1943" t="s">
        <v>2037</v>
      </c>
      <c r="H56" s="1943" t="s">
        <v>2036</v>
      </c>
      <c r="I56" s="1943" t="s">
        <v>2035</v>
      </c>
      <c r="J56" s="1943" t="s">
        <v>2034</v>
      </c>
      <c r="K56" s="1943" t="s">
        <v>2033</v>
      </c>
      <c r="L56" s="1943" t="s">
        <v>2032</v>
      </c>
      <c r="M56" s="1943" t="s">
        <v>2031</v>
      </c>
      <c r="N56" s="1942" t="s">
        <v>2030</v>
      </c>
    </row>
    <row r="57" spans="1:14" ht="24" customHeight="1" x14ac:dyDescent="0.25">
      <c r="A57" s="2460" t="s">
        <v>296</v>
      </c>
      <c r="B57" s="2461"/>
      <c r="C57" s="2461"/>
      <c r="D57" s="1941">
        <v>2361</v>
      </c>
      <c r="E57" s="1940">
        <f>'Expenditures 15-22'!K319</f>
        <v>0</v>
      </c>
      <c r="F57" s="1933"/>
      <c r="G57" s="1939"/>
      <c r="H57" s="1938"/>
      <c r="I57" s="1938"/>
      <c r="J57" s="1938"/>
      <c r="K57" s="1938"/>
      <c r="L57" s="1938"/>
      <c r="M57" s="1938"/>
      <c r="N57" s="1930">
        <f t="shared" ref="N57:N67" si="3">IF((SUM(G57:M57))=E57,SUM(G57:M57),"Column N does not agree with Column E")</f>
        <v>0</v>
      </c>
    </row>
    <row r="58" spans="1:14" ht="24.75" customHeight="1" x14ac:dyDescent="0.25">
      <c r="A58" s="2462" t="s">
        <v>2029</v>
      </c>
      <c r="B58" s="2463"/>
      <c r="C58" s="2463"/>
      <c r="D58" s="1937">
        <v>2362</v>
      </c>
      <c r="E58" s="1940">
        <f>'Expenditures 15-22'!K320</f>
        <v>0</v>
      </c>
      <c r="F58" s="1933"/>
      <c r="G58" s="1936"/>
      <c r="H58" s="1935"/>
      <c r="I58" s="1935"/>
      <c r="J58" s="1935"/>
      <c r="K58" s="1935"/>
      <c r="L58" s="1935"/>
      <c r="M58" s="1935"/>
      <c r="N58" s="1930">
        <f t="shared" si="3"/>
        <v>0</v>
      </c>
    </row>
    <row r="59" spans="1:14" ht="24.75" customHeight="1" x14ac:dyDescent="0.25">
      <c r="A59" s="2445" t="s">
        <v>297</v>
      </c>
      <c r="B59" s="2446"/>
      <c r="C59" s="2446"/>
      <c r="D59" s="1937">
        <v>2363</v>
      </c>
      <c r="E59" s="1940">
        <f>'Expenditures 15-22'!K321</f>
        <v>0</v>
      </c>
      <c r="F59" s="1933"/>
      <c r="G59" s="1936"/>
      <c r="H59" s="1935"/>
      <c r="I59" s="1935"/>
      <c r="J59" s="1935"/>
      <c r="K59" s="1935"/>
      <c r="L59" s="1935"/>
      <c r="M59" s="1935"/>
      <c r="N59" s="1930">
        <f t="shared" si="3"/>
        <v>0</v>
      </c>
    </row>
    <row r="60" spans="1:14" ht="24.75" customHeight="1" x14ac:dyDescent="0.25">
      <c r="A60" s="2445" t="s">
        <v>236</v>
      </c>
      <c r="B60" s="2446"/>
      <c r="C60" s="2446"/>
      <c r="D60" s="1937">
        <v>2364</v>
      </c>
      <c r="E60" s="1940">
        <f>'Expenditures 15-22'!K322</f>
        <v>0</v>
      </c>
      <c r="F60" s="1933"/>
      <c r="G60" s="1936"/>
      <c r="H60" s="1935"/>
      <c r="I60" s="1935"/>
      <c r="J60" s="1935"/>
      <c r="K60" s="1935"/>
      <c r="L60" s="1935"/>
      <c r="M60" s="1935"/>
      <c r="N60" s="1930">
        <f t="shared" si="3"/>
        <v>0</v>
      </c>
    </row>
    <row r="61" spans="1:14" ht="24.75" customHeight="1" x14ac:dyDescent="0.25">
      <c r="A61" s="2445" t="s">
        <v>696</v>
      </c>
      <c r="B61" s="2446"/>
      <c r="C61" s="2446"/>
      <c r="D61" s="1937">
        <v>2365</v>
      </c>
      <c r="E61" s="1940">
        <f>'Expenditures 15-22'!K323</f>
        <v>0</v>
      </c>
      <c r="F61" s="1933"/>
      <c r="G61" s="1936"/>
      <c r="H61" s="1935"/>
      <c r="I61" s="1935"/>
      <c r="J61" s="1935"/>
      <c r="K61" s="1935"/>
      <c r="L61" s="1935"/>
      <c r="M61" s="1935"/>
      <c r="N61" s="1930">
        <f t="shared" si="3"/>
        <v>0</v>
      </c>
    </row>
    <row r="62" spans="1:14" ht="24.75" customHeight="1" x14ac:dyDescent="0.25">
      <c r="A62" s="2445" t="s">
        <v>237</v>
      </c>
      <c r="B62" s="2446"/>
      <c r="C62" s="2446"/>
      <c r="D62" s="1937">
        <v>2366</v>
      </c>
      <c r="E62" s="1940">
        <f>'Expenditures 15-22'!K324</f>
        <v>0</v>
      </c>
      <c r="F62" s="1933"/>
      <c r="G62" s="1936"/>
      <c r="H62" s="1935"/>
      <c r="I62" s="1935"/>
      <c r="J62" s="1935"/>
      <c r="K62" s="1935"/>
      <c r="L62" s="1935"/>
      <c r="M62" s="1935"/>
      <c r="N62" s="1930">
        <f t="shared" si="3"/>
        <v>0</v>
      </c>
    </row>
    <row r="63" spans="1:14" ht="24.75" customHeight="1" x14ac:dyDescent="0.25">
      <c r="A63" s="2462" t="s">
        <v>1021</v>
      </c>
      <c r="B63" s="2463"/>
      <c r="C63" s="2463"/>
      <c r="D63" s="1937">
        <v>2367</v>
      </c>
      <c r="E63" s="1940">
        <f>'Expenditures 15-22'!K325</f>
        <v>0</v>
      </c>
      <c r="F63" s="1933"/>
      <c r="G63" s="1936"/>
      <c r="H63" s="1935"/>
      <c r="I63" s="1935"/>
      <c r="J63" s="1935"/>
      <c r="K63" s="1935"/>
      <c r="L63" s="1935"/>
      <c r="M63" s="1935"/>
      <c r="N63" s="1930">
        <f t="shared" si="3"/>
        <v>0</v>
      </c>
    </row>
    <row r="64" spans="1:14" ht="24.75" customHeight="1" x14ac:dyDescent="0.25">
      <c r="A64" s="2445" t="s">
        <v>1022</v>
      </c>
      <c r="B64" s="2446"/>
      <c r="C64" s="2446"/>
      <c r="D64" s="1937">
        <v>2368</v>
      </c>
      <c r="E64" s="1940">
        <f>'Expenditures 15-22'!K326</f>
        <v>0</v>
      </c>
      <c r="F64" s="1933"/>
      <c r="G64" s="1936"/>
      <c r="H64" s="1935"/>
      <c r="I64" s="1935"/>
      <c r="J64" s="1935"/>
      <c r="K64" s="1935"/>
      <c r="L64" s="1935"/>
      <c r="M64" s="1935"/>
      <c r="N64" s="1930">
        <f t="shared" si="3"/>
        <v>0</v>
      </c>
    </row>
    <row r="65" spans="1:14" ht="24" customHeight="1" x14ac:dyDescent="0.25">
      <c r="A65" s="2445" t="s">
        <v>964</v>
      </c>
      <c r="B65" s="2446"/>
      <c r="C65" s="2446"/>
      <c r="D65" s="1937">
        <v>2369</v>
      </c>
      <c r="E65" s="1940">
        <f>'Expenditures 15-22'!K327</f>
        <v>0</v>
      </c>
      <c r="F65" s="1933"/>
      <c r="G65" s="1936"/>
      <c r="H65" s="1935"/>
      <c r="I65" s="1935"/>
      <c r="J65" s="1935"/>
      <c r="K65" s="1935"/>
      <c r="L65" s="1935"/>
      <c r="M65" s="1935"/>
      <c r="N65" s="1930">
        <f t="shared" si="3"/>
        <v>0</v>
      </c>
    </row>
    <row r="66" spans="1:14" ht="24.75" customHeight="1" x14ac:dyDescent="0.25">
      <c r="A66" s="2445" t="s">
        <v>469</v>
      </c>
      <c r="B66" s="2446"/>
      <c r="C66" s="2446"/>
      <c r="D66" s="1937">
        <v>2371</v>
      </c>
      <c r="E66" s="1940">
        <f>'Expenditures 15-22'!K328</f>
        <v>0</v>
      </c>
      <c r="F66" s="1933"/>
      <c r="G66" s="1936"/>
      <c r="H66" s="1935"/>
      <c r="I66" s="1935"/>
      <c r="J66" s="1935"/>
      <c r="K66" s="1935"/>
      <c r="L66" s="1935"/>
      <c r="M66" s="1935"/>
      <c r="N66" s="1930">
        <f t="shared" si="3"/>
        <v>0</v>
      </c>
    </row>
    <row r="67" spans="1:14" ht="24.75" customHeight="1" x14ac:dyDescent="0.25">
      <c r="A67" s="2447" t="s">
        <v>2028</v>
      </c>
      <c r="B67" s="2448"/>
      <c r="C67" s="2448"/>
      <c r="D67" s="1934">
        <v>2372</v>
      </c>
      <c r="E67" s="1940">
        <f>'Expenditures 15-22'!K329</f>
        <v>0</v>
      </c>
      <c r="F67" s="1933"/>
      <c r="G67" s="1932"/>
      <c r="H67" s="1931"/>
      <c r="I67" s="1931"/>
      <c r="J67" s="1931"/>
      <c r="K67" s="1931"/>
      <c r="L67" s="1931"/>
      <c r="M67" s="1931"/>
      <c r="N67" s="1930">
        <f t="shared" si="3"/>
        <v>0</v>
      </c>
    </row>
    <row r="68" spans="1:14" x14ac:dyDescent="0.25">
      <c r="A68" s="2449" t="s">
        <v>1150</v>
      </c>
      <c r="B68" s="2450"/>
      <c r="C68" s="2450"/>
      <c r="D68" s="1929"/>
      <c r="E68" s="1927">
        <f>SUM(E57:E67)</f>
        <v>0</v>
      </c>
      <c r="F68" s="1928"/>
      <c r="G68" s="1927">
        <f t="shared" ref="G68:N68" si="4">SUM(G57:G67)</f>
        <v>0</v>
      </c>
      <c r="H68" s="1927">
        <f t="shared" si="4"/>
        <v>0</v>
      </c>
      <c r="I68" s="1927">
        <f t="shared" si="4"/>
        <v>0</v>
      </c>
      <c r="J68" s="1927">
        <f t="shared" si="4"/>
        <v>0</v>
      </c>
      <c r="K68" s="1927">
        <f t="shared" si="4"/>
        <v>0</v>
      </c>
      <c r="L68" s="1927">
        <f t="shared" si="4"/>
        <v>0</v>
      </c>
      <c r="M68" s="1927">
        <f t="shared" si="4"/>
        <v>0</v>
      </c>
      <c r="N68" s="1926">
        <f t="shared" si="4"/>
        <v>0</v>
      </c>
    </row>
    <row r="69" spans="1:14" x14ac:dyDescent="0.25">
      <c r="A69" s="1922"/>
      <c r="B69" s="1921"/>
      <c r="C69" s="1921"/>
      <c r="D69" s="1921"/>
      <c r="E69" s="1921"/>
      <c r="F69" s="1921"/>
      <c r="G69" s="1921"/>
      <c r="H69" s="1925" t="s">
        <v>2027</v>
      </c>
      <c r="I69" s="1921"/>
      <c r="J69" s="1921"/>
      <c r="K69" s="1921"/>
      <c r="L69" s="1925" t="s">
        <v>2026</v>
      </c>
      <c r="M69" s="1921"/>
      <c r="N69" s="1924"/>
    </row>
    <row r="70" spans="1:14" ht="46.5" customHeight="1" x14ac:dyDescent="0.25">
      <c r="A70" s="1923" t="s">
        <v>2025</v>
      </c>
      <c r="B70" s="1921"/>
      <c r="C70" s="1921"/>
      <c r="D70" s="1921"/>
      <c r="E70" s="1921"/>
      <c r="F70" s="1921"/>
      <c r="G70" s="1921"/>
      <c r="H70" s="2441" t="s">
        <v>2024</v>
      </c>
      <c r="I70" s="2441"/>
      <c r="J70" s="2441"/>
      <c r="K70" s="1921"/>
      <c r="L70" s="2441" t="s">
        <v>2023</v>
      </c>
      <c r="M70" s="2441"/>
      <c r="N70" s="2442"/>
    </row>
    <row r="71" spans="1:14" ht="42.75" customHeight="1" x14ac:dyDescent="0.25">
      <c r="A71" s="1922"/>
      <c r="B71" s="1921"/>
      <c r="C71" s="1921"/>
      <c r="D71" s="1921"/>
      <c r="E71" s="1921"/>
      <c r="F71" s="1921"/>
      <c r="G71" s="1921"/>
      <c r="H71" s="2441" t="s">
        <v>2022</v>
      </c>
      <c r="I71" s="2441"/>
      <c r="J71" s="2441"/>
      <c r="K71" s="1921"/>
      <c r="L71" s="2443" t="s">
        <v>2021</v>
      </c>
      <c r="M71" s="2443"/>
      <c r="N71" s="2444"/>
    </row>
    <row r="72" spans="1:14" ht="52.5" customHeight="1" thickBot="1" x14ac:dyDescent="0.3">
      <c r="A72" s="1920"/>
      <c r="B72" s="1919"/>
      <c r="C72" s="1919"/>
      <c r="D72" s="1919"/>
      <c r="E72" s="1919"/>
      <c r="F72" s="1919"/>
      <c r="G72" s="1919"/>
      <c r="H72" s="2440" t="s">
        <v>2020</v>
      </c>
      <c r="I72" s="2440"/>
      <c r="J72" s="2440"/>
      <c r="K72" s="1919"/>
      <c r="L72" s="1919"/>
      <c r="M72" s="1919"/>
      <c r="N72" s="1918"/>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65"/>
  <sheetViews>
    <sheetView showGridLines="0" zoomScale="110" zoomScaleNormal="110" workbookViewId="0">
      <selection activeCell="D11" sqref="D11"/>
    </sheetView>
  </sheetViews>
  <sheetFormatPr defaultColWidth="9.140625" defaultRowHeight="12.75" x14ac:dyDescent="0.2"/>
  <cols>
    <col min="1" max="1" width="3" style="307" customWidth="1"/>
    <col min="2" max="2" width="65.7109375" style="307" customWidth="1"/>
    <col min="3" max="3" width="3.140625" style="307" customWidth="1"/>
    <col min="4" max="4" width="38.5703125" style="307" customWidth="1"/>
    <col min="5" max="16384" width="9.140625" style="307"/>
  </cols>
  <sheetData>
    <row r="2" spans="1:4" x14ac:dyDescent="0.2">
      <c r="A2" s="366" t="s">
        <v>256</v>
      </c>
    </row>
    <row r="3" spans="1:4" x14ac:dyDescent="0.2">
      <c r="A3" s="307" t="s">
        <v>257</v>
      </c>
    </row>
    <row r="5" spans="1:4" x14ac:dyDescent="0.2">
      <c r="A5" s="840">
        <v>1</v>
      </c>
      <c r="B5" s="307" t="s">
        <v>2059</v>
      </c>
      <c r="D5" s="307" t="s">
        <v>2138</v>
      </c>
    </row>
    <row r="6" spans="1:4" x14ac:dyDescent="0.2">
      <c r="A6" s="840">
        <v>2</v>
      </c>
      <c r="B6" s="307" t="s">
        <v>2060</v>
      </c>
      <c r="D6" s="307" t="s">
        <v>2139</v>
      </c>
    </row>
    <row r="7" spans="1:4" x14ac:dyDescent="0.2">
      <c r="A7" s="840">
        <v>3</v>
      </c>
      <c r="B7" s="307" t="s">
        <v>2061</v>
      </c>
      <c r="D7" s="307" t="s">
        <v>2139</v>
      </c>
    </row>
    <row r="8" spans="1:4" x14ac:dyDescent="0.2">
      <c r="A8" s="840">
        <v>4</v>
      </c>
      <c r="B8" s="307" t="s">
        <v>2062</v>
      </c>
      <c r="D8" s="307" t="s">
        <v>2141</v>
      </c>
    </row>
    <row r="9" spans="1:4" x14ac:dyDescent="0.2">
      <c r="A9" s="840">
        <v>5</v>
      </c>
      <c r="B9" s="307" t="s">
        <v>2063</v>
      </c>
      <c r="D9" s="307" t="s">
        <v>2140</v>
      </c>
    </row>
    <row r="10" spans="1:4" x14ac:dyDescent="0.2">
      <c r="A10" s="840">
        <v>6</v>
      </c>
      <c r="B10" s="307" t="s">
        <v>2064</v>
      </c>
      <c r="D10" s="307" t="s">
        <v>2143</v>
      </c>
    </row>
    <row r="11" spans="1:4" x14ac:dyDescent="0.2">
      <c r="A11" s="840">
        <v>7</v>
      </c>
      <c r="B11" s="307" t="s">
        <v>2065</v>
      </c>
      <c r="D11" s="307" t="s">
        <v>2137</v>
      </c>
    </row>
    <row r="12" spans="1:4" x14ac:dyDescent="0.2">
      <c r="A12" s="840">
        <v>8</v>
      </c>
      <c r="B12" s="307" t="s">
        <v>2066</v>
      </c>
      <c r="D12" s="307" t="s">
        <v>546</v>
      </c>
    </row>
    <row r="13" spans="1:4" x14ac:dyDescent="0.2">
      <c r="A13" s="840">
        <v>9</v>
      </c>
      <c r="B13" s="307" t="s">
        <v>2067</v>
      </c>
      <c r="D13" s="307" t="s">
        <v>2136</v>
      </c>
    </row>
    <row r="14" spans="1:4" x14ac:dyDescent="0.2">
      <c r="A14" s="840">
        <v>10</v>
      </c>
      <c r="B14" s="307" t="s">
        <v>2135</v>
      </c>
    </row>
    <row r="15" spans="1:4" x14ac:dyDescent="0.2">
      <c r="A15" s="840"/>
    </row>
    <row r="16" spans="1:4" x14ac:dyDescent="0.2">
      <c r="A16" s="840"/>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Special Ed Dist of Lake Cty (SEDOL)</v>
      </c>
    </row>
    <row r="65" spans="2:2" x14ac:dyDescent="0.2">
      <c r="B65" s="842">
        <f>COVER!A13</f>
        <v>34049825060</v>
      </c>
    </row>
  </sheetData>
  <phoneticPr fontId="21" type="noConversion"/>
  <pageMargins left="0.57999999999999996" right="0.2" top="1.17" bottom="0.75" header="0.19" footer="0.16"/>
  <pageSetup scale="56" firstPageNumber="32" orientation="landscape"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2" t="s">
        <v>1591</v>
      </c>
    </row>
    <row r="23" spans="1:5" x14ac:dyDescent="0.2">
      <c r="A23" s="163"/>
      <c r="B23" s="157" t="s">
        <v>1822</v>
      </c>
      <c r="D23" s="162" t="s">
        <v>632</v>
      </c>
      <c r="E23" s="1462" t="s">
        <v>952</v>
      </c>
    </row>
    <row r="24" spans="1:5" x14ac:dyDescent="0.2">
      <c r="A24" s="163" t="s">
        <v>1589</v>
      </c>
      <c r="C24" s="157" t="s">
        <v>1158</v>
      </c>
      <c r="D24" s="162" t="s">
        <v>1374</v>
      </c>
      <c r="E24" s="165" t="s">
        <v>953</v>
      </c>
    </row>
    <row r="25" spans="1:5" x14ac:dyDescent="0.2">
      <c r="A25" s="163" t="s">
        <v>1834</v>
      </c>
      <c r="C25" s="157" t="s">
        <v>1158</v>
      </c>
      <c r="D25" s="164" t="s">
        <v>21</v>
      </c>
      <c r="E25" s="1462" t="s">
        <v>2057</v>
      </c>
    </row>
    <row r="26" spans="1:5" x14ac:dyDescent="0.2">
      <c r="A26" s="163" t="s">
        <v>1835</v>
      </c>
      <c r="C26" s="157" t="s">
        <v>1158</v>
      </c>
      <c r="D26" s="164" t="s">
        <v>559</v>
      </c>
      <c r="E26" s="1462">
        <v>34</v>
      </c>
    </row>
    <row r="27" spans="1:5" x14ac:dyDescent="0.2">
      <c r="A27" s="163" t="s">
        <v>1836</v>
      </c>
      <c r="C27" s="157" t="s">
        <v>1158</v>
      </c>
      <c r="D27" s="164" t="s">
        <v>553</v>
      </c>
      <c r="E27" s="1462">
        <v>35</v>
      </c>
    </row>
    <row r="28" spans="1:5" x14ac:dyDescent="0.2">
      <c r="A28" s="163" t="s">
        <v>1838</v>
      </c>
      <c r="D28" s="164" t="s">
        <v>678</v>
      </c>
      <c r="E28" s="1462">
        <v>36</v>
      </c>
    </row>
    <row r="29" spans="1:5" x14ac:dyDescent="0.2">
      <c r="A29" s="163" t="s">
        <v>1839</v>
      </c>
      <c r="D29" s="164" t="s">
        <v>1375</v>
      </c>
      <c r="E29" s="1462">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2" t="s">
        <v>2058</v>
      </c>
    </row>
    <row r="33" spans="1:5" x14ac:dyDescent="0.2">
      <c r="A33" s="167"/>
      <c r="D33" s="164"/>
      <c r="E33" s="166"/>
    </row>
    <row r="34" spans="1:5" x14ac:dyDescent="0.2">
      <c r="A34" s="167"/>
      <c r="D34" s="164"/>
      <c r="E34" s="166"/>
    </row>
    <row r="35" spans="1:5" ht="15.75" customHeight="1" thickBot="1" x14ac:dyDescent="0.25">
      <c r="A35" s="2174" t="s">
        <v>1055</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685</v>
      </c>
      <c r="B40" s="2171"/>
      <c r="C40" s="2171"/>
      <c r="D40" s="2171"/>
      <c r="E40" s="2171"/>
    </row>
    <row r="41" spans="1:5" x14ac:dyDescent="0.2">
      <c r="A41" s="2172" t="s">
        <v>1588</v>
      </c>
      <c r="B41" s="2172"/>
      <c r="C41" s="2172"/>
      <c r="D41" s="2172"/>
      <c r="E41" s="2172"/>
    </row>
    <row r="42" spans="1:5" ht="12.75" customHeight="1" x14ac:dyDescent="0.2">
      <c r="A42" s="2173" t="s">
        <v>1014</v>
      </c>
      <c r="B42" s="2173"/>
      <c r="C42" s="2173"/>
      <c r="D42" s="2173"/>
      <c r="E42" s="2173"/>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1"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93" t="s">
        <v>1662</v>
      </c>
      <c r="B18" s="2493"/>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1" r:id="rId4">
          <objectPr defaultSize="0" r:id="rId5">
            <anchor moveWithCells="1">
              <from>
                <xdr:col>1</xdr:col>
                <xdr:colOff>0</xdr:colOff>
                <xdr:row>7</xdr:row>
                <xdr:rowOff>0</xdr:rowOff>
              </from>
              <to>
                <xdr:col>1</xdr:col>
                <xdr:colOff>952500</xdr:colOff>
                <xdr:row>11</xdr:row>
                <xdr:rowOff>152400</xdr:rowOff>
              </to>
            </anchor>
          </objectPr>
        </oleObject>
      </mc:Choice>
      <mc:Fallback>
        <oleObject progId="Acrobat Document"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1266825</xdr:colOff>
                <xdr:row>6</xdr:row>
                <xdr:rowOff>133350</xdr:rowOff>
              </from>
              <to>
                <xdr:col>1</xdr:col>
                <xdr:colOff>2219325</xdr:colOff>
                <xdr:row>11</xdr:row>
                <xdr:rowOff>123825</xdr:rowOff>
              </to>
            </anchor>
          </objectPr>
        </oleObject>
      </mc:Choice>
      <mc:Fallback>
        <oleObject progId="Acrobat Document" dvAspect="DVASPECT_ICON" shapeId="4301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4" t="s">
        <v>1666</v>
      </c>
      <c r="B1" s="2495"/>
      <c r="C1" s="2495"/>
      <c r="D1" s="2495"/>
      <c r="E1" s="2495"/>
      <c r="F1" s="2496"/>
    </row>
    <row r="2" spans="1:8" ht="45" customHeight="1" x14ac:dyDescent="0.2">
      <c r="A2" s="25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5"/>
      <c r="C2" s="2505"/>
      <c r="D2" s="2505"/>
      <c r="E2" s="2505"/>
      <c r="F2" s="2506"/>
      <c r="G2" s="846"/>
      <c r="H2" s="846"/>
    </row>
    <row r="3" spans="1:8" ht="57" customHeight="1" x14ac:dyDescent="0.2">
      <c r="A3" s="2507" t="s">
        <v>1966</v>
      </c>
      <c r="B3" s="2508"/>
      <c r="C3" s="2508"/>
      <c r="D3" s="2508"/>
      <c r="E3" s="2508"/>
      <c r="F3" s="2509"/>
      <c r="G3" s="846"/>
      <c r="H3" s="846"/>
    </row>
    <row r="4" spans="1:8" ht="14.25" customHeight="1" x14ac:dyDescent="0.2">
      <c r="A4" s="25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4"/>
      <c r="C4" s="2514"/>
      <c r="D4" s="2514"/>
      <c r="E4" s="2514"/>
      <c r="F4" s="2515"/>
      <c r="G4" s="846"/>
      <c r="H4" s="846"/>
    </row>
    <row r="5" spans="1:8" ht="14.25" customHeight="1" x14ac:dyDescent="0.2">
      <c r="A5" s="25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7"/>
      <c r="C5" s="2517"/>
      <c r="D5" s="2517"/>
      <c r="E5" s="2517"/>
      <c r="F5" s="2518"/>
      <c r="G5" s="846"/>
      <c r="H5" s="846"/>
    </row>
    <row r="6" spans="1:8" s="847" customFormat="1" ht="41.25" customHeight="1" x14ac:dyDescent="0.2">
      <c r="A6" s="2510" t="s">
        <v>1667</v>
      </c>
      <c r="B6" s="2511"/>
      <c r="C6" s="2511"/>
      <c r="D6" s="2511"/>
      <c r="E6" s="2511"/>
      <c r="F6" s="2512"/>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1">
        <f>'Acct Summary 7-8'!C8</f>
        <v>60914784</v>
      </c>
      <c r="C8" s="1801">
        <f>'Acct Summary 7-8'!D8</f>
        <v>2909520</v>
      </c>
      <c r="D8" s="1801">
        <f>'Acct Summary 7-8'!F8</f>
        <v>788285</v>
      </c>
      <c r="E8" s="1801">
        <f>'Acct Summary 7-8'!I8</f>
        <v>0</v>
      </c>
      <c r="F8" s="1801">
        <f>SUM(B8:E8)</f>
        <v>64612589</v>
      </c>
    </row>
    <row r="9" spans="1:8" s="851" customFormat="1" ht="14.25" customHeight="1" thickBot="1" x14ac:dyDescent="0.25">
      <c r="A9" s="850" t="s">
        <v>1351</v>
      </c>
      <c r="B9" s="1802">
        <f>'Acct Summary 7-8'!C17</f>
        <v>57879986</v>
      </c>
      <c r="C9" s="1802">
        <f>'Acct Summary 7-8'!D17</f>
        <v>6826919</v>
      </c>
      <c r="D9" s="1802">
        <f>'Acct Summary 7-8'!F17</f>
        <v>1057140</v>
      </c>
      <c r="E9" s="1801"/>
      <c r="F9" s="1801">
        <f>SUM(B9:E9)</f>
        <v>65764045</v>
      </c>
    </row>
    <row r="10" spans="1:8" s="851" customFormat="1" ht="14.25" thickTop="1" thickBot="1" x14ac:dyDescent="0.25">
      <c r="A10" s="852" t="s">
        <v>1352</v>
      </c>
      <c r="B10" s="1803">
        <f>(B8-B9)</f>
        <v>3034798</v>
      </c>
      <c r="C10" s="1803">
        <f>(C8-C9)</f>
        <v>-3917399</v>
      </c>
      <c r="D10" s="1803">
        <f>(D8-D9)</f>
        <v>-268855</v>
      </c>
      <c r="E10" s="1802">
        <f>(E8-E9)</f>
        <v>0</v>
      </c>
      <c r="F10" s="1804">
        <f>SUM(F8-F9)</f>
        <v>-1151456</v>
      </c>
    </row>
    <row r="11" spans="1:8" s="851" customFormat="1" ht="14.25" thickTop="1" thickBot="1" x14ac:dyDescent="0.25">
      <c r="A11" s="853" t="s">
        <v>1897</v>
      </c>
      <c r="B11" s="1805">
        <f>'Acct Summary 7-8'!C81</f>
        <v>13827610</v>
      </c>
      <c r="C11" s="1805">
        <f>'Acct Summary 7-8'!D81</f>
        <v>2703692</v>
      </c>
      <c r="D11" s="1805">
        <f>'Acct Summary 7-8'!F81</f>
        <v>582383</v>
      </c>
      <c r="E11" s="1805">
        <f>'Acct Summary 7-8'!I81</f>
        <v>0</v>
      </c>
      <c r="F11" s="1806">
        <f>SUM(B11:E11)</f>
        <v>17113685</v>
      </c>
    </row>
    <row r="12" spans="1:8" ht="16.5" customHeight="1" thickTop="1" x14ac:dyDescent="0.2">
      <c r="A12" s="854"/>
      <c r="B12" s="855"/>
      <c r="C12" s="2498" t="str">
        <f>IF(AND(F10&lt;0,F11&gt;=0,ABS(F10*3)&gt;ABS(F11)),A16,IF(AND(F10&lt;0,F11&gt;0,ABS(F10*3)&lt;=ABS(F11)),A17,IF(AND(F10&lt;0,F11&lt;0),A16,IF(F11=0,A19,A18))))</f>
        <v>Unbalanced -  however, a deficit reduction plan is not required at this time.</v>
      </c>
      <c r="D12" s="2499"/>
      <c r="E12" s="2499"/>
      <c r="F12" s="2500"/>
    </row>
    <row r="13" spans="1:8" ht="19.5" customHeight="1" x14ac:dyDescent="0.2">
      <c r="A13" s="856"/>
      <c r="B13" s="857"/>
      <c r="C13" s="2498"/>
      <c r="D13" s="2499"/>
      <c r="E13" s="2499"/>
      <c r="F13" s="2500"/>
      <c r="H13" s="846"/>
    </row>
    <row r="14" spans="1:8" ht="19.5" customHeight="1" x14ac:dyDescent="0.2">
      <c r="A14" s="856"/>
      <c r="B14" s="857"/>
      <c r="C14" s="2498"/>
      <c r="D14" s="2499"/>
      <c r="E14" s="2499"/>
      <c r="F14" s="2500"/>
      <c r="H14" s="846"/>
    </row>
    <row r="15" spans="1:8" ht="17.25" customHeight="1" x14ac:dyDescent="0.2">
      <c r="A15" s="856"/>
      <c r="B15" s="857"/>
      <c r="C15" s="2501"/>
      <c r="D15" s="2502"/>
      <c r="E15" s="2502"/>
      <c r="F15" s="2503"/>
      <c r="H15" s="846"/>
    </row>
    <row r="16" spans="1:8" s="288" customFormat="1" ht="51.75" hidden="1" customHeight="1" x14ac:dyDescent="0.2">
      <c r="A16" s="2497" t="s">
        <v>1663</v>
      </c>
      <c r="B16" s="2497"/>
      <c r="C16" s="2497"/>
      <c r="D16" s="2497"/>
      <c r="E16" s="2497"/>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2"/>
      <c r="B2" s="1513"/>
      <c r="C2" s="1514"/>
      <c r="D2" s="1515"/>
    </row>
    <row r="3" spans="1:4" ht="36" customHeight="1" x14ac:dyDescent="0.2">
      <c r="A3" s="2519" t="s">
        <v>660</v>
      </c>
      <c r="B3" s="2520"/>
      <c r="C3" s="2520"/>
      <c r="D3" s="2521"/>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30" t="s">
        <v>1484</v>
      </c>
      <c r="D7" s="2531"/>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22" t="s">
        <v>1000</v>
      </c>
      <c r="B15" s="2523"/>
      <c r="C15" s="2523"/>
      <c r="D15" s="2524"/>
    </row>
    <row r="16" spans="1:4" s="542" customFormat="1" ht="24" customHeight="1" x14ac:dyDescent="0.2">
      <c r="A16" s="2525" t="s">
        <v>658</v>
      </c>
      <c r="B16" s="2526"/>
      <c r="C16" s="2526"/>
      <c r="D16" s="2527"/>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34" t="s">
        <v>311</v>
      </c>
      <c r="D21" s="2535"/>
    </row>
    <row r="22" spans="1:10" ht="12.75" x14ac:dyDescent="0.2">
      <c r="A22" s="911"/>
      <c r="B22" s="912">
        <v>2</v>
      </c>
      <c r="C22" s="2532" t="s">
        <v>1504</v>
      </c>
      <c r="D22" s="2533"/>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36" t="s">
        <v>533</v>
      </c>
      <c r="D43" s="2537"/>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28" t="s">
        <v>778</v>
      </c>
      <c r="D56" s="2529"/>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28" t="s">
        <v>1671</v>
      </c>
      <c r="D70" s="2529"/>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ht="22.5" x14ac:dyDescent="0.2">
      <c r="A82" s="870"/>
      <c r="B82" s="892">
        <v>15</v>
      </c>
      <c r="C82" s="902" t="s">
        <v>1878</v>
      </c>
      <c r="D82" s="1881"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1961</v>
      </c>
      <c r="F1" s="1535" t="s">
        <v>1962</v>
      </c>
      <c r="G1" s="1880" t="s">
        <v>1972</v>
      </c>
    </row>
    <row r="2" spans="1:7" ht="15.75" x14ac:dyDescent="0.25">
      <c r="A2" t="s">
        <v>260</v>
      </c>
      <c r="B2" s="135">
        <f>COVER!A13</f>
        <v>34049825060</v>
      </c>
      <c r="E2" s="1534">
        <v>2020</v>
      </c>
      <c r="F2" s="1534">
        <v>1</v>
      </c>
      <c r="G2" s="1879">
        <v>101000300</v>
      </c>
    </row>
    <row r="3" spans="1:7" ht="15" x14ac:dyDescent="0.25">
      <c r="A3" t="s">
        <v>949</v>
      </c>
      <c r="B3" s="135" t="str">
        <f>COVER!A15</f>
        <v>LAKE</v>
      </c>
      <c r="E3" s="1812" t="s">
        <v>1965</v>
      </c>
      <c r="F3" s="1812" t="s">
        <v>1964</v>
      </c>
      <c r="G3" s="1879">
        <v>101000400</v>
      </c>
    </row>
    <row r="4" spans="1:7" ht="15" x14ac:dyDescent="0.25">
      <c r="A4" t="s">
        <v>999</v>
      </c>
      <c r="B4" s="135" t="str">
        <f>COVER!A17</f>
        <v xml:space="preserve">  Special Ed Dist of Lake Cty (SEDOL)</v>
      </c>
      <c r="E4" s="1810">
        <v>44119</v>
      </c>
      <c r="F4" s="1811">
        <v>44151</v>
      </c>
      <c r="G4" s="1879">
        <v>101000600</v>
      </c>
    </row>
    <row r="5" spans="1:7" ht="15" x14ac:dyDescent="0.25">
      <c r="A5" t="s">
        <v>698</v>
      </c>
      <c r="B5" s="135">
        <f>COVER!A38</f>
        <v>0</v>
      </c>
      <c r="G5" s="1879">
        <v>101000800</v>
      </c>
    </row>
    <row r="6" spans="1:7" ht="15" x14ac:dyDescent="0.25">
      <c r="A6" t="s">
        <v>703</v>
      </c>
      <c r="B6" s="135">
        <f>COVER!P35</f>
        <v>0</v>
      </c>
      <c r="G6" s="1879">
        <v>102100300</v>
      </c>
    </row>
    <row r="7" spans="1:7" ht="15" x14ac:dyDescent="0.25">
      <c r="A7" t="s">
        <v>699</v>
      </c>
      <c r="B7" s="135">
        <f>COVER!I38</f>
        <v>0</v>
      </c>
      <c r="G7" s="1879">
        <v>102100400</v>
      </c>
    </row>
    <row r="8" spans="1:7" ht="15" x14ac:dyDescent="0.25">
      <c r="A8" t="s">
        <v>700</v>
      </c>
      <c r="B8" s="135">
        <f>COVER!T38</f>
        <v>0</v>
      </c>
      <c r="G8" s="1879">
        <v>102100600</v>
      </c>
    </row>
    <row r="9" spans="1:7" ht="15" x14ac:dyDescent="0.25">
      <c r="A9" s="3" t="s">
        <v>950</v>
      </c>
      <c r="B9" s="153" t="str">
        <f>AUDITCHECK!D23</f>
        <v xml:space="preserve">ACCRUAL </v>
      </c>
      <c r="G9" s="1879">
        <v>102100800</v>
      </c>
    </row>
    <row r="10" spans="1:7" ht="15" x14ac:dyDescent="0.25">
      <c r="A10" t="s">
        <v>969</v>
      </c>
      <c r="B10" s="135">
        <f>COVER!B5</f>
        <v>0</v>
      </c>
      <c r="G10" s="1879">
        <v>202100300</v>
      </c>
    </row>
    <row r="11" spans="1:7" ht="15" x14ac:dyDescent="0.25">
      <c r="A11" t="s">
        <v>970</v>
      </c>
      <c r="B11" s="135" t="str">
        <f>COVER!B6</f>
        <v>X</v>
      </c>
      <c r="G11" s="1879">
        <v>202100400</v>
      </c>
    </row>
    <row r="12" spans="1:7" ht="15" x14ac:dyDescent="0.25">
      <c r="A12" s="1" t="s">
        <v>1523</v>
      </c>
      <c r="B12" s="135" t="str">
        <f>IF(COVER!J29="x","Yes",IF(COVER!L29="X","No",0))</f>
        <v>Yes</v>
      </c>
      <c r="G12" s="1879">
        <v>202100600</v>
      </c>
    </row>
    <row r="13" spans="1:7" ht="15" x14ac:dyDescent="0.25">
      <c r="A13" s="1" t="s">
        <v>1524</v>
      </c>
      <c r="B13" s="135" t="str">
        <f>IF(COVER!J30="x","Yes",IF(COVER!L30="x","No",0))</f>
        <v>Yes</v>
      </c>
      <c r="G13" s="1879">
        <v>202100800</v>
      </c>
    </row>
    <row r="14" spans="1:7" ht="15" x14ac:dyDescent="0.25">
      <c r="A14" t="s">
        <v>473</v>
      </c>
      <c r="B14" s="135" t="str">
        <f>IF(COVER!J31="x","Yes",IF(COVER!L31="x","No",0))</f>
        <v>No</v>
      </c>
      <c r="G14" s="1879">
        <v>402100300</v>
      </c>
    </row>
    <row r="15" spans="1:7" ht="15" x14ac:dyDescent="0.25">
      <c r="A15" t="s">
        <v>573</v>
      </c>
      <c r="B15" s="135" t="str">
        <f>COVER!T23</f>
        <v>066-005142</v>
      </c>
      <c r="G15" s="1879">
        <v>402100400</v>
      </c>
    </row>
    <row r="16" spans="1:7" ht="15" x14ac:dyDescent="0.25">
      <c r="A16" t="s">
        <v>419</v>
      </c>
      <c r="B16" s="135" t="str">
        <f>COVER!T13</f>
        <v>EDER, CASELLA &amp; CO.</v>
      </c>
      <c r="G16" s="1879">
        <v>402100600</v>
      </c>
    </row>
    <row r="17" spans="1:7" ht="15" x14ac:dyDescent="0.25">
      <c r="A17" t="s">
        <v>877</v>
      </c>
      <c r="B17" s="135" t="str">
        <f>COVER!T15</f>
        <v>KEVIN SMITH</v>
      </c>
      <c r="G17" s="1879">
        <v>402100800</v>
      </c>
    </row>
    <row r="18" spans="1:7" ht="15" x14ac:dyDescent="0.25">
      <c r="A18" t="s">
        <v>1139</v>
      </c>
      <c r="B18" s="135" t="str">
        <f>COVER!T17</f>
        <v>5400 WEST ELM STREET, SUITE 203</v>
      </c>
      <c r="G18" s="1879">
        <v>102200300</v>
      </c>
    </row>
    <row r="19" spans="1:7" ht="15" x14ac:dyDescent="0.25">
      <c r="A19" t="s">
        <v>879</v>
      </c>
      <c r="B19" s="135" t="str">
        <f>COVER!T25</f>
        <v>CPAS@EDERCASELLA.COM</v>
      </c>
      <c r="G19" s="1879">
        <v>102200400</v>
      </c>
    </row>
    <row r="20" spans="1:7" ht="15" x14ac:dyDescent="0.25">
      <c r="A20" t="s">
        <v>880</v>
      </c>
      <c r="B20" s="135" t="str">
        <f>COVER!T19</f>
        <v>MCHENRY</v>
      </c>
      <c r="G20" s="1879">
        <v>102200600</v>
      </c>
    </row>
    <row r="21" spans="1:7" ht="15" x14ac:dyDescent="0.25">
      <c r="A21" t="s">
        <v>476</v>
      </c>
      <c r="B21" s="135" t="str">
        <f>COVER!X19</f>
        <v>IL</v>
      </c>
      <c r="G21" s="1879">
        <v>102200800</v>
      </c>
    </row>
    <row r="22" spans="1:7" ht="15" x14ac:dyDescent="0.25">
      <c r="A22" t="s">
        <v>881</v>
      </c>
      <c r="B22" s="135">
        <f>COVER!Z19</f>
        <v>60050</v>
      </c>
      <c r="G22" s="1879">
        <v>102300300</v>
      </c>
    </row>
    <row r="23" spans="1:7" ht="15" x14ac:dyDescent="0.25">
      <c r="A23" t="s">
        <v>1141</v>
      </c>
      <c r="B23" s="135" t="str">
        <f>COVER!T21</f>
        <v>815-344-1300</v>
      </c>
      <c r="G23" s="1879">
        <v>102300400</v>
      </c>
    </row>
    <row r="24" spans="1:7" ht="15" x14ac:dyDescent="0.25">
      <c r="A24" t="s">
        <v>1140</v>
      </c>
      <c r="B24" s="135">
        <f>COVER!Y21</f>
        <v>0</v>
      </c>
      <c r="G24" s="1879">
        <v>102300600</v>
      </c>
    </row>
    <row r="25" spans="1:7" ht="15" x14ac:dyDescent="0.25">
      <c r="A25" t="s">
        <v>755</v>
      </c>
      <c r="B25" s="135">
        <f>COVER!B34</f>
        <v>0</v>
      </c>
      <c r="G25" s="1879">
        <v>102300800</v>
      </c>
    </row>
    <row r="26" spans="1:7" ht="15" x14ac:dyDescent="0.25">
      <c r="A26" t="s">
        <v>1142</v>
      </c>
      <c r="B26" s="135">
        <f>COVER!L34</f>
        <v>0</v>
      </c>
      <c r="G26" s="1879">
        <v>802300300</v>
      </c>
    </row>
    <row r="27" spans="1:7" ht="15" x14ac:dyDescent="0.25">
      <c r="A27" t="s">
        <v>266</v>
      </c>
      <c r="B27" s="135">
        <f>COVER!U34</f>
        <v>0</v>
      </c>
      <c r="G27" s="1879">
        <v>802300400</v>
      </c>
    </row>
    <row r="28" spans="1:7" ht="15" x14ac:dyDescent="0.25">
      <c r="A28" t="s">
        <v>313</v>
      </c>
      <c r="B28" s="135" t="str">
        <f>IF('Aud Quest 2'!B9="x","Yes",IF('Aud Quest 2'!B9&lt;&gt;"x","0"))</f>
        <v>0</v>
      </c>
      <c r="G28" s="1879">
        <v>802300600</v>
      </c>
    </row>
    <row r="29" spans="1:7" ht="15" x14ac:dyDescent="0.25">
      <c r="A29" t="s">
        <v>314</v>
      </c>
      <c r="B29" s="135" t="str">
        <f>IF('Aud Quest 2'!B11="x","Yes",IF('Aud Quest 2'!B11&lt;&gt;"x","0"))</f>
        <v>0</v>
      </c>
      <c r="G29" s="1879">
        <v>802300800</v>
      </c>
    </row>
    <row r="30" spans="1:7" ht="15" x14ac:dyDescent="0.25">
      <c r="A30" t="s">
        <v>315</v>
      </c>
      <c r="B30" s="135" t="str">
        <f>IF('Aud Quest 2'!B13="x","Yes",IF('Aud Quest 2'!B13&lt;&gt;"x","0"))</f>
        <v>0</v>
      </c>
      <c r="G30" s="1879">
        <v>102400300</v>
      </c>
    </row>
    <row r="31" spans="1:7" ht="15" x14ac:dyDescent="0.25">
      <c r="A31" t="s">
        <v>654</v>
      </c>
      <c r="B31" s="135" t="str">
        <f>IF('Aud Quest 2'!B14="x","Yes",IF('Aud Quest 2'!B14&lt;&gt;"x","0"))</f>
        <v>0</v>
      </c>
      <c r="G31" s="1879">
        <v>102400400</v>
      </c>
    </row>
    <row r="32" spans="1:7" ht="15" x14ac:dyDescent="0.25">
      <c r="A32" t="s">
        <v>653</v>
      </c>
      <c r="B32" s="135" t="str">
        <f>IF('Aud Quest 2'!B15="x","Yes",IF('Aud Quest 2'!B15&lt;&gt;"x","0"))</f>
        <v>0</v>
      </c>
      <c r="G32" s="1879">
        <v>102400600</v>
      </c>
    </row>
    <row r="33" spans="1:7" ht="15" x14ac:dyDescent="0.25">
      <c r="A33" t="s">
        <v>655</v>
      </c>
      <c r="B33" s="135" t="str">
        <f>IF('Aud Quest 2'!B16="x","Yes",IF('Aud Quest 2'!B16&lt;&gt;"x","0"))</f>
        <v>0</v>
      </c>
      <c r="G33" s="1879">
        <v>102400800</v>
      </c>
    </row>
    <row r="34" spans="1:7" ht="15" x14ac:dyDescent="0.25">
      <c r="A34" t="s">
        <v>656</v>
      </c>
      <c r="B34" s="135" t="str">
        <f>IF('Aud Quest 2'!B18="x","Yes",IF('Aud Quest 2'!B18&lt;&gt;"x","0"))</f>
        <v>0</v>
      </c>
      <c r="G34" s="1879">
        <v>102510300</v>
      </c>
    </row>
    <row r="35" spans="1:7" ht="15" x14ac:dyDescent="0.25">
      <c r="A35" t="s">
        <v>657</v>
      </c>
      <c r="B35" s="135" t="str">
        <f>IF('Aud Quest 2'!B20="x","Yes",IF('Aud Quest 2'!B20&lt;&gt;"x","0"))</f>
        <v>0</v>
      </c>
      <c r="G35" s="1879">
        <v>102510400</v>
      </c>
    </row>
    <row r="36" spans="1:7" ht="15" x14ac:dyDescent="0.25">
      <c r="A36" t="s">
        <v>651</v>
      </c>
      <c r="B36" s="135" t="str">
        <f>IF('Aud Quest 2'!B22="x","Yes",IF('Aud Quest 2'!B22&lt;&gt;"x","0"))</f>
        <v>0</v>
      </c>
      <c r="G36" s="1879">
        <v>102510600</v>
      </c>
    </row>
    <row r="37" spans="1:7" ht="15" x14ac:dyDescent="0.25">
      <c r="A37" t="s">
        <v>754</v>
      </c>
      <c r="B37" s="135" t="str">
        <f>IF('Aud Quest 2'!B24="x","Yes",IF('Aud Quest 2'!B24&lt;&gt;"x","0"))</f>
        <v>0</v>
      </c>
      <c r="G37" s="1879">
        <v>102510800</v>
      </c>
    </row>
    <row r="38" spans="1:7" ht="15" x14ac:dyDescent="0.25">
      <c r="A38" t="s">
        <v>324</v>
      </c>
      <c r="B38" s="135" t="str">
        <f>IF('Aud Quest 2'!B25="x","Yes",IF('Aud Quest 2'!B25&lt;&gt;"x","0"))</f>
        <v>0</v>
      </c>
      <c r="G38" s="1879">
        <v>202510300</v>
      </c>
    </row>
    <row r="39" spans="1:7" ht="15" x14ac:dyDescent="0.25">
      <c r="A39" t="s">
        <v>325</v>
      </c>
      <c r="B39" s="135" t="str">
        <f>IF('Aud Quest 2'!B27="x","Yes",IF('Aud Quest 2'!B27&lt;&gt;"x","0"))</f>
        <v>0</v>
      </c>
      <c r="G39" s="1879">
        <v>202510400</v>
      </c>
    </row>
    <row r="40" spans="1:7" ht="15" x14ac:dyDescent="0.25">
      <c r="A40" t="s">
        <v>316</v>
      </c>
      <c r="B40" s="135" t="str">
        <f>IF('Aud Quest 2'!B29="x","Yes",IF('Aud Quest 2'!B29&lt;&gt;"x","0"))</f>
        <v>0</v>
      </c>
      <c r="G40" s="1879">
        <v>202510600</v>
      </c>
    </row>
    <row r="41" spans="1:7" ht="15" x14ac:dyDescent="0.25">
      <c r="A41" t="s">
        <v>317</v>
      </c>
      <c r="B41" s="135" t="str">
        <f>IF('Aud Quest 2'!B31="x","Yes",IF('Aud Quest 2'!B31&lt;&gt;"x","0"))</f>
        <v>0</v>
      </c>
      <c r="G41" s="1879">
        <v>202510800</v>
      </c>
    </row>
    <row r="42" spans="1:7" ht="15" x14ac:dyDescent="0.25">
      <c r="A42" t="s">
        <v>318</v>
      </c>
      <c r="B42" s="135" t="str">
        <f>IF('Aud Quest 2'!B37="x","Yes",IF('Aud Quest 2'!B37&lt;&gt;"x","0"))</f>
        <v>0</v>
      </c>
      <c r="G42" s="1879">
        <v>102520300</v>
      </c>
    </row>
    <row r="43" spans="1:7" ht="15" x14ac:dyDescent="0.25">
      <c r="A43" t="s">
        <v>319</v>
      </c>
      <c r="B43" s="135" t="str">
        <f>IF('Aud Quest 2'!B40="x","Yes",IF('Aud Quest 2'!B40&lt;&gt;"x","0"))</f>
        <v>0</v>
      </c>
      <c r="G43" s="1879">
        <v>102520400</v>
      </c>
    </row>
    <row r="44" spans="1:7" ht="15" x14ac:dyDescent="0.25">
      <c r="A44" s="1" t="s">
        <v>320</v>
      </c>
      <c r="B44" s="135" t="str">
        <f>IF('Aud Quest 2'!B42="x","Yes",IF('Aud Quest 2'!B42&lt;&gt;"x","0"))</f>
        <v>0</v>
      </c>
      <c r="G44" s="1879">
        <v>102520600</v>
      </c>
    </row>
    <row r="45" spans="1:7" ht="15" x14ac:dyDescent="0.25">
      <c r="A45" t="s">
        <v>321</v>
      </c>
      <c r="B45" s="135" t="str">
        <f>IF('Aud Quest 2'!B44="x","Yes",IF('Aud Quest 2'!B44&lt;&gt;"x","0"))</f>
        <v>0</v>
      </c>
      <c r="G45" s="1879">
        <v>102520800</v>
      </c>
    </row>
    <row r="46" spans="1:7" ht="15" x14ac:dyDescent="0.25">
      <c r="A46" t="s">
        <v>322</v>
      </c>
      <c r="B46" s="135" t="str">
        <f>IF('Aud Quest 2'!B49="x","Yes",IF('Aud Quest 2'!B49&lt;&gt;"x","0"))</f>
        <v>0</v>
      </c>
      <c r="G46" s="1879">
        <v>102540300</v>
      </c>
    </row>
    <row r="47" spans="1:7" ht="15" x14ac:dyDescent="0.25">
      <c r="A47" t="s">
        <v>323</v>
      </c>
      <c r="B47" s="135" t="str">
        <f>IF('Aud Quest 2'!B50="x","Yes",IF('Aud Quest 2'!B50&lt;&gt;"x","0"))</f>
        <v>0</v>
      </c>
      <c r="G47" s="1879">
        <v>102540400</v>
      </c>
    </row>
    <row r="48" spans="1:7" ht="15" x14ac:dyDescent="0.25">
      <c r="A48" t="s">
        <v>480</v>
      </c>
      <c r="B48" s="135" t="str">
        <f>IF('Aud Quest 2'!B51="x","Yes",IF('Aud Quest 2'!B51&lt;&gt;"x","0"))</f>
        <v>0</v>
      </c>
      <c r="G48" s="1879">
        <v>102540600</v>
      </c>
    </row>
    <row r="49" spans="1:7" ht="15" x14ac:dyDescent="0.25">
      <c r="A49" s="1" t="s">
        <v>1461</v>
      </c>
      <c r="B49" s="135" t="str">
        <f>IF('Aud Quest 2'!B53="x","Yes",IF('Aud Quest 2'!B53&lt;&gt;"x","0"))</f>
        <v>0</v>
      </c>
      <c r="G49" s="1879">
        <v>102540800</v>
      </c>
    </row>
    <row r="50" spans="1:7" ht="15" x14ac:dyDescent="0.25">
      <c r="A50" s="1" t="s">
        <v>1460</v>
      </c>
      <c r="B50" s="146">
        <f>'Aud Quest 2'!H53</f>
        <v>0</v>
      </c>
      <c r="G50" s="1879">
        <v>202540300</v>
      </c>
    </row>
    <row r="51" spans="1:7" ht="15" x14ac:dyDescent="0.25">
      <c r="A51" s="1" t="s">
        <v>1462</v>
      </c>
      <c r="B51" s="135" t="str">
        <f>IF('Aud Quest 2'!B54="x","Yes",IF('Aud Quest 2'!B54&lt;&gt;"x","0"))</f>
        <v>0</v>
      </c>
      <c r="G51" s="1879">
        <v>202540400</v>
      </c>
    </row>
    <row r="52" spans="1:7" ht="15" x14ac:dyDescent="0.25">
      <c r="A52" t="s">
        <v>326</v>
      </c>
      <c r="B52" s="135">
        <f>('Aud Quest 2'!D56)</f>
        <v>0</v>
      </c>
      <c r="G52" s="1879">
        <v>202540600</v>
      </c>
    </row>
    <row r="53" spans="1:7" ht="15" x14ac:dyDescent="0.25">
      <c r="A53" s="1" t="s">
        <v>327</v>
      </c>
      <c r="B53" s="135">
        <f>IF('FP Info 3'!B44="X","Yes",0)</f>
        <v>0</v>
      </c>
      <c r="G53" s="1879">
        <v>202540800</v>
      </c>
    </row>
    <row r="54" spans="1:7" ht="15" x14ac:dyDescent="0.25">
      <c r="A54" t="s">
        <v>328</v>
      </c>
      <c r="B54" s="135">
        <f>IF('FP Info 3'!B45="X","Yes",0)</f>
        <v>0</v>
      </c>
      <c r="G54" s="1879">
        <v>902540300</v>
      </c>
    </row>
    <row r="55" spans="1:7" ht="15" x14ac:dyDescent="0.25">
      <c r="A55" t="s">
        <v>329</v>
      </c>
      <c r="B55" s="135">
        <f>IF('FP Info 3'!B46="X","Yes",0)</f>
        <v>0</v>
      </c>
      <c r="G55" s="1879">
        <v>902540400</v>
      </c>
    </row>
    <row r="56" spans="1:7" ht="15" x14ac:dyDescent="0.25">
      <c r="A56" t="s">
        <v>330</v>
      </c>
      <c r="B56" s="135">
        <f>IF('FP Info 3'!B47="X","Yes",0)</f>
        <v>0</v>
      </c>
      <c r="G56" s="1879">
        <v>902540600</v>
      </c>
    </row>
    <row r="57" spans="1:7" ht="15" x14ac:dyDescent="0.25">
      <c r="A57" t="s">
        <v>331</v>
      </c>
      <c r="B57" s="135">
        <f>IF('FP Info 3'!B48="X","Yes",0)</f>
        <v>0</v>
      </c>
      <c r="G57" s="1879">
        <v>902540800</v>
      </c>
    </row>
    <row r="58" spans="1:7" ht="15" x14ac:dyDescent="0.25">
      <c r="A58" t="s">
        <v>332</v>
      </c>
      <c r="B58" s="135">
        <f>IF('FP Info 3'!B49="X","Yes",0)</f>
        <v>0</v>
      </c>
      <c r="G58" s="1879">
        <v>102550300</v>
      </c>
    </row>
    <row r="59" spans="1:7" ht="15" x14ac:dyDescent="0.25">
      <c r="A59" t="s">
        <v>333</v>
      </c>
      <c r="B59" s="135">
        <f>IF('FP Info 3'!B50="X","Yes",0)</f>
        <v>0</v>
      </c>
      <c r="G59" s="1879">
        <v>102550400</v>
      </c>
    </row>
    <row r="60" spans="1:7" ht="15" x14ac:dyDescent="0.25">
      <c r="A60" t="s">
        <v>334</v>
      </c>
      <c r="B60" s="135">
        <f>IF('FP Info 3'!B51="X","Yes",0)</f>
        <v>0</v>
      </c>
      <c r="G60" s="1879">
        <v>102550600</v>
      </c>
    </row>
    <row r="61" spans="1:7" ht="15" x14ac:dyDescent="0.25">
      <c r="A61" t="s">
        <v>335</v>
      </c>
      <c r="B61" s="135">
        <f>('FP Info 3'!A53)</f>
        <v>0</v>
      </c>
      <c r="D61" s="2" t="str">
        <f>IF(ISBLANK(B62),"OK",IF(A62-B62=0,"OK","Error?"))</f>
        <v>OK</v>
      </c>
      <c r="G61" s="1879">
        <v>102550800</v>
      </c>
    </row>
    <row r="62" spans="1:7" ht="15" x14ac:dyDescent="0.25">
      <c r="A62" s="10">
        <v>1</v>
      </c>
      <c r="B62" s="1814"/>
      <c r="D62" s="2" t="str">
        <f>IF(ISBLANK(B62),"OK",IF(A62-B62=0,"OK","Error?"))</f>
        <v>OK</v>
      </c>
      <c r="G62" s="1879">
        <v>202550300</v>
      </c>
    </row>
    <row r="63" spans="1:7" ht="15" x14ac:dyDescent="0.25">
      <c r="A63" s="10">
        <v>2</v>
      </c>
      <c r="B63" s="1814"/>
      <c r="D63" s="2" t="str">
        <f t="shared" ref="D63:D126" si="0">IF(ISBLANK(B63),"OK",IF(A63-B63=0,"OK","Error?"))</f>
        <v>OK</v>
      </c>
      <c r="G63" s="1879">
        <v>202550400</v>
      </c>
    </row>
    <row r="64" spans="1:7" ht="15" x14ac:dyDescent="0.25">
      <c r="A64" s="10">
        <v>3</v>
      </c>
      <c r="B64" s="1814"/>
      <c r="D64" s="2" t="str">
        <f t="shared" si="0"/>
        <v>OK</v>
      </c>
      <c r="G64" s="1879">
        <v>202550600</v>
      </c>
    </row>
    <row r="65" spans="1:7" ht="15" x14ac:dyDescent="0.25">
      <c r="A65" s="5">
        <v>4</v>
      </c>
      <c r="B65" s="1814">
        <f>'Assets-Liab 5-6'!C6</f>
        <v>0</v>
      </c>
      <c r="D65" s="2" t="str">
        <f t="shared" si="0"/>
        <v>Error?</v>
      </c>
      <c r="G65" s="1879">
        <v>202550800</v>
      </c>
    </row>
    <row r="66" spans="1:7" ht="15" x14ac:dyDescent="0.25">
      <c r="A66" s="10">
        <v>5</v>
      </c>
      <c r="B66" s="1814"/>
      <c r="D66" s="2" t="str">
        <f t="shared" si="0"/>
        <v>OK</v>
      </c>
      <c r="G66" s="1879">
        <v>402550300</v>
      </c>
    </row>
    <row r="67" spans="1:7" ht="15" x14ac:dyDescent="0.25">
      <c r="A67" s="10">
        <v>6</v>
      </c>
      <c r="B67" s="1814"/>
      <c r="D67" s="2" t="str">
        <f t="shared" si="0"/>
        <v>OK</v>
      </c>
      <c r="G67" s="1879">
        <v>402550400</v>
      </c>
    </row>
    <row r="68" spans="1:7" ht="15" x14ac:dyDescent="0.25">
      <c r="A68" s="10">
        <v>7</v>
      </c>
      <c r="B68" s="1814"/>
      <c r="D68" s="2" t="str">
        <f t="shared" si="0"/>
        <v>OK</v>
      </c>
      <c r="G68" s="1879">
        <v>402550600</v>
      </c>
    </row>
    <row r="69" spans="1:7" ht="15" x14ac:dyDescent="0.25">
      <c r="A69" s="10">
        <v>8</v>
      </c>
      <c r="B69" s="1814"/>
      <c r="D69" s="2" t="str">
        <f t="shared" si="0"/>
        <v>OK</v>
      </c>
      <c r="G69" s="1879">
        <v>402550800</v>
      </c>
    </row>
    <row r="70" spans="1:7" ht="15" x14ac:dyDescent="0.25">
      <c r="A70" s="10">
        <v>9</v>
      </c>
      <c r="B70" s="1814"/>
      <c r="D70" s="2" t="str">
        <f t="shared" si="0"/>
        <v>OK</v>
      </c>
      <c r="G70" s="1879">
        <v>102560300</v>
      </c>
    </row>
    <row r="71" spans="1:7" ht="15" x14ac:dyDescent="0.25">
      <c r="A71" s="10">
        <v>10</v>
      </c>
      <c r="B71" s="1814"/>
      <c r="D71" s="2" t="str">
        <f t="shared" si="0"/>
        <v>OK</v>
      </c>
      <c r="G71" s="1879">
        <v>102560400</v>
      </c>
    </row>
    <row r="72" spans="1:7" ht="15" x14ac:dyDescent="0.25">
      <c r="A72" s="5">
        <v>11</v>
      </c>
      <c r="B72" s="1814">
        <f>'Assets-Liab 5-6'!C10</f>
        <v>0</v>
      </c>
      <c r="D72" s="2" t="str">
        <f t="shared" si="0"/>
        <v>Error?</v>
      </c>
      <c r="G72" s="1879">
        <v>102560600</v>
      </c>
    </row>
    <row r="73" spans="1:7" ht="15" x14ac:dyDescent="0.25">
      <c r="A73" s="5">
        <v>12</v>
      </c>
      <c r="B73" s="1814">
        <f>'Assets-Liab 5-6'!C5</f>
        <v>12733803</v>
      </c>
      <c r="D73" s="2" t="str">
        <f t="shared" si="0"/>
        <v>Error?</v>
      </c>
      <c r="G73" s="1879">
        <v>102560800</v>
      </c>
    </row>
    <row r="74" spans="1:7" ht="15" x14ac:dyDescent="0.25">
      <c r="A74" s="10">
        <v>13</v>
      </c>
      <c r="B74" s="1814"/>
      <c r="D74" s="2" t="str">
        <f t="shared" si="0"/>
        <v>OK</v>
      </c>
      <c r="G74" s="1879">
        <v>102570300</v>
      </c>
    </row>
    <row r="75" spans="1:7" ht="15" x14ac:dyDescent="0.25">
      <c r="A75" s="10">
        <v>14</v>
      </c>
      <c r="B75" s="1814"/>
      <c r="D75" s="2" t="str">
        <f t="shared" si="0"/>
        <v>OK</v>
      </c>
      <c r="G75" s="1879">
        <v>102570400</v>
      </c>
    </row>
    <row r="76" spans="1:7" ht="15" x14ac:dyDescent="0.25">
      <c r="A76" s="5">
        <v>15</v>
      </c>
      <c r="B76" s="1814">
        <f>'Assets-Liab 5-6'!C12</f>
        <v>0</v>
      </c>
      <c r="D76" s="2" t="str">
        <f t="shared" si="0"/>
        <v>Error?</v>
      </c>
      <c r="G76" s="1879">
        <v>102570600</v>
      </c>
    </row>
    <row r="77" spans="1:7" ht="15" x14ac:dyDescent="0.25">
      <c r="A77" s="5">
        <v>16</v>
      </c>
      <c r="B77" s="1814">
        <f>'Assets-Liab 5-6'!C13</f>
        <v>22847340</v>
      </c>
      <c r="C77" s="2" t="s">
        <v>569</v>
      </c>
      <c r="D77" s="2" t="str">
        <f t="shared" si="0"/>
        <v>Error?</v>
      </c>
      <c r="G77" s="1879">
        <v>102570800</v>
      </c>
    </row>
    <row r="78" spans="1:7" ht="15" x14ac:dyDescent="0.25">
      <c r="A78" s="10">
        <v>17</v>
      </c>
      <c r="B78" s="1814"/>
      <c r="D78" s="2" t="str">
        <f t="shared" si="0"/>
        <v>OK</v>
      </c>
      <c r="G78" s="1879">
        <v>102610300</v>
      </c>
    </row>
    <row r="79" spans="1:7" ht="15" x14ac:dyDescent="0.25">
      <c r="A79" s="10">
        <v>18</v>
      </c>
      <c r="B79" s="1814"/>
      <c r="D79" s="2" t="str">
        <f t="shared" si="0"/>
        <v>OK</v>
      </c>
      <c r="G79" s="1879">
        <v>102610400</v>
      </c>
    </row>
    <row r="80" spans="1:7" ht="15" x14ac:dyDescent="0.25">
      <c r="A80" s="10">
        <v>19</v>
      </c>
      <c r="B80" s="1814"/>
      <c r="D80" s="2" t="str">
        <f t="shared" si="0"/>
        <v>OK</v>
      </c>
      <c r="G80" s="1879">
        <v>102610600</v>
      </c>
    </row>
    <row r="81" spans="1:7" ht="15" x14ac:dyDescent="0.25">
      <c r="A81" s="10">
        <v>20</v>
      </c>
      <c r="B81" s="1814"/>
      <c r="D81" s="2" t="str">
        <f t="shared" si="0"/>
        <v>OK</v>
      </c>
      <c r="G81" s="1879">
        <v>102610800</v>
      </c>
    </row>
    <row r="82" spans="1:7" ht="15" x14ac:dyDescent="0.25">
      <c r="A82" s="10">
        <v>21</v>
      </c>
      <c r="B82" s="1814"/>
      <c r="D82" s="2" t="str">
        <f t="shared" si="0"/>
        <v>OK</v>
      </c>
      <c r="G82" s="1879">
        <v>102620300</v>
      </c>
    </row>
    <row r="83" spans="1:7" ht="15" x14ac:dyDescent="0.25">
      <c r="A83" s="10">
        <v>22</v>
      </c>
      <c r="B83" s="1814"/>
      <c r="D83" s="2" t="str">
        <f t="shared" si="0"/>
        <v>OK</v>
      </c>
      <c r="G83" s="1879">
        <v>102620400</v>
      </c>
    </row>
    <row r="84" spans="1:7" ht="15" x14ac:dyDescent="0.25">
      <c r="A84" s="10">
        <v>23</v>
      </c>
      <c r="B84" s="1814"/>
      <c r="D84" s="2" t="str">
        <f t="shared" si="0"/>
        <v>OK</v>
      </c>
      <c r="G84" s="1879">
        <v>102620600</v>
      </c>
    </row>
    <row r="85" spans="1:7" ht="15" x14ac:dyDescent="0.25">
      <c r="A85" s="10">
        <v>24</v>
      </c>
      <c r="B85" s="1814"/>
      <c r="D85" s="2" t="str">
        <f t="shared" si="0"/>
        <v>OK</v>
      </c>
      <c r="G85" s="1879">
        <v>102620800</v>
      </c>
    </row>
    <row r="86" spans="1:7" ht="15" x14ac:dyDescent="0.25">
      <c r="A86" s="12">
        <v>25</v>
      </c>
      <c r="B86" s="1814">
        <f>'Assets-Liab 5-6'!C31</f>
        <v>0</v>
      </c>
      <c r="D86" s="2" t="str">
        <f t="shared" si="0"/>
        <v>Error?</v>
      </c>
      <c r="G86" s="1879">
        <v>102630300</v>
      </c>
    </row>
    <row r="87" spans="1:7" ht="15" x14ac:dyDescent="0.25">
      <c r="A87" s="10">
        <v>26</v>
      </c>
      <c r="B87" s="1814"/>
      <c r="D87" s="2" t="str">
        <f t="shared" si="0"/>
        <v>OK</v>
      </c>
      <c r="G87" s="1879">
        <v>102630400</v>
      </c>
    </row>
    <row r="88" spans="1:7" ht="15" x14ac:dyDescent="0.25">
      <c r="A88" s="5">
        <v>27</v>
      </c>
      <c r="B88" s="1814">
        <f>'Assets-Liab 5-6'!C32</f>
        <v>0</v>
      </c>
      <c r="D88" s="2" t="str">
        <f t="shared" si="0"/>
        <v>Error?</v>
      </c>
      <c r="G88" s="1879">
        <v>102630600</v>
      </c>
    </row>
    <row r="89" spans="1:7" ht="15" x14ac:dyDescent="0.25">
      <c r="A89" s="10">
        <v>28</v>
      </c>
      <c r="B89" s="1814"/>
      <c r="D89" s="2" t="str">
        <f t="shared" si="0"/>
        <v>OK</v>
      </c>
      <c r="G89" s="1879">
        <v>102630800</v>
      </c>
    </row>
    <row r="90" spans="1:7" ht="15" x14ac:dyDescent="0.25">
      <c r="A90" s="10">
        <v>29</v>
      </c>
      <c r="B90" s="1814"/>
      <c r="D90" s="2" t="str">
        <f t="shared" si="0"/>
        <v>OK</v>
      </c>
      <c r="G90" s="1879">
        <v>102640300</v>
      </c>
    </row>
    <row r="91" spans="1:7" ht="15" x14ac:dyDescent="0.25">
      <c r="A91" s="5">
        <v>30</v>
      </c>
      <c r="B91" s="1814">
        <f>'Assets-Liab 5-6'!C34</f>
        <v>9019730</v>
      </c>
      <c r="C91" s="2" t="s">
        <v>569</v>
      </c>
      <c r="D91" s="2" t="str">
        <f t="shared" si="0"/>
        <v>Error?</v>
      </c>
      <c r="G91" s="1879">
        <v>102640400</v>
      </c>
    </row>
    <row r="92" spans="1:7" ht="15" x14ac:dyDescent="0.25">
      <c r="A92" s="5">
        <v>31</v>
      </c>
      <c r="B92" s="1814">
        <f>'Assets-Liab 5-6'!C39</f>
        <v>12834931</v>
      </c>
      <c r="D92" s="2" t="str">
        <f t="shared" si="0"/>
        <v>Error?</v>
      </c>
      <c r="G92" s="1879">
        <v>102640600</v>
      </c>
    </row>
    <row r="93" spans="1:7" ht="15" x14ac:dyDescent="0.25">
      <c r="A93" s="5">
        <v>32</v>
      </c>
      <c r="B93" s="1814">
        <f>'Assets-Liab 5-6'!C41</f>
        <v>22847340</v>
      </c>
      <c r="C93" s="2" t="s">
        <v>569</v>
      </c>
      <c r="D93" s="2" t="str">
        <f t="shared" si="0"/>
        <v>Error?</v>
      </c>
      <c r="G93" s="1879">
        <v>102640800</v>
      </c>
    </row>
    <row r="94" spans="1:7" ht="15" x14ac:dyDescent="0.25">
      <c r="A94" s="10">
        <v>33</v>
      </c>
      <c r="B94" s="1814"/>
      <c r="D94" s="2" t="str">
        <f t="shared" si="0"/>
        <v>OK</v>
      </c>
      <c r="G94" s="1879">
        <v>102660300</v>
      </c>
    </row>
    <row r="95" spans="1:7" ht="15" x14ac:dyDescent="0.25">
      <c r="A95" s="10">
        <v>34</v>
      </c>
      <c r="B95" s="1814"/>
      <c r="D95" s="2" t="str">
        <f t="shared" si="0"/>
        <v>OK</v>
      </c>
      <c r="G95" s="1879">
        <v>102660400</v>
      </c>
    </row>
    <row r="96" spans="1:7" ht="15" x14ac:dyDescent="0.25">
      <c r="A96" s="10">
        <v>35</v>
      </c>
      <c r="B96" s="1814"/>
      <c r="D96" s="2" t="str">
        <f t="shared" si="0"/>
        <v>OK</v>
      </c>
      <c r="G96" s="1879">
        <v>102660600</v>
      </c>
    </row>
    <row r="97" spans="1:7" ht="15" x14ac:dyDescent="0.25">
      <c r="A97" s="5">
        <v>36</v>
      </c>
      <c r="B97" s="1814">
        <f>'Assets-Liab 5-6'!D6</f>
        <v>0</v>
      </c>
      <c r="D97" s="2" t="str">
        <f t="shared" si="0"/>
        <v>Error?</v>
      </c>
      <c r="G97" s="1879">
        <v>102660800</v>
      </c>
    </row>
    <row r="98" spans="1:7" ht="15" x14ac:dyDescent="0.25">
      <c r="A98" s="10">
        <v>37</v>
      </c>
      <c r="B98" s="1814"/>
      <c r="D98" s="2" t="str">
        <f t="shared" si="0"/>
        <v>OK</v>
      </c>
      <c r="G98" s="1879">
        <v>102900300</v>
      </c>
    </row>
    <row r="99" spans="1:7" ht="15" x14ac:dyDescent="0.25">
      <c r="A99" s="10">
        <v>38</v>
      </c>
      <c r="B99" s="1814"/>
      <c r="D99" s="2" t="str">
        <f t="shared" si="0"/>
        <v>OK</v>
      </c>
      <c r="G99" s="1879">
        <v>102900400</v>
      </c>
    </row>
    <row r="100" spans="1:7" ht="15" x14ac:dyDescent="0.25">
      <c r="A100" s="10">
        <v>39</v>
      </c>
      <c r="B100" s="1814"/>
      <c r="D100" s="2" t="str">
        <f t="shared" si="0"/>
        <v>OK</v>
      </c>
      <c r="G100" s="1879">
        <v>102900600</v>
      </c>
    </row>
    <row r="101" spans="1:7" ht="15" x14ac:dyDescent="0.25">
      <c r="A101" s="10">
        <v>40</v>
      </c>
      <c r="B101" s="1814"/>
      <c r="D101" s="2" t="str">
        <f t="shared" si="0"/>
        <v>OK</v>
      </c>
      <c r="G101" s="1879">
        <v>102900800</v>
      </c>
    </row>
    <row r="102" spans="1:7" ht="15" x14ac:dyDescent="0.25">
      <c r="A102" s="10">
        <v>41</v>
      </c>
      <c r="B102" s="1814"/>
      <c r="D102" s="2" t="str">
        <f t="shared" si="0"/>
        <v>OK</v>
      </c>
      <c r="G102" s="1879">
        <v>202900300</v>
      </c>
    </row>
    <row r="103" spans="1:7" ht="15" x14ac:dyDescent="0.25">
      <c r="A103" s="10">
        <v>42</v>
      </c>
      <c r="B103" s="1814"/>
      <c r="D103" s="2" t="str">
        <f t="shared" si="0"/>
        <v>OK</v>
      </c>
      <c r="G103" s="1879">
        <v>202900400</v>
      </c>
    </row>
    <row r="104" spans="1:7" ht="15" x14ac:dyDescent="0.25">
      <c r="A104" s="5">
        <v>43</v>
      </c>
      <c r="B104" s="1814">
        <f>'Assets-Liab 5-6'!D10</f>
        <v>0</v>
      </c>
      <c r="D104" s="2" t="str">
        <f t="shared" si="0"/>
        <v>Error?</v>
      </c>
      <c r="G104" s="1879">
        <v>202900600</v>
      </c>
    </row>
    <row r="105" spans="1:7" ht="15" x14ac:dyDescent="0.25">
      <c r="A105" s="5">
        <v>44</v>
      </c>
      <c r="B105" s="1814">
        <f>'Assets-Liab 5-6'!D5</f>
        <v>0</v>
      </c>
      <c r="D105" s="2" t="str">
        <f t="shared" si="0"/>
        <v>Error?</v>
      </c>
      <c r="G105" s="1879">
        <v>202900800</v>
      </c>
    </row>
    <row r="106" spans="1:7" ht="15" x14ac:dyDescent="0.25">
      <c r="A106" s="10">
        <v>45</v>
      </c>
      <c r="B106" s="1814"/>
      <c r="D106" s="2" t="str">
        <f t="shared" si="0"/>
        <v>OK</v>
      </c>
      <c r="G106" s="1879">
        <v>402900300</v>
      </c>
    </row>
    <row r="107" spans="1:7" ht="15" x14ac:dyDescent="0.25">
      <c r="A107" s="10">
        <v>46</v>
      </c>
      <c r="B107" s="1814"/>
      <c r="D107" s="2" t="str">
        <f t="shared" si="0"/>
        <v>OK</v>
      </c>
      <c r="G107" s="1879">
        <v>402900400</v>
      </c>
    </row>
    <row r="108" spans="1:7" ht="15" x14ac:dyDescent="0.25">
      <c r="A108" s="5">
        <v>47</v>
      </c>
      <c r="B108" s="1814">
        <f>'Assets-Liab 5-6'!D12</f>
        <v>0</v>
      </c>
      <c r="D108" s="2" t="str">
        <f t="shared" si="0"/>
        <v>Error?</v>
      </c>
      <c r="G108" s="1879">
        <v>402900600</v>
      </c>
    </row>
    <row r="109" spans="1:7" ht="15" x14ac:dyDescent="0.25">
      <c r="A109" s="5">
        <v>48</v>
      </c>
      <c r="B109" s="1814">
        <f>'Assets-Liab 5-6'!D13</f>
        <v>3982130</v>
      </c>
      <c r="C109" s="2" t="s">
        <v>569</v>
      </c>
      <c r="D109" s="2" t="str">
        <f t="shared" si="0"/>
        <v>Error?</v>
      </c>
      <c r="G109" s="1879">
        <v>402900800</v>
      </c>
    </row>
    <row r="110" spans="1:7" ht="15" x14ac:dyDescent="0.25">
      <c r="A110" s="10">
        <v>49</v>
      </c>
      <c r="B110" s="1814"/>
      <c r="D110" s="2" t="str">
        <f t="shared" si="0"/>
        <v>OK</v>
      </c>
      <c r="G110" s="1879">
        <v>602900300</v>
      </c>
    </row>
    <row r="111" spans="1:7" ht="15" x14ac:dyDescent="0.25">
      <c r="A111" s="10">
        <v>50</v>
      </c>
      <c r="B111" s="1814"/>
      <c r="D111" s="2" t="str">
        <f t="shared" si="0"/>
        <v>OK</v>
      </c>
      <c r="G111" s="1879">
        <v>602900400</v>
      </c>
    </row>
    <row r="112" spans="1:7" ht="15" x14ac:dyDescent="0.25">
      <c r="A112" s="10">
        <v>51</v>
      </c>
      <c r="B112" s="1814"/>
      <c r="D112" s="2" t="str">
        <f t="shared" si="0"/>
        <v>OK</v>
      </c>
      <c r="G112" s="1879">
        <v>602900600</v>
      </c>
    </row>
    <row r="113" spans="1:7" ht="15" x14ac:dyDescent="0.25">
      <c r="A113" s="10">
        <v>52</v>
      </c>
      <c r="B113" s="1814"/>
      <c r="D113" s="2" t="str">
        <f t="shared" si="0"/>
        <v>OK</v>
      </c>
      <c r="G113" s="1879">
        <v>602900800</v>
      </c>
    </row>
    <row r="114" spans="1:7" ht="15" x14ac:dyDescent="0.25">
      <c r="A114" s="10">
        <v>53</v>
      </c>
      <c r="B114" s="1814"/>
      <c r="D114" s="2" t="str">
        <f t="shared" si="0"/>
        <v>OK</v>
      </c>
      <c r="G114" s="1879">
        <v>902900300</v>
      </c>
    </row>
    <row r="115" spans="1:7" ht="15" x14ac:dyDescent="0.25">
      <c r="A115" s="10">
        <v>54</v>
      </c>
      <c r="B115" s="1814"/>
      <c r="D115" s="2" t="str">
        <f t="shared" si="0"/>
        <v>OK</v>
      </c>
      <c r="G115" s="1879">
        <v>902900400</v>
      </c>
    </row>
    <row r="116" spans="1:7" ht="15" x14ac:dyDescent="0.25">
      <c r="A116" s="10">
        <v>55</v>
      </c>
      <c r="B116" s="1814"/>
      <c r="D116" s="2" t="str">
        <f t="shared" si="0"/>
        <v>OK</v>
      </c>
      <c r="G116" s="1879">
        <v>902900600</v>
      </c>
    </row>
    <row r="117" spans="1:7" ht="15" x14ac:dyDescent="0.25">
      <c r="A117" s="5">
        <v>56</v>
      </c>
      <c r="B117" s="1814">
        <f>'Assets-Liab 5-6'!D31</f>
        <v>0</v>
      </c>
      <c r="D117" s="2" t="str">
        <f t="shared" si="0"/>
        <v>Error?</v>
      </c>
      <c r="G117" s="1879">
        <v>902900800</v>
      </c>
    </row>
    <row r="118" spans="1:7" ht="15" x14ac:dyDescent="0.25">
      <c r="A118" s="10">
        <v>57</v>
      </c>
      <c r="B118" s="1814"/>
      <c r="D118" s="2" t="str">
        <f t="shared" si="0"/>
        <v>OK</v>
      </c>
      <c r="G118" s="1879">
        <v>103000300</v>
      </c>
    </row>
    <row r="119" spans="1:7" ht="15" x14ac:dyDescent="0.25">
      <c r="A119" s="5">
        <v>58</v>
      </c>
      <c r="B119" s="1814">
        <f>'Assets-Liab 5-6'!D32</f>
        <v>0</v>
      </c>
      <c r="D119" s="2" t="str">
        <f t="shared" si="0"/>
        <v>Error?</v>
      </c>
      <c r="G119" s="1879">
        <v>103000400</v>
      </c>
    </row>
    <row r="120" spans="1:7" ht="15" x14ac:dyDescent="0.25">
      <c r="A120" s="10">
        <v>59</v>
      </c>
      <c r="B120" s="1814"/>
      <c r="D120" s="2" t="str">
        <f t="shared" si="0"/>
        <v>OK</v>
      </c>
      <c r="G120" s="1879">
        <v>103000600</v>
      </c>
    </row>
    <row r="121" spans="1:7" ht="15" x14ac:dyDescent="0.25">
      <c r="A121" s="10">
        <v>60</v>
      </c>
      <c r="B121" s="1814"/>
      <c r="D121" s="2" t="str">
        <f t="shared" si="0"/>
        <v>OK</v>
      </c>
      <c r="G121" s="1879">
        <v>103000800</v>
      </c>
    </row>
    <row r="122" spans="1:7" ht="15" x14ac:dyDescent="0.25">
      <c r="A122" s="5">
        <v>61</v>
      </c>
      <c r="B122" s="1814">
        <f>'Assets-Liab 5-6'!D34</f>
        <v>1278438</v>
      </c>
      <c r="C122" s="2" t="s">
        <v>569</v>
      </c>
      <c r="D122" s="2" t="str">
        <f t="shared" si="0"/>
        <v>Error?</v>
      </c>
      <c r="G122" s="1879">
        <v>203000300</v>
      </c>
    </row>
    <row r="123" spans="1:7" ht="15" x14ac:dyDescent="0.25">
      <c r="A123" s="5">
        <v>62</v>
      </c>
      <c r="B123" s="1814">
        <f>'Assets-Liab 5-6'!D39</f>
        <v>2653692</v>
      </c>
      <c r="D123" s="2" t="str">
        <f t="shared" si="0"/>
        <v>Error?</v>
      </c>
      <c r="G123" s="1879">
        <v>203000400</v>
      </c>
    </row>
    <row r="124" spans="1:7" ht="15" x14ac:dyDescent="0.25">
      <c r="A124" s="5">
        <v>63</v>
      </c>
      <c r="B124" s="1814">
        <f>'Assets-Liab 5-6'!D41</f>
        <v>3982130</v>
      </c>
      <c r="C124" s="2" t="s">
        <v>569</v>
      </c>
      <c r="D124" s="2" t="str">
        <f t="shared" si="0"/>
        <v>Error?</v>
      </c>
      <c r="G124" s="1879">
        <v>203000600</v>
      </c>
    </row>
    <row r="125" spans="1:7" ht="15" x14ac:dyDescent="0.25">
      <c r="A125" s="10">
        <v>64</v>
      </c>
      <c r="B125" s="1814"/>
      <c r="D125" s="2" t="str">
        <f t="shared" si="0"/>
        <v>OK</v>
      </c>
      <c r="G125" s="1879">
        <v>203000800</v>
      </c>
    </row>
    <row r="126" spans="1:7" ht="15" x14ac:dyDescent="0.25">
      <c r="A126" s="5">
        <v>65</v>
      </c>
      <c r="B126" s="1814">
        <f>'Assets-Liab 5-6'!E6</f>
        <v>0</v>
      </c>
      <c r="D126" s="2" t="str">
        <f t="shared" si="0"/>
        <v>Error?</v>
      </c>
      <c r="G126" s="1879">
        <v>403000300</v>
      </c>
    </row>
    <row r="127" spans="1:7" ht="15" x14ac:dyDescent="0.25">
      <c r="A127" s="10">
        <v>66</v>
      </c>
      <c r="B127" s="1814"/>
      <c r="D127" s="2" t="str">
        <f t="shared" ref="D127:D190" si="1">IF(ISBLANK(B127),"OK",IF(A127-B127=0,"OK","Error?"))</f>
        <v>OK</v>
      </c>
      <c r="G127" s="1879">
        <v>403000400</v>
      </c>
    </row>
    <row r="128" spans="1:7" ht="15" x14ac:dyDescent="0.25">
      <c r="A128" s="10">
        <v>67</v>
      </c>
      <c r="B128" s="1814"/>
      <c r="D128" s="2" t="str">
        <f t="shared" si="1"/>
        <v>OK</v>
      </c>
      <c r="G128" s="1879">
        <v>403000600</v>
      </c>
    </row>
    <row r="129" spans="1:7" ht="15" x14ac:dyDescent="0.25">
      <c r="A129" s="5">
        <v>68</v>
      </c>
      <c r="B129" s="1814">
        <f>'Assets-Liab 5-6'!E5</f>
        <v>0</v>
      </c>
      <c r="D129" s="2" t="str">
        <f t="shared" si="1"/>
        <v>Error?</v>
      </c>
      <c r="G129" s="1879">
        <v>403000800</v>
      </c>
    </row>
    <row r="130" spans="1:7" x14ac:dyDescent="0.2">
      <c r="A130" s="5">
        <v>69</v>
      </c>
      <c r="B130" s="1814">
        <f>'Assets-Liab 5-6'!E12</f>
        <v>0</v>
      </c>
      <c r="D130" s="2" t="str">
        <f t="shared" si="1"/>
        <v>Error?</v>
      </c>
    </row>
    <row r="131" spans="1:7" x14ac:dyDescent="0.2">
      <c r="A131" s="5">
        <v>70</v>
      </c>
      <c r="B131" s="1814">
        <f>'Assets-Liab 5-6'!E13</f>
        <v>176042</v>
      </c>
      <c r="C131" s="2" t="s">
        <v>569</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0</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0</v>
      </c>
      <c r="C139" s="2" t="s">
        <v>569</v>
      </c>
      <c r="D139" s="2" t="str">
        <f t="shared" si="1"/>
        <v>Error?</v>
      </c>
    </row>
    <row r="140" spans="1:7" x14ac:dyDescent="0.2">
      <c r="A140" s="5">
        <v>79</v>
      </c>
      <c r="B140" s="1814">
        <f>'Assets-Liab 5-6'!E39</f>
        <v>176042</v>
      </c>
      <c r="D140" s="2" t="str">
        <f t="shared" si="1"/>
        <v>Error?</v>
      </c>
    </row>
    <row r="141" spans="1:7" x14ac:dyDescent="0.2">
      <c r="A141" s="5">
        <v>80</v>
      </c>
      <c r="B141" s="1814">
        <f>'Assets-Liab 5-6'!E41</f>
        <v>176042</v>
      </c>
      <c r="C141" s="2" t="s">
        <v>569</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0</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592593</v>
      </c>
      <c r="C157" s="2" t="s">
        <v>569</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10210</v>
      </c>
      <c r="C169" s="2" t="s">
        <v>569</v>
      </c>
      <c r="D169" s="2" t="str">
        <f t="shared" si="1"/>
        <v>Error?</v>
      </c>
    </row>
    <row r="170" spans="1:4" x14ac:dyDescent="0.2">
      <c r="A170" s="5">
        <v>109</v>
      </c>
      <c r="B170" s="1814">
        <f>'Assets-Liab 5-6'!F39</f>
        <v>582383</v>
      </c>
      <c r="D170" s="2" t="str">
        <f t="shared" si="1"/>
        <v>Error?</v>
      </c>
    </row>
    <row r="171" spans="1:4" x14ac:dyDescent="0.2">
      <c r="A171" s="5">
        <v>110</v>
      </c>
      <c r="B171" s="1814">
        <f>'Assets-Liab 5-6'!F41</f>
        <v>592593</v>
      </c>
      <c r="C171" s="2" t="s">
        <v>569</v>
      </c>
      <c r="D171" s="2" t="str">
        <f t="shared" si="1"/>
        <v>Error?</v>
      </c>
    </row>
    <row r="172" spans="1:4" x14ac:dyDescent="0.2">
      <c r="A172" s="10">
        <v>111</v>
      </c>
      <c r="B172" s="1814"/>
      <c r="D172" s="2" t="str">
        <f t="shared" si="1"/>
        <v>OK</v>
      </c>
    </row>
    <row r="173" spans="1:4" x14ac:dyDescent="0.2">
      <c r="A173" s="5">
        <v>112</v>
      </c>
      <c r="B173" s="1814">
        <f>'Assets-Liab 5-6'!G6</f>
        <v>0</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1926835</v>
      </c>
      <c r="C180" s="2" t="s">
        <v>569</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0</v>
      </c>
      <c r="D184" s="2" t="str">
        <f t="shared" si="1"/>
        <v>Error?</v>
      </c>
    </row>
    <row r="185" spans="1:4" x14ac:dyDescent="0.2">
      <c r="A185" s="5">
        <v>124</v>
      </c>
      <c r="B185" s="1814">
        <f>'Assets-Liab 5-6'!G32</f>
        <v>0</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168189</v>
      </c>
      <c r="C188" s="2" t="s">
        <v>569</v>
      </c>
      <c r="D188" s="2" t="str">
        <f t="shared" si="1"/>
        <v>Error?</v>
      </c>
    </row>
    <row r="189" spans="1:4" x14ac:dyDescent="0.2">
      <c r="A189" s="5">
        <v>128</v>
      </c>
      <c r="B189" s="1814">
        <f>'Assets-Liab 5-6'!G39</f>
        <v>1758646</v>
      </c>
      <c r="D189" s="2" t="str">
        <f t="shared" si="1"/>
        <v>Error?</v>
      </c>
    </row>
    <row r="190" spans="1:4" x14ac:dyDescent="0.2">
      <c r="A190" s="5">
        <v>129</v>
      </c>
      <c r="B190" s="1814">
        <f>'Assets-Liab 5-6'!G41</f>
        <v>1926835</v>
      </c>
      <c r="C190" s="2" t="s">
        <v>569</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0</v>
      </c>
      <c r="C203" s="2" t="s">
        <v>569</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569</v>
      </c>
      <c r="D211" s="2" t="str">
        <f t="shared" si="2"/>
        <v>Error?</v>
      </c>
    </row>
    <row r="212" spans="1:4" x14ac:dyDescent="0.2">
      <c r="A212" s="5">
        <v>151</v>
      </c>
      <c r="B212" s="1814">
        <f>'Assets-Liab 5-6'!H39</f>
        <v>0</v>
      </c>
      <c r="D212" s="2" t="str">
        <f t="shared" si="2"/>
        <v>Error?</v>
      </c>
    </row>
    <row r="213" spans="1:4" x14ac:dyDescent="0.2">
      <c r="A213" s="12">
        <v>152</v>
      </c>
      <c r="B213" s="1814">
        <f>'Assets-Liab 5-6'!H41</f>
        <v>0</v>
      </c>
      <c r="C213" s="2" t="s">
        <v>569</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569</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569</v>
      </c>
      <c r="D247" s="2" t="str">
        <f t="shared" si="2"/>
        <v>OK</v>
      </c>
    </row>
    <row r="248" spans="1:4" x14ac:dyDescent="0.2">
      <c r="A248" s="10">
        <v>187</v>
      </c>
      <c r="B248" s="1814"/>
      <c r="D248" s="2" t="str">
        <f t="shared" si="2"/>
        <v>OK</v>
      </c>
    </row>
    <row r="249" spans="1:4" x14ac:dyDescent="0.2">
      <c r="A249" s="10">
        <v>188</v>
      </c>
      <c r="B249" s="1814"/>
      <c r="C249" s="2" t="s">
        <v>569</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1260625</v>
      </c>
      <c r="D273" s="2" t="str">
        <f t="shared" si="3"/>
        <v>Error?</v>
      </c>
    </row>
    <row r="274" spans="1:4" x14ac:dyDescent="0.2">
      <c r="A274" s="5">
        <v>213</v>
      </c>
      <c r="B274" s="1814">
        <f>'Assets-Liab 5-6'!M17</f>
        <v>43318704</v>
      </c>
      <c r="D274" s="2" t="str">
        <f t="shared" si="3"/>
        <v>Error?</v>
      </c>
    </row>
    <row r="275" spans="1:4" x14ac:dyDescent="0.2">
      <c r="A275" s="5">
        <v>214</v>
      </c>
      <c r="B275" s="1814">
        <f>'Assets-Liab 5-6'!M18</f>
        <v>6637747</v>
      </c>
      <c r="D275" s="2" t="str">
        <f t="shared" si="3"/>
        <v>Error?</v>
      </c>
    </row>
    <row r="276" spans="1:4" x14ac:dyDescent="0.2">
      <c r="A276" s="5">
        <v>215</v>
      </c>
      <c r="B276" s="1814">
        <f>'Assets-Liab 5-6'!M19</f>
        <v>2680146</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58003205</v>
      </c>
      <c r="C279" s="2" t="s">
        <v>569</v>
      </c>
      <c r="D279" s="2" t="str">
        <f t="shared" si="3"/>
        <v>Error?</v>
      </c>
    </row>
    <row r="280" spans="1:4" x14ac:dyDescent="0.2">
      <c r="A280" s="5">
        <v>219</v>
      </c>
      <c r="B280" s="1814">
        <f>'Assets-Liab 5-6'!M40</f>
        <v>58003205</v>
      </c>
      <c r="D280" s="2" t="str">
        <f t="shared" si="3"/>
        <v>Error?</v>
      </c>
    </row>
    <row r="281" spans="1:4" x14ac:dyDescent="0.2">
      <c r="A281" s="5">
        <v>220</v>
      </c>
      <c r="B281" s="1814">
        <f>'Assets-Liab 5-6'!M41</f>
        <v>58003205</v>
      </c>
      <c r="C281" s="2" t="s">
        <v>569</v>
      </c>
      <c r="D281" s="2" t="str">
        <f t="shared" si="3"/>
        <v>Error?</v>
      </c>
    </row>
    <row r="282" spans="1:4" x14ac:dyDescent="0.2">
      <c r="A282" s="5">
        <v>221</v>
      </c>
      <c r="B282" s="1814">
        <f>'Assets-Liab 5-6'!N21</f>
        <v>176042</v>
      </c>
      <c r="D282" s="2" t="str">
        <f t="shared" si="3"/>
        <v>Error?</v>
      </c>
    </row>
    <row r="283" spans="1:4" x14ac:dyDescent="0.2">
      <c r="A283" s="5">
        <v>222</v>
      </c>
      <c r="B283" s="1814">
        <f>'Assets-Liab 5-6'!N22</f>
        <v>2248958</v>
      </c>
      <c r="D283" s="2" t="str">
        <f t="shared" si="3"/>
        <v>Error?</v>
      </c>
    </row>
    <row r="284" spans="1:4" x14ac:dyDescent="0.2">
      <c r="A284" s="5">
        <v>223</v>
      </c>
      <c r="B284" s="1814">
        <f>'Assets-Liab 5-6'!N23</f>
        <v>2425000</v>
      </c>
      <c r="C284" s="2" t="s">
        <v>569</v>
      </c>
      <c r="D284" s="2" t="str">
        <f t="shared" si="3"/>
        <v>Error?</v>
      </c>
    </row>
    <row r="285" spans="1:4" x14ac:dyDescent="0.2">
      <c r="A285" s="5">
        <v>224</v>
      </c>
      <c r="B285" s="1814">
        <f>'Assets-Liab 5-6'!N36</f>
        <v>2425000</v>
      </c>
      <c r="D285" s="2" t="str">
        <f t="shared" si="3"/>
        <v>Error?</v>
      </c>
    </row>
    <row r="286" spans="1:4" x14ac:dyDescent="0.2">
      <c r="A286" s="10">
        <v>225</v>
      </c>
      <c r="B286" s="1814"/>
      <c r="D286" s="2" t="str">
        <f t="shared" si="3"/>
        <v>OK</v>
      </c>
    </row>
    <row r="287" spans="1:4" x14ac:dyDescent="0.2">
      <c r="A287" s="5">
        <v>226</v>
      </c>
      <c r="B287" s="1814">
        <f>'Assets-Liab 5-6'!N37</f>
        <v>2425000</v>
      </c>
      <c r="C287" s="2" t="s">
        <v>569</v>
      </c>
      <c r="D287" s="2" t="str">
        <f t="shared" si="3"/>
        <v>Error?</v>
      </c>
    </row>
    <row r="288" spans="1:4" x14ac:dyDescent="0.2">
      <c r="A288" s="5">
        <v>227</v>
      </c>
      <c r="B288" s="1814">
        <f>'Assets-Liab 5-6'!N41</f>
        <v>2425000</v>
      </c>
      <c r="C288" s="2" t="s">
        <v>569</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0</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0</v>
      </c>
      <c r="D705" s="2" t="str">
        <f t="shared" si="10"/>
        <v>Error?</v>
      </c>
    </row>
    <row r="706" spans="1:4" x14ac:dyDescent="0.2">
      <c r="A706" s="5">
        <v>645</v>
      </c>
      <c r="B706" s="1814">
        <f>'Expenditures 15-22'!C16</f>
        <v>0</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0</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709160</v>
      </c>
      <c r="D717" s="2" t="str">
        <f t="shared" si="10"/>
        <v>Error?</v>
      </c>
    </row>
    <row r="718" spans="1:4" x14ac:dyDescent="0.2">
      <c r="A718" s="5">
        <v>657</v>
      </c>
      <c r="B718" s="1814">
        <f>'Expenditures 15-22'!C14</f>
        <v>0</v>
      </c>
      <c r="D718" s="2" t="str">
        <f t="shared" si="10"/>
        <v>Error?</v>
      </c>
    </row>
    <row r="719" spans="1:4" x14ac:dyDescent="0.2">
      <c r="A719" s="5">
        <v>658</v>
      </c>
      <c r="B719" s="1814">
        <f>'Expenditures 15-22'!C15</f>
        <v>519975</v>
      </c>
      <c r="D719" s="2" t="str">
        <f t="shared" si="10"/>
        <v>Error?</v>
      </c>
    </row>
    <row r="720" spans="1:4" x14ac:dyDescent="0.2">
      <c r="A720" s="5">
        <v>659</v>
      </c>
      <c r="B720" s="1814">
        <f>'Expenditures 15-22'!C33</f>
        <v>18348628</v>
      </c>
      <c r="C720" s="2" t="s">
        <v>569</v>
      </c>
      <c r="D720" s="2" t="str">
        <f t="shared" si="10"/>
        <v>Error?</v>
      </c>
    </row>
    <row r="721" spans="1:4" x14ac:dyDescent="0.2">
      <c r="A721" s="5">
        <v>660</v>
      </c>
      <c r="B721" s="1814">
        <f>'Expenditures 15-22'!C36</f>
        <v>2632187</v>
      </c>
      <c r="D721" s="2" t="str">
        <f t="shared" si="10"/>
        <v>Error?</v>
      </c>
    </row>
    <row r="722" spans="1:4" x14ac:dyDescent="0.2">
      <c r="A722" s="5">
        <v>661</v>
      </c>
      <c r="B722" s="1814">
        <f>'Expenditures 15-22'!C37</f>
        <v>0</v>
      </c>
      <c r="D722" s="2" t="str">
        <f t="shared" si="10"/>
        <v>Error?</v>
      </c>
    </row>
    <row r="723" spans="1:4" x14ac:dyDescent="0.2">
      <c r="A723" s="5">
        <v>662</v>
      </c>
      <c r="B723" s="1814">
        <f>'Expenditures 15-22'!C38</f>
        <v>4082052</v>
      </c>
      <c r="D723" s="2" t="str">
        <f t="shared" si="10"/>
        <v>Error?</v>
      </c>
    </row>
    <row r="724" spans="1:4" x14ac:dyDescent="0.2">
      <c r="A724" s="5">
        <v>663</v>
      </c>
      <c r="B724" s="1814">
        <f>'Expenditures 15-22'!C39</f>
        <v>1028908</v>
      </c>
      <c r="D724" s="2" t="str">
        <f t="shared" si="10"/>
        <v>Error?</v>
      </c>
    </row>
    <row r="725" spans="1:4" x14ac:dyDescent="0.2">
      <c r="A725" s="5">
        <v>664</v>
      </c>
      <c r="B725" s="1814">
        <f>'Expenditures 15-22'!C40</f>
        <v>2264586</v>
      </c>
      <c r="D725" s="2" t="str">
        <f t="shared" si="10"/>
        <v>Error?</v>
      </c>
    </row>
    <row r="726" spans="1:4" x14ac:dyDescent="0.2">
      <c r="A726" s="5">
        <v>665</v>
      </c>
      <c r="B726" s="1814">
        <f>'Expenditures 15-22'!C41</f>
        <v>0</v>
      </c>
      <c r="D726" s="2" t="str">
        <f t="shared" si="10"/>
        <v>Error?</v>
      </c>
    </row>
    <row r="727" spans="1:4" x14ac:dyDescent="0.2">
      <c r="A727" s="5">
        <v>666</v>
      </c>
      <c r="B727" s="1814">
        <f>'Expenditures 15-22'!C42</f>
        <v>10007733</v>
      </c>
      <c r="C727" s="2" t="s">
        <v>569</v>
      </c>
      <c r="D727" s="2" t="str">
        <f t="shared" si="10"/>
        <v>Error?</v>
      </c>
    </row>
    <row r="728" spans="1:4" x14ac:dyDescent="0.2">
      <c r="A728" s="5">
        <v>667</v>
      </c>
      <c r="B728" s="1814">
        <f>'Expenditures 15-22'!C44</f>
        <v>246356</v>
      </c>
      <c r="D728" s="2" t="str">
        <f t="shared" si="10"/>
        <v>Error?</v>
      </c>
    </row>
    <row r="729" spans="1:4" x14ac:dyDescent="0.2">
      <c r="A729" s="5">
        <v>668</v>
      </c>
      <c r="B729" s="1814">
        <f>'Expenditures 15-22'!C45</f>
        <v>117729</v>
      </c>
      <c r="D729" s="2" t="str">
        <f t="shared" si="10"/>
        <v>Error?</v>
      </c>
    </row>
    <row r="730" spans="1:4" x14ac:dyDescent="0.2">
      <c r="A730" s="5">
        <v>669</v>
      </c>
      <c r="B730" s="1814">
        <f>'Expenditures 15-22'!C46</f>
        <v>0</v>
      </c>
      <c r="D730" s="2" t="str">
        <f t="shared" si="10"/>
        <v>Error?</v>
      </c>
    </row>
    <row r="731" spans="1:4" x14ac:dyDescent="0.2">
      <c r="A731" s="5">
        <v>670</v>
      </c>
      <c r="B731" s="1814">
        <f>'Expenditures 15-22'!C47</f>
        <v>364085</v>
      </c>
      <c r="C731" s="2" t="s">
        <v>569</v>
      </c>
      <c r="D731" s="2" t="str">
        <f t="shared" si="10"/>
        <v>Error?</v>
      </c>
    </row>
    <row r="732" spans="1:4" x14ac:dyDescent="0.2">
      <c r="A732" s="5">
        <v>671</v>
      </c>
      <c r="B732" s="1814">
        <f>'Expenditures 15-22'!C49</f>
        <v>0</v>
      </c>
      <c r="D732" s="2" t="str">
        <f t="shared" si="10"/>
        <v>Error?</v>
      </c>
    </row>
    <row r="733" spans="1:4" x14ac:dyDescent="0.2">
      <c r="A733" s="5">
        <v>672</v>
      </c>
      <c r="B733" s="1814">
        <f>'Expenditures 15-22'!C50</f>
        <v>877789</v>
      </c>
      <c r="D733" s="2" t="str">
        <f t="shared" si="10"/>
        <v>Error?</v>
      </c>
    </row>
    <row r="734" spans="1:4" x14ac:dyDescent="0.2">
      <c r="A734" s="5">
        <v>673</v>
      </c>
      <c r="B734" s="1814">
        <f>'Expenditures 15-22'!C53</f>
        <v>877789</v>
      </c>
      <c r="C734" s="2" t="s">
        <v>569</v>
      </c>
      <c r="D734" s="2" t="str">
        <f t="shared" si="10"/>
        <v>Error?</v>
      </c>
    </row>
    <row r="735" spans="1:4" x14ac:dyDescent="0.2">
      <c r="A735" s="5">
        <v>674</v>
      </c>
      <c r="B735" s="1814">
        <f>'Expenditures 15-22'!C55</f>
        <v>2005504</v>
      </c>
      <c r="D735" s="2" t="str">
        <f t="shared" si="10"/>
        <v>Error?</v>
      </c>
    </row>
    <row r="736" spans="1:4" x14ac:dyDescent="0.2">
      <c r="A736" s="5">
        <v>675</v>
      </c>
      <c r="B736" s="1814">
        <f>'Expenditures 15-22'!C56</f>
        <v>56657</v>
      </c>
      <c r="D736" s="2" t="str">
        <f t="shared" si="10"/>
        <v>Error?</v>
      </c>
    </row>
    <row r="737" spans="1:4" x14ac:dyDescent="0.2">
      <c r="A737" s="5">
        <v>676</v>
      </c>
      <c r="B737" s="1814">
        <f>'Expenditures 15-22'!C57</f>
        <v>2062161</v>
      </c>
      <c r="C737" s="2" t="s">
        <v>569</v>
      </c>
      <c r="D737" s="2" t="str">
        <f t="shared" si="10"/>
        <v>Error?</v>
      </c>
    </row>
    <row r="738" spans="1:4" x14ac:dyDescent="0.2">
      <c r="A738" s="5">
        <v>677</v>
      </c>
      <c r="B738" s="1814">
        <f>'Expenditures 15-22'!C59</f>
        <v>157672</v>
      </c>
      <c r="D738" s="2" t="str">
        <f t="shared" si="10"/>
        <v>Error?</v>
      </c>
    </row>
    <row r="739" spans="1:4" x14ac:dyDescent="0.2">
      <c r="A739" s="5">
        <v>678</v>
      </c>
      <c r="B739" s="1814">
        <f>'Expenditures 15-22'!C60</f>
        <v>348483</v>
      </c>
      <c r="D739" s="2" t="str">
        <f t="shared" si="10"/>
        <v>Error?</v>
      </c>
    </row>
    <row r="740" spans="1:4" x14ac:dyDescent="0.2">
      <c r="A740" s="5">
        <v>679</v>
      </c>
      <c r="B740" s="1814">
        <f>'Expenditures 15-22'!C61</f>
        <v>0</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0</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506155</v>
      </c>
      <c r="C745" s="2" t="s">
        <v>569</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0</v>
      </c>
      <c r="D747" s="2" t="str">
        <f t="shared" si="10"/>
        <v>Error?</v>
      </c>
    </row>
    <row r="748" spans="1:4" x14ac:dyDescent="0.2">
      <c r="A748" s="5">
        <v>687</v>
      </c>
      <c r="B748" s="1814">
        <f>'Expenditures 15-22'!C69</f>
        <v>0</v>
      </c>
      <c r="D748" s="2" t="str">
        <f t="shared" si="10"/>
        <v>Error?</v>
      </c>
    </row>
    <row r="749" spans="1:4" x14ac:dyDescent="0.2">
      <c r="A749" s="5">
        <v>688</v>
      </c>
      <c r="B749" s="1814">
        <f>'Expenditures 15-22'!C70</f>
        <v>0</v>
      </c>
      <c r="D749" s="2" t="str">
        <f t="shared" si="10"/>
        <v>Error?</v>
      </c>
    </row>
    <row r="750" spans="1:4" x14ac:dyDescent="0.2">
      <c r="A750" s="10">
        <v>689</v>
      </c>
      <c r="B750" s="1814"/>
      <c r="D750" s="2" t="str">
        <f t="shared" si="10"/>
        <v>OK</v>
      </c>
    </row>
    <row r="751" spans="1:4" x14ac:dyDescent="0.2">
      <c r="A751" s="5">
        <v>690</v>
      </c>
      <c r="B751" s="1814">
        <f>'Expenditures 15-22'!C71</f>
        <v>67355</v>
      </c>
      <c r="D751" s="2" t="str">
        <f t="shared" si="10"/>
        <v>Error?</v>
      </c>
    </row>
    <row r="752" spans="1:4" x14ac:dyDescent="0.2">
      <c r="A752" s="10">
        <v>691</v>
      </c>
      <c r="B752" s="1814"/>
      <c r="D752" s="2" t="str">
        <f t="shared" si="10"/>
        <v>OK</v>
      </c>
    </row>
    <row r="753" spans="1:4" x14ac:dyDescent="0.2">
      <c r="A753" s="5">
        <v>692</v>
      </c>
      <c r="B753" s="1814">
        <f>'Expenditures 15-22'!C72</f>
        <v>67355</v>
      </c>
      <c r="C753" s="2" t="s">
        <v>569</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13885278</v>
      </c>
      <c r="C755" s="2" t="s">
        <v>569</v>
      </c>
      <c r="D755" s="2" t="str">
        <f t="shared" si="10"/>
        <v>Error?</v>
      </c>
    </row>
    <row r="756" spans="1:4" x14ac:dyDescent="0.2">
      <c r="A756" s="5">
        <v>695</v>
      </c>
      <c r="B756" s="1814">
        <f>'Expenditures 15-22'!C75</f>
        <v>0</v>
      </c>
      <c r="D756" s="2" t="str">
        <f t="shared" si="10"/>
        <v>Error?</v>
      </c>
    </row>
    <row r="757" spans="1:4" x14ac:dyDescent="0.2">
      <c r="A757" s="5">
        <v>696</v>
      </c>
      <c r="B757" s="1814">
        <f>'Expenditures 15-22'!C114</f>
        <v>32233906</v>
      </c>
      <c r="C757" s="2" t="s">
        <v>569</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0</v>
      </c>
      <c r="D763" s="2" t="str">
        <f t="shared" si="10"/>
        <v>Error?</v>
      </c>
    </row>
    <row r="764" spans="1:4" x14ac:dyDescent="0.2">
      <c r="A764" s="5">
        <v>703</v>
      </c>
      <c r="B764" s="1814">
        <f>'Expenditures 15-22'!D16</f>
        <v>0</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0</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208982</v>
      </c>
      <c r="D775" s="2" t="str">
        <f t="shared" si="11"/>
        <v>Error?</v>
      </c>
    </row>
    <row r="776" spans="1:4" x14ac:dyDescent="0.2">
      <c r="A776" s="5">
        <v>715</v>
      </c>
      <c r="B776" s="1814">
        <f>'Expenditures 15-22'!D14</f>
        <v>0</v>
      </c>
      <c r="D776" s="2" t="str">
        <f t="shared" si="11"/>
        <v>Error?</v>
      </c>
    </row>
    <row r="777" spans="1:4" x14ac:dyDescent="0.2">
      <c r="A777" s="5">
        <v>716</v>
      </c>
      <c r="B777" s="1814">
        <f>'Expenditures 15-22'!D15</f>
        <v>25652</v>
      </c>
      <c r="D777" s="2" t="str">
        <f t="shared" si="11"/>
        <v>Error?</v>
      </c>
    </row>
    <row r="778" spans="1:4" x14ac:dyDescent="0.2">
      <c r="A778" s="5">
        <v>717</v>
      </c>
      <c r="B778" s="1814">
        <f>'Expenditures 15-22'!D33</f>
        <v>4791742</v>
      </c>
      <c r="C778" s="2" t="s">
        <v>569</v>
      </c>
      <c r="D778" s="2" t="str">
        <f t="shared" si="11"/>
        <v>Error?</v>
      </c>
    </row>
    <row r="779" spans="1:4" x14ac:dyDescent="0.2">
      <c r="A779" s="5">
        <v>718</v>
      </c>
      <c r="B779" s="1814">
        <f>'Expenditures 15-22'!D36</f>
        <v>468533</v>
      </c>
      <c r="D779" s="2" t="str">
        <f t="shared" si="11"/>
        <v>Error?</v>
      </c>
    </row>
    <row r="780" spans="1:4" x14ac:dyDescent="0.2">
      <c r="A780" s="5">
        <v>719</v>
      </c>
      <c r="B780" s="1814">
        <f>'Expenditures 15-22'!D37</f>
        <v>0</v>
      </c>
      <c r="D780" s="2" t="str">
        <f t="shared" si="11"/>
        <v>Error?</v>
      </c>
    </row>
    <row r="781" spans="1:4" x14ac:dyDescent="0.2">
      <c r="A781" s="5">
        <v>720</v>
      </c>
      <c r="B781" s="1814">
        <f>'Expenditures 15-22'!D38</f>
        <v>805964</v>
      </c>
      <c r="D781" s="2" t="str">
        <f t="shared" si="11"/>
        <v>Error?</v>
      </c>
    </row>
    <row r="782" spans="1:4" x14ac:dyDescent="0.2">
      <c r="A782" s="5">
        <v>721</v>
      </c>
      <c r="B782" s="1814">
        <f>'Expenditures 15-22'!D39</f>
        <v>166432</v>
      </c>
      <c r="D782" s="2" t="str">
        <f t="shared" si="11"/>
        <v>Error?</v>
      </c>
    </row>
    <row r="783" spans="1:4" x14ac:dyDescent="0.2">
      <c r="A783" s="5">
        <v>722</v>
      </c>
      <c r="B783" s="1814">
        <f>'Expenditures 15-22'!D40</f>
        <v>438038</v>
      </c>
      <c r="D783" s="2" t="str">
        <f t="shared" si="11"/>
        <v>Error?</v>
      </c>
    </row>
    <row r="784" spans="1:4" x14ac:dyDescent="0.2">
      <c r="A784" s="5">
        <v>723</v>
      </c>
      <c r="B784" s="1814">
        <f>'Expenditures 15-22'!D41</f>
        <v>0</v>
      </c>
      <c r="D784" s="2" t="str">
        <f t="shared" si="11"/>
        <v>Error?</v>
      </c>
    </row>
    <row r="785" spans="1:4" x14ac:dyDescent="0.2">
      <c r="A785" s="5">
        <v>724</v>
      </c>
      <c r="B785" s="1814">
        <f>'Expenditures 15-22'!D42</f>
        <v>1878967</v>
      </c>
      <c r="C785" s="2" t="s">
        <v>569</v>
      </c>
      <c r="D785" s="2" t="str">
        <f t="shared" si="11"/>
        <v>Error?</v>
      </c>
    </row>
    <row r="786" spans="1:4" x14ac:dyDescent="0.2">
      <c r="A786" s="5">
        <v>725</v>
      </c>
      <c r="B786" s="1814">
        <f>'Expenditures 15-22'!D44</f>
        <v>115573</v>
      </c>
      <c r="D786" s="2" t="str">
        <f t="shared" si="11"/>
        <v>Error?</v>
      </c>
    </row>
    <row r="787" spans="1:4" x14ac:dyDescent="0.2">
      <c r="A787" s="5">
        <v>726</v>
      </c>
      <c r="B787" s="1814">
        <f>'Expenditures 15-22'!D45</f>
        <v>26804</v>
      </c>
      <c r="D787" s="2" t="str">
        <f t="shared" si="11"/>
        <v>Error?</v>
      </c>
    </row>
    <row r="788" spans="1:4" x14ac:dyDescent="0.2">
      <c r="A788" s="5">
        <v>727</v>
      </c>
      <c r="B788" s="1814">
        <f>'Expenditures 15-22'!D46</f>
        <v>0</v>
      </c>
      <c r="D788" s="2" t="str">
        <f t="shared" si="11"/>
        <v>Error?</v>
      </c>
    </row>
    <row r="789" spans="1:4" x14ac:dyDescent="0.2">
      <c r="A789" s="5">
        <v>728</v>
      </c>
      <c r="B789" s="1814">
        <f>'Expenditures 15-22'!D47</f>
        <v>142377</v>
      </c>
      <c r="C789" s="2" t="s">
        <v>569</v>
      </c>
      <c r="D789" s="2" t="str">
        <f t="shared" si="11"/>
        <v>Error?</v>
      </c>
    </row>
    <row r="790" spans="1:4" x14ac:dyDescent="0.2">
      <c r="A790" s="5">
        <v>729</v>
      </c>
      <c r="B790" s="1814">
        <f>'Expenditures 15-22'!D49</f>
        <v>124436</v>
      </c>
      <c r="D790" s="2" t="str">
        <f t="shared" si="11"/>
        <v>Error?</v>
      </c>
    </row>
    <row r="791" spans="1:4" x14ac:dyDescent="0.2">
      <c r="A791" s="5">
        <v>730</v>
      </c>
      <c r="B791" s="1814">
        <f>'Expenditures 15-22'!D50</f>
        <v>315903</v>
      </c>
      <c r="D791" s="2" t="str">
        <f t="shared" si="11"/>
        <v>Error?</v>
      </c>
    </row>
    <row r="792" spans="1:4" x14ac:dyDescent="0.2">
      <c r="A792" s="5">
        <v>731</v>
      </c>
      <c r="B792" s="1814">
        <f>'Expenditures 15-22'!D53</f>
        <v>440339</v>
      </c>
      <c r="C792" s="2" t="s">
        <v>569</v>
      </c>
      <c r="D792" s="2" t="str">
        <f t="shared" si="11"/>
        <v>Error?</v>
      </c>
    </row>
    <row r="793" spans="1:4" x14ac:dyDescent="0.2">
      <c r="A793" s="5">
        <v>732</v>
      </c>
      <c r="B793" s="1814">
        <f>'Expenditures 15-22'!D55</f>
        <v>543263</v>
      </c>
      <c r="D793" s="2" t="str">
        <f t="shared" si="11"/>
        <v>Error?</v>
      </c>
    </row>
    <row r="794" spans="1:4" x14ac:dyDescent="0.2">
      <c r="A794" s="5">
        <v>733</v>
      </c>
      <c r="B794" s="1814">
        <f>'Expenditures 15-22'!D56</f>
        <v>12750</v>
      </c>
      <c r="D794" s="2" t="str">
        <f t="shared" si="11"/>
        <v>Error?</v>
      </c>
    </row>
    <row r="795" spans="1:4" x14ac:dyDescent="0.2">
      <c r="A795" s="5">
        <v>734</v>
      </c>
      <c r="B795" s="1814">
        <f>'Expenditures 15-22'!D57</f>
        <v>556013</v>
      </c>
      <c r="C795" s="2" t="s">
        <v>569</v>
      </c>
      <c r="D795" s="2" t="str">
        <f t="shared" si="11"/>
        <v>Error?</v>
      </c>
    </row>
    <row r="796" spans="1:4" x14ac:dyDescent="0.2">
      <c r="A796" s="5">
        <v>735</v>
      </c>
      <c r="B796" s="1814">
        <f>'Expenditures 15-22'!D59</f>
        <v>35654</v>
      </c>
      <c r="D796" s="2" t="str">
        <f t="shared" si="11"/>
        <v>Error?</v>
      </c>
    </row>
    <row r="797" spans="1:4" x14ac:dyDescent="0.2">
      <c r="A797" s="5">
        <v>736</v>
      </c>
      <c r="B797" s="1814">
        <f>'Expenditures 15-22'!D60</f>
        <v>90217</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0</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125871</v>
      </c>
      <c r="C803" s="2" t="s">
        <v>569</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0</v>
      </c>
      <c r="D805" s="2" t="str">
        <f t="shared" si="11"/>
        <v>Error?</v>
      </c>
    </row>
    <row r="806" spans="1:4" x14ac:dyDescent="0.2">
      <c r="A806" s="5">
        <v>745</v>
      </c>
      <c r="B806" s="1814">
        <f>'Expenditures 15-22'!D69</f>
        <v>0</v>
      </c>
      <c r="D806" s="2" t="str">
        <f t="shared" si="11"/>
        <v>Error?</v>
      </c>
    </row>
    <row r="807" spans="1:4" x14ac:dyDescent="0.2">
      <c r="A807" s="5">
        <v>746</v>
      </c>
      <c r="B807" s="1814">
        <f>'Expenditures 15-22'!D70</f>
        <v>0</v>
      </c>
      <c r="D807" s="2" t="str">
        <f t="shared" si="11"/>
        <v>Error?</v>
      </c>
    </row>
    <row r="808" spans="1:4" x14ac:dyDescent="0.2">
      <c r="A808" s="10">
        <v>747</v>
      </c>
      <c r="B808" s="1814"/>
      <c r="D808" s="2" t="str">
        <f t="shared" si="11"/>
        <v>OK</v>
      </c>
    </row>
    <row r="809" spans="1:4" x14ac:dyDescent="0.2">
      <c r="A809" s="5">
        <v>748</v>
      </c>
      <c r="B809" s="1814">
        <f>'Expenditures 15-22'!D71</f>
        <v>19776</v>
      </c>
      <c r="D809" s="2" t="str">
        <f t="shared" si="11"/>
        <v>Error?</v>
      </c>
    </row>
    <row r="810" spans="1:4" x14ac:dyDescent="0.2">
      <c r="A810" s="10">
        <v>749</v>
      </c>
      <c r="B810" s="1814"/>
      <c r="D810" s="2" t="str">
        <f t="shared" si="11"/>
        <v>OK</v>
      </c>
    </row>
    <row r="811" spans="1:4" x14ac:dyDescent="0.2">
      <c r="A811" s="5">
        <v>750</v>
      </c>
      <c r="B811" s="1814">
        <f>'Expenditures 15-22'!D72</f>
        <v>19776</v>
      </c>
      <c r="C811" s="2" t="s">
        <v>569</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3163343</v>
      </c>
      <c r="C813" s="2" t="s">
        <v>569</v>
      </c>
      <c r="D813" s="2" t="str">
        <f t="shared" si="11"/>
        <v>Error?</v>
      </c>
    </row>
    <row r="814" spans="1:4" x14ac:dyDescent="0.2">
      <c r="A814" s="5">
        <v>753</v>
      </c>
      <c r="B814" s="1814">
        <f>'Expenditures 15-22'!D75</f>
        <v>0</v>
      </c>
      <c r="D814" s="2" t="str">
        <f t="shared" si="11"/>
        <v>Error?</v>
      </c>
    </row>
    <row r="815" spans="1:4" x14ac:dyDescent="0.2">
      <c r="A815" s="5">
        <v>754</v>
      </c>
      <c r="B815" s="1814">
        <f>'Expenditures 15-22'!D114</f>
        <v>7955085</v>
      </c>
      <c r="C815" s="2" t="s">
        <v>569</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0</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0</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36438</v>
      </c>
      <c r="D833" s="2" t="str">
        <f t="shared" si="12"/>
        <v>Error?</v>
      </c>
    </row>
    <row r="834" spans="1:4" x14ac:dyDescent="0.2">
      <c r="A834" s="5">
        <v>773</v>
      </c>
      <c r="B834" s="1814">
        <f>'Expenditures 15-22'!E14</f>
        <v>0</v>
      </c>
      <c r="D834" s="2" t="str">
        <f t="shared" si="12"/>
        <v>Error?</v>
      </c>
    </row>
    <row r="835" spans="1:4" x14ac:dyDescent="0.2">
      <c r="A835" s="5">
        <v>774</v>
      </c>
      <c r="B835" s="1814">
        <f>'Expenditures 15-22'!E15</f>
        <v>38068</v>
      </c>
      <c r="D835" s="2" t="str">
        <f t="shared" si="12"/>
        <v>Error?</v>
      </c>
    </row>
    <row r="836" spans="1:4" x14ac:dyDescent="0.2">
      <c r="A836" s="5">
        <v>775</v>
      </c>
      <c r="B836" s="1814">
        <f>'Expenditures 15-22'!E33</f>
        <v>2319857</v>
      </c>
      <c r="C836" s="2" t="s">
        <v>569</v>
      </c>
      <c r="D836" s="2" t="str">
        <f t="shared" si="12"/>
        <v>Error?</v>
      </c>
    </row>
    <row r="837" spans="1:4" x14ac:dyDescent="0.2">
      <c r="A837" s="5">
        <v>776</v>
      </c>
      <c r="B837" s="1814">
        <f>'Expenditures 15-22'!E36</f>
        <v>122521</v>
      </c>
      <c r="D837" s="2" t="str">
        <f t="shared" si="12"/>
        <v>Error?</v>
      </c>
    </row>
    <row r="838" spans="1:4" x14ac:dyDescent="0.2">
      <c r="A838" s="5">
        <v>777</v>
      </c>
      <c r="B838" s="1814">
        <f>'Expenditures 15-22'!E37</f>
        <v>0</v>
      </c>
      <c r="D838" s="2" t="str">
        <f t="shared" si="12"/>
        <v>Error?</v>
      </c>
    </row>
    <row r="839" spans="1:4" x14ac:dyDescent="0.2">
      <c r="A839" s="5">
        <v>778</v>
      </c>
      <c r="B839" s="1814">
        <f>'Expenditures 15-22'!E38</f>
        <v>227467</v>
      </c>
      <c r="D839" s="2" t="str">
        <f t="shared" si="12"/>
        <v>Error?</v>
      </c>
    </row>
    <row r="840" spans="1:4" x14ac:dyDescent="0.2">
      <c r="A840" s="5">
        <v>779</v>
      </c>
      <c r="B840" s="1814">
        <f>'Expenditures 15-22'!E39</f>
        <v>122405</v>
      </c>
      <c r="D840" s="2" t="str">
        <f t="shared" si="12"/>
        <v>Error?</v>
      </c>
    </row>
    <row r="841" spans="1:4" x14ac:dyDescent="0.2">
      <c r="A841" s="5">
        <v>780</v>
      </c>
      <c r="B841" s="1814">
        <f>'Expenditures 15-22'!E40</f>
        <v>550353</v>
      </c>
      <c r="D841" s="2" t="str">
        <f t="shared" si="12"/>
        <v>Error?</v>
      </c>
    </row>
    <row r="842" spans="1:4" x14ac:dyDescent="0.2">
      <c r="A842" s="5">
        <v>781</v>
      </c>
      <c r="B842" s="1814">
        <f>'Expenditures 15-22'!E41</f>
        <v>156097</v>
      </c>
      <c r="D842" s="2" t="str">
        <f t="shared" si="12"/>
        <v>Error?</v>
      </c>
    </row>
    <row r="843" spans="1:4" x14ac:dyDescent="0.2">
      <c r="A843" s="5">
        <v>782</v>
      </c>
      <c r="B843" s="1814">
        <f>'Expenditures 15-22'!E42</f>
        <v>1178843</v>
      </c>
      <c r="C843" s="2" t="s">
        <v>569</v>
      </c>
      <c r="D843" s="2" t="str">
        <f t="shared" si="12"/>
        <v>Error?</v>
      </c>
    </row>
    <row r="844" spans="1:4" x14ac:dyDescent="0.2">
      <c r="A844" s="5">
        <v>783</v>
      </c>
      <c r="B844" s="1814">
        <f>'Expenditures 15-22'!E44</f>
        <v>183375</v>
      </c>
      <c r="D844" s="2" t="str">
        <f t="shared" si="12"/>
        <v>Error?</v>
      </c>
    </row>
    <row r="845" spans="1:4" x14ac:dyDescent="0.2">
      <c r="A845" s="5">
        <v>784</v>
      </c>
      <c r="B845" s="1814">
        <f>'Expenditures 15-22'!E45</f>
        <v>481249</v>
      </c>
      <c r="D845" s="2" t="str">
        <f t="shared" si="12"/>
        <v>Error?</v>
      </c>
    </row>
    <row r="846" spans="1:4" x14ac:dyDescent="0.2">
      <c r="A846" s="5">
        <v>785</v>
      </c>
      <c r="B846" s="1814">
        <f>'Expenditures 15-22'!E46</f>
        <v>0</v>
      </c>
      <c r="D846" s="2" t="str">
        <f t="shared" si="12"/>
        <v>Error?</v>
      </c>
    </row>
    <row r="847" spans="1:4" x14ac:dyDescent="0.2">
      <c r="A847" s="5">
        <v>786</v>
      </c>
      <c r="B847" s="1814">
        <f>'Expenditures 15-22'!E47</f>
        <v>664624</v>
      </c>
      <c r="C847" s="2" t="s">
        <v>569</v>
      </c>
      <c r="D847" s="2" t="str">
        <f t="shared" si="12"/>
        <v>Error?</v>
      </c>
    </row>
    <row r="848" spans="1:4" x14ac:dyDescent="0.2">
      <c r="A848" s="5">
        <v>787</v>
      </c>
      <c r="B848" s="1814">
        <f>'Expenditures 15-22'!E49</f>
        <v>628631</v>
      </c>
      <c r="D848" s="2" t="str">
        <f t="shared" si="12"/>
        <v>Error?</v>
      </c>
    </row>
    <row r="849" spans="1:4" x14ac:dyDescent="0.2">
      <c r="A849" s="5">
        <v>788</v>
      </c>
      <c r="B849" s="1814">
        <f>'Expenditures 15-22'!E50</f>
        <v>66069</v>
      </c>
      <c r="D849" s="2" t="str">
        <f t="shared" si="12"/>
        <v>Error?</v>
      </c>
    </row>
    <row r="850" spans="1:4" x14ac:dyDescent="0.2">
      <c r="A850" s="5">
        <v>789</v>
      </c>
      <c r="B850" s="1814">
        <f>'Expenditures 15-22'!E53</f>
        <v>694700</v>
      </c>
      <c r="C850" s="2" t="s">
        <v>569</v>
      </c>
      <c r="D850" s="2" t="str">
        <f t="shared" si="12"/>
        <v>Error?</v>
      </c>
    </row>
    <row r="851" spans="1:4" x14ac:dyDescent="0.2">
      <c r="A851" s="5">
        <v>790</v>
      </c>
      <c r="B851" s="1814">
        <f>'Expenditures 15-22'!E55</f>
        <v>7685</v>
      </c>
      <c r="D851" s="2" t="str">
        <f t="shared" si="12"/>
        <v>Error?</v>
      </c>
    </row>
    <row r="852" spans="1:4" x14ac:dyDescent="0.2">
      <c r="A852" s="5">
        <v>791</v>
      </c>
      <c r="B852" s="1814">
        <f>'Expenditures 15-22'!E56</f>
        <v>322</v>
      </c>
      <c r="D852" s="2" t="str">
        <f t="shared" si="12"/>
        <v>Error?</v>
      </c>
    </row>
    <row r="853" spans="1:4" x14ac:dyDescent="0.2">
      <c r="A853" s="5">
        <v>792</v>
      </c>
      <c r="B853" s="1814">
        <f>'Expenditures 15-22'!E57</f>
        <v>8007</v>
      </c>
      <c r="C853" s="2" t="s">
        <v>569</v>
      </c>
      <c r="D853" s="2" t="str">
        <f t="shared" si="12"/>
        <v>Error?</v>
      </c>
    </row>
    <row r="854" spans="1:4" x14ac:dyDescent="0.2">
      <c r="A854" s="5">
        <v>793</v>
      </c>
      <c r="B854" s="1814">
        <f>'Expenditures 15-22'!E59</f>
        <v>64289</v>
      </c>
      <c r="D854" s="2" t="str">
        <f t="shared" si="12"/>
        <v>Error?</v>
      </c>
    </row>
    <row r="855" spans="1:4" x14ac:dyDescent="0.2">
      <c r="A855" s="5">
        <v>794</v>
      </c>
      <c r="B855" s="1814">
        <f>'Expenditures 15-22'!E60</f>
        <v>15945</v>
      </c>
      <c r="D855" s="2" t="str">
        <f t="shared" si="12"/>
        <v>Error?</v>
      </c>
    </row>
    <row r="856" spans="1:4" x14ac:dyDescent="0.2">
      <c r="A856" s="5">
        <v>795</v>
      </c>
      <c r="B856" s="1814">
        <f>'Expenditures 15-22'!E61</f>
        <v>0</v>
      </c>
      <c r="D856" s="2" t="str">
        <f t="shared" si="12"/>
        <v>Error?</v>
      </c>
    </row>
    <row r="857" spans="1:4" x14ac:dyDescent="0.2">
      <c r="A857" s="5">
        <v>796</v>
      </c>
      <c r="B857" s="1814">
        <f>'Expenditures 15-22'!E62</f>
        <v>0</v>
      </c>
      <c r="D857" s="2" t="str">
        <f t="shared" si="12"/>
        <v>Error?</v>
      </c>
    </row>
    <row r="858" spans="1:4" x14ac:dyDescent="0.2">
      <c r="A858" s="5">
        <v>797</v>
      </c>
      <c r="B858" s="1814">
        <f>'Expenditures 15-22'!E63</f>
        <v>177536</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257770</v>
      </c>
      <c r="C861" s="2" t="s">
        <v>569</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0</v>
      </c>
      <c r="D864" s="2" t="str">
        <f t="shared" si="12"/>
        <v>Error?</v>
      </c>
    </row>
    <row r="865" spans="1:4" x14ac:dyDescent="0.2">
      <c r="A865" s="5">
        <v>804</v>
      </c>
      <c r="B865" s="1814">
        <f>'Expenditures 15-22'!E70</f>
        <v>0</v>
      </c>
      <c r="D865" s="2" t="str">
        <f t="shared" si="12"/>
        <v>Error?</v>
      </c>
    </row>
    <row r="866" spans="1:4" x14ac:dyDescent="0.2">
      <c r="A866" s="10">
        <v>805</v>
      </c>
      <c r="B866" s="1814"/>
      <c r="D866" s="2" t="str">
        <f t="shared" si="12"/>
        <v>OK</v>
      </c>
    </row>
    <row r="867" spans="1:4" x14ac:dyDescent="0.2">
      <c r="A867" s="5">
        <v>806</v>
      </c>
      <c r="B867" s="1814">
        <f>'Expenditures 15-22'!E71</f>
        <v>0</v>
      </c>
      <c r="D867" s="2" t="str">
        <f t="shared" si="12"/>
        <v>Error?</v>
      </c>
    </row>
    <row r="868" spans="1:4" x14ac:dyDescent="0.2">
      <c r="A868" s="10">
        <v>807</v>
      </c>
      <c r="B868" s="1814"/>
      <c r="D868" s="2" t="str">
        <f t="shared" si="12"/>
        <v>OK</v>
      </c>
    </row>
    <row r="869" spans="1:4" x14ac:dyDescent="0.2">
      <c r="A869" s="5">
        <v>808</v>
      </c>
      <c r="B869" s="1814">
        <f>'Expenditures 15-22'!E72</f>
        <v>0</v>
      </c>
      <c r="C869" s="2" t="s">
        <v>569</v>
      </c>
      <c r="D869" s="2" t="str">
        <f t="shared" si="12"/>
        <v>Error?</v>
      </c>
    </row>
    <row r="870" spans="1:4" x14ac:dyDescent="0.2">
      <c r="A870" s="5">
        <v>809</v>
      </c>
      <c r="B870" s="1814">
        <f>'Expenditures 15-22'!E73</f>
        <v>0</v>
      </c>
      <c r="D870" s="2" t="str">
        <f t="shared" si="12"/>
        <v>Error?</v>
      </c>
    </row>
    <row r="871" spans="1:4" x14ac:dyDescent="0.2">
      <c r="A871" s="5">
        <v>810</v>
      </c>
      <c r="B871" s="1814">
        <f>'Expenditures 15-22'!E74</f>
        <v>2803944</v>
      </c>
      <c r="C871" s="2" t="s">
        <v>569</v>
      </c>
      <c r="D871" s="2" t="str">
        <f t="shared" si="12"/>
        <v>Error?</v>
      </c>
    </row>
    <row r="872" spans="1:4" x14ac:dyDescent="0.2">
      <c r="A872" s="5">
        <v>811</v>
      </c>
      <c r="B872" s="1814">
        <f>'Expenditures 15-22'!E75</f>
        <v>451</v>
      </c>
      <c r="D872" s="2" t="str">
        <f t="shared" si="12"/>
        <v>Error?</v>
      </c>
    </row>
    <row r="873" spans="1:4" x14ac:dyDescent="0.2">
      <c r="A873" s="5">
        <v>812</v>
      </c>
      <c r="B873" s="1814">
        <f>'Expenditures 15-22'!E114</f>
        <v>5293311</v>
      </c>
      <c r="C873" s="2" t="s">
        <v>569</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0</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0</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21227</v>
      </c>
      <c r="D891" s="2" t="str">
        <f t="shared" si="12"/>
        <v>Error?</v>
      </c>
    </row>
    <row r="892" spans="1:4" x14ac:dyDescent="0.2">
      <c r="A892" s="5">
        <v>831</v>
      </c>
      <c r="B892" s="1814">
        <f>'Expenditures 15-22'!F14</f>
        <v>0</v>
      </c>
      <c r="D892" s="2" t="str">
        <f t="shared" si="12"/>
        <v>Error?</v>
      </c>
    </row>
    <row r="893" spans="1:4" x14ac:dyDescent="0.2">
      <c r="A893" s="5">
        <v>832</v>
      </c>
      <c r="B893" s="1814">
        <f>'Expenditures 15-22'!F15</f>
        <v>1818</v>
      </c>
      <c r="D893" s="2" t="str">
        <f t="shared" si="12"/>
        <v>Error?</v>
      </c>
    </row>
    <row r="894" spans="1:4" x14ac:dyDescent="0.2">
      <c r="A894" s="5">
        <v>833</v>
      </c>
      <c r="B894" s="1814">
        <f>'Expenditures 15-22'!F33</f>
        <v>274793</v>
      </c>
      <c r="C894" s="2" t="s">
        <v>569</v>
      </c>
      <c r="D894" s="2" t="str">
        <f t="shared" si="12"/>
        <v>Error?</v>
      </c>
    </row>
    <row r="895" spans="1:4" x14ac:dyDescent="0.2">
      <c r="A895" s="5">
        <v>834</v>
      </c>
      <c r="B895" s="1814">
        <f>'Expenditures 15-22'!F36</f>
        <v>4126</v>
      </c>
      <c r="D895" s="2" t="str">
        <f t="shared" ref="D895:D958" si="13">IF(ISBLANK(B895),"OK",IF(A895-B895=0,"OK","Error?"))</f>
        <v>Error?</v>
      </c>
    </row>
    <row r="896" spans="1:4" x14ac:dyDescent="0.2">
      <c r="A896" s="5">
        <v>835</v>
      </c>
      <c r="B896" s="1814">
        <f>'Expenditures 15-22'!F37</f>
        <v>0</v>
      </c>
      <c r="D896" s="2" t="str">
        <f t="shared" si="13"/>
        <v>Error?</v>
      </c>
    </row>
    <row r="897" spans="1:4" x14ac:dyDescent="0.2">
      <c r="A897" s="5">
        <v>836</v>
      </c>
      <c r="B897" s="1814">
        <f>'Expenditures 15-22'!F38</f>
        <v>62185</v>
      </c>
      <c r="D897" s="2" t="str">
        <f t="shared" si="13"/>
        <v>Error?</v>
      </c>
    </row>
    <row r="898" spans="1:4" x14ac:dyDescent="0.2">
      <c r="A898" s="5">
        <v>837</v>
      </c>
      <c r="B898" s="1814">
        <f>'Expenditures 15-22'!F39</f>
        <v>2171</v>
      </c>
      <c r="D898" s="2" t="str">
        <f t="shared" si="13"/>
        <v>Error?</v>
      </c>
    </row>
    <row r="899" spans="1:4" x14ac:dyDescent="0.2">
      <c r="A899" s="5">
        <v>838</v>
      </c>
      <c r="B899" s="1814">
        <f>'Expenditures 15-22'!F40</f>
        <v>13716</v>
      </c>
      <c r="D899" s="2" t="str">
        <f t="shared" si="13"/>
        <v>Error?</v>
      </c>
    </row>
    <row r="900" spans="1:4" x14ac:dyDescent="0.2">
      <c r="A900" s="5">
        <v>839</v>
      </c>
      <c r="B900" s="1814">
        <f>'Expenditures 15-22'!F41</f>
        <v>0</v>
      </c>
      <c r="D900" s="2" t="str">
        <f t="shared" si="13"/>
        <v>Error?</v>
      </c>
    </row>
    <row r="901" spans="1:4" x14ac:dyDescent="0.2">
      <c r="A901" s="5">
        <v>840</v>
      </c>
      <c r="B901" s="1814">
        <f>'Expenditures 15-22'!F42</f>
        <v>82198</v>
      </c>
      <c r="C901" s="2" t="s">
        <v>569</v>
      </c>
      <c r="D901" s="2" t="str">
        <f t="shared" si="13"/>
        <v>Error?</v>
      </c>
    </row>
    <row r="902" spans="1:4" x14ac:dyDescent="0.2">
      <c r="A902" s="5">
        <v>841</v>
      </c>
      <c r="B902" s="1814">
        <f>'Expenditures 15-22'!F44</f>
        <v>11460</v>
      </c>
      <c r="D902" s="2" t="str">
        <f t="shared" si="13"/>
        <v>Error?</v>
      </c>
    </row>
    <row r="903" spans="1:4" x14ac:dyDescent="0.2">
      <c r="A903" s="5">
        <v>842</v>
      </c>
      <c r="B903" s="1814">
        <f>'Expenditures 15-22'!F45</f>
        <v>134274</v>
      </c>
      <c r="D903" s="2" t="str">
        <f t="shared" si="13"/>
        <v>Error?</v>
      </c>
    </row>
    <row r="904" spans="1:4" x14ac:dyDescent="0.2">
      <c r="A904" s="5">
        <v>843</v>
      </c>
      <c r="B904" s="1814">
        <f>'Expenditures 15-22'!F46</f>
        <v>0</v>
      </c>
      <c r="D904" s="2" t="str">
        <f t="shared" si="13"/>
        <v>Error?</v>
      </c>
    </row>
    <row r="905" spans="1:4" x14ac:dyDescent="0.2">
      <c r="A905" s="5">
        <v>844</v>
      </c>
      <c r="B905" s="1814">
        <f>'Expenditures 15-22'!F47</f>
        <v>145734</v>
      </c>
      <c r="C905" s="2" t="s">
        <v>569</v>
      </c>
      <c r="D905" s="2" t="str">
        <f t="shared" si="13"/>
        <v>Error?</v>
      </c>
    </row>
    <row r="906" spans="1:4" x14ac:dyDescent="0.2">
      <c r="A906" s="5">
        <v>845</v>
      </c>
      <c r="B906" s="1814">
        <f>'Expenditures 15-22'!F49</f>
        <v>12231</v>
      </c>
      <c r="D906" s="2" t="str">
        <f t="shared" si="13"/>
        <v>Error?</v>
      </c>
    </row>
    <row r="907" spans="1:4" x14ac:dyDescent="0.2">
      <c r="A907" s="5">
        <v>846</v>
      </c>
      <c r="B907" s="1814">
        <f>'Expenditures 15-22'!F50</f>
        <v>21990</v>
      </c>
      <c r="D907" s="2" t="str">
        <f t="shared" si="13"/>
        <v>Error?</v>
      </c>
    </row>
    <row r="908" spans="1:4" x14ac:dyDescent="0.2">
      <c r="A908" s="5">
        <v>847</v>
      </c>
      <c r="B908" s="1814">
        <f>'Expenditures 15-22'!F53</f>
        <v>34221</v>
      </c>
      <c r="C908" s="2" t="s">
        <v>569</v>
      </c>
      <c r="D908" s="2" t="str">
        <f t="shared" si="13"/>
        <v>Error?</v>
      </c>
    </row>
    <row r="909" spans="1:4" x14ac:dyDescent="0.2">
      <c r="A909" s="5">
        <v>848</v>
      </c>
      <c r="B909" s="1814">
        <f>'Expenditures 15-22'!F55</f>
        <v>2518</v>
      </c>
      <c r="D909" s="2" t="str">
        <f t="shared" si="13"/>
        <v>Error?</v>
      </c>
    </row>
    <row r="910" spans="1:4" x14ac:dyDescent="0.2">
      <c r="A910" s="5">
        <v>849</v>
      </c>
      <c r="B910" s="1814">
        <f>'Expenditures 15-22'!F56</f>
        <v>9</v>
      </c>
      <c r="D910" s="2" t="str">
        <f t="shared" si="13"/>
        <v>Error?</v>
      </c>
    </row>
    <row r="911" spans="1:4" x14ac:dyDescent="0.2">
      <c r="A911" s="5">
        <v>850</v>
      </c>
      <c r="B911" s="1814">
        <f>'Expenditures 15-22'!F57</f>
        <v>2527</v>
      </c>
      <c r="C911" s="2" t="s">
        <v>569</v>
      </c>
      <c r="D911" s="2" t="str">
        <f t="shared" si="13"/>
        <v>Error?</v>
      </c>
    </row>
    <row r="912" spans="1:4" x14ac:dyDescent="0.2">
      <c r="A912" s="5">
        <v>851</v>
      </c>
      <c r="B912" s="1814">
        <f>'Expenditures 15-22'!F59</f>
        <v>1023</v>
      </c>
      <c r="D912" s="2" t="str">
        <f t="shared" si="13"/>
        <v>Error?</v>
      </c>
    </row>
    <row r="913" spans="1:4" x14ac:dyDescent="0.2">
      <c r="A913" s="5">
        <v>852</v>
      </c>
      <c r="B913" s="1814">
        <f>'Expenditures 15-22'!F60</f>
        <v>5908</v>
      </c>
      <c r="D913" s="2" t="str">
        <f t="shared" si="13"/>
        <v>Error?</v>
      </c>
    </row>
    <row r="914" spans="1:4" x14ac:dyDescent="0.2">
      <c r="A914" s="5">
        <v>853</v>
      </c>
      <c r="B914" s="1814">
        <f>'Expenditures 15-22'!F61</f>
        <v>0</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94</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7025</v>
      </c>
      <c r="C919" s="2" t="s">
        <v>569</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0</v>
      </c>
      <c r="D922" s="2" t="str">
        <f t="shared" si="13"/>
        <v>Error?</v>
      </c>
    </row>
    <row r="923" spans="1:4" x14ac:dyDescent="0.2">
      <c r="A923" s="5">
        <v>862</v>
      </c>
      <c r="B923" s="1814">
        <f>'Expenditures 15-22'!F70</f>
        <v>0</v>
      </c>
      <c r="D923" s="2" t="str">
        <f t="shared" si="13"/>
        <v>Error?</v>
      </c>
    </row>
    <row r="924" spans="1:4" x14ac:dyDescent="0.2">
      <c r="A924" s="10">
        <v>863</v>
      </c>
      <c r="B924" s="1814"/>
      <c r="D924" s="2" t="str">
        <f t="shared" si="13"/>
        <v>OK</v>
      </c>
    </row>
    <row r="925" spans="1:4" x14ac:dyDescent="0.2">
      <c r="A925" s="5">
        <v>864</v>
      </c>
      <c r="B925" s="1814">
        <f>'Expenditures 15-22'!F71</f>
        <v>0</v>
      </c>
      <c r="D925" s="2" t="str">
        <f t="shared" si="13"/>
        <v>Error?</v>
      </c>
    </row>
    <row r="926" spans="1:4" x14ac:dyDescent="0.2">
      <c r="A926" s="10">
        <v>865</v>
      </c>
      <c r="B926" s="1814"/>
      <c r="D926" s="2" t="str">
        <f t="shared" si="13"/>
        <v>OK</v>
      </c>
    </row>
    <row r="927" spans="1:4" x14ac:dyDescent="0.2">
      <c r="A927" s="5">
        <v>866</v>
      </c>
      <c r="B927" s="1814">
        <f>'Expenditures 15-22'!F72</f>
        <v>0</v>
      </c>
      <c r="C927" s="2" t="s">
        <v>569</v>
      </c>
      <c r="D927" s="2" t="str">
        <f t="shared" si="13"/>
        <v>Error?</v>
      </c>
    </row>
    <row r="928" spans="1:4" x14ac:dyDescent="0.2">
      <c r="A928" s="5">
        <v>867</v>
      </c>
      <c r="B928" s="1814">
        <f>'Expenditures 15-22'!F73</f>
        <v>0</v>
      </c>
      <c r="D928" s="2" t="str">
        <f t="shared" si="13"/>
        <v>Error?</v>
      </c>
    </row>
    <row r="929" spans="1:4" x14ac:dyDescent="0.2">
      <c r="A929" s="5">
        <v>868</v>
      </c>
      <c r="B929" s="1814">
        <f>'Expenditures 15-22'!F74</f>
        <v>271705</v>
      </c>
      <c r="C929" s="2" t="s">
        <v>569</v>
      </c>
      <c r="D929" s="2" t="str">
        <f t="shared" si="13"/>
        <v>Error?</v>
      </c>
    </row>
    <row r="930" spans="1:4" x14ac:dyDescent="0.2">
      <c r="A930" s="5">
        <v>869</v>
      </c>
      <c r="B930" s="1814">
        <f>'Expenditures 15-22'!F75</f>
        <v>0</v>
      </c>
      <c r="D930" s="2" t="str">
        <f t="shared" si="13"/>
        <v>Error?</v>
      </c>
    </row>
    <row r="931" spans="1:4" x14ac:dyDescent="0.2">
      <c r="A931" s="5">
        <v>870</v>
      </c>
      <c r="B931" s="1814">
        <f>'Expenditures 15-22'!F114</f>
        <v>546498</v>
      </c>
      <c r="C931" s="2" t="s">
        <v>569</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0</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32657</v>
      </c>
      <c r="C952" s="2" t="s">
        <v>569</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2799</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3784</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6583</v>
      </c>
      <c r="C959" s="2" t="s">
        <v>569</v>
      </c>
      <c r="D959" s="2" t="str">
        <f t="shared" ref="D959:D1022" si="14">IF(ISBLANK(B959),"OK",IF(A959-B959=0,"OK","Error?"))</f>
        <v>Error?</v>
      </c>
    </row>
    <row r="960" spans="1:4" x14ac:dyDescent="0.2">
      <c r="A960" s="5">
        <v>899</v>
      </c>
      <c r="B960" s="1814">
        <f>'Expenditures 15-22'!G44</f>
        <v>3250</v>
      </c>
      <c r="D960" s="2" t="str">
        <f t="shared" si="14"/>
        <v>Error?</v>
      </c>
    </row>
    <row r="961" spans="1:4" x14ac:dyDescent="0.2">
      <c r="A961" s="5">
        <v>900</v>
      </c>
      <c r="B961" s="1814">
        <f>'Expenditures 15-22'!G45</f>
        <v>120673</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123923</v>
      </c>
      <c r="C963" s="2" t="s">
        <v>569</v>
      </c>
      <c r="D963" s="2" t="str">
        <f t="shared" si="14"/>
        <v>Error?</v>
      </c>
    </row>
    <row r="964" spans="1:4" x14ac:dyDescent="0.2">
      <c r="A964" s="5">
        <v>903</v>
      </c>
      <c r="B964" s="1814">
        <f>'Expenditures 15-22'!G49</f>
        <v>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0</v>
      </c>
      <c r="C966" s="2" t="s">
        <v>569</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569</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0</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0</v>
      </c>
      <c r="C977" s="2" t="s">
        <v>569</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0</v>
      </c>
      <c r="D983" s="2" t="str">
        <f t="shared" si="14"/>
        <v>Error?</v>
      </c>
    </row>
    <row r="984" spans="1:4" x14ac:dyDescent="0.2">
      <c r="A984" s="10">
        <v>923</v>
      </c>
      <c r="B984" s="1814"/>
      <c r="D984" s="2" t="str">
        <f t="shared" si="14"/>
        <v>OK</v>
      </c>
    </row>
    <row r="985" spans="1:4" x14ac:dyDescent="0.2">
      <c r="A985" s="5">
        <v>924</v>
      </c>
      <c r="B985" s="1814">
        <f>'Expenditures 15-22'!G72</f>
        <v>0</v>
      </c>
      <c r="C985" s="2" t="s">
        <v>569</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130506</v>
      </c>
      <c r="C987" s="2" t="s">
        <v>569</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163163</v>
      </c>
      <c r="C989" s="2" t="s">
        <v>569</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0</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0</v>
      </c>
      <c r="D1007" s="2" t="str">
        <f t="shared" si="14"/>
        <v>Error?</v>
      </c>
    </row>
    <row r="1008" spans="1:4" x14ac:dyDescent="0.2">
      <c r="A1008" s="5">
        <v>947</v>
      </c>
      <c r="B1008" s="1814">
        <f>'Expenditures 15-22'!H14</f>
        <v>0</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806612</v>
      </c>
      <c r="C1010" s="2" t="s">
        <v>569</v>
      </c>
      <c r="D1010" s="2" t="str">
        <f t="shared" si="14"/>
        <v>Error?</v>
      </c>
    </row>
    <row r="1011" spans="1:4" x14ac:dyDescent="0.2">
      <c r="A1011" s="5">
        <v>950</v>
      </c>
      <c r="B1011" s="1814">
        <f>'Expenditures 15-22'!H36</f>
        <v>1050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211</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5735</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6996</v>
      </c>
      <c r="C1017" s="2" t="s">
        <v>569</v>
      </c>
      <c r="D1017" s="2" t="str">
        <f t="shared" si="14"/>
        <v>Error?</v>
      </c>
    </row>
    <row r="1018" spans="1:4" x14ac:dyDescent="0.2">
      <c r="A1018" s="5">
        <v>957</v>
      </c>
      <c r="B1018" s="1814">
        <f>'Expenditures 15-22'!H44</f>
        <v>0</v>
      </c>
      <c r="D1018" s="2" t="str">
        <f t="shared" si="14"/>
        <v>Error?</v>
      </c>
    </row>
    <row r="1019" spans="1:4" x14ac:dyDescent="0.2">
      <c r="A1019" s="5">
        <v>958</v>
      </c>
      <c r="B1019" s="1814">
        <f>'Expenditures 15-22'!H45</f>
        <v>0</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0</v>
      </c>
      <c r="C1021" s="2" t="s">
        <v>569</v>
      </c>
      <c r="D1021" s="2" t="str">
        <f t="shared" si="14"/>
        <v>Error?</v>
      </c>
    </row>
    <row r="1022" spans="1:4" x14ac:dyDescent="0.2">
      <c r="A1022" s="5">
        <v>961</v>
      </c>
      <c r="B1022" s="1814">
        <f>'Expenditures 15-22'!H49</f>
        <v>0</v>
      </c>
      <c r="D1022" s="2" t="str">
        <f t="shared" si="14"/>
        <v>Error?</v>
      </c>
    </row>
    <row r="1023" spans="1:4" x14ac:dyDescent="0.2">
      <c r="A1023" s="5">
        <v>962</v>
      </c>
      <c r="B1023" s="1814">
        <f>'Expenditures 15-22'!H50</f>
        <v>6872</v>
      </c>
      <c r="D1023" s="2" t="str">
        <f t="shared" ref="D1023:D1086" si="15">IF(ISBLANK(B1023),"OK",IF(A1023-B1023=0,"OK","Error?"))</f>
        <v>Error?</v>
      </c>
    </row>
    <row r="1024" spans="1:4" x14ac:dyDescent="0.2">
      <c r="A1024" s="5">
        <v>963</v>
      </c>
      <c r="B1024" s="1814">
        <f>'Expenditures 15-22'!H53</f>
        <v>6872</v>
      </c>
      <c r="C1024" s="2" t="s">
        <v>569</v>
      </c>
      <c r="D1024" s="2" t="str">
        <f t="shared" si="15"/>
        <v>Error?</v>
      </c>
    </row>
    <row r="1025" spans="1:4" x14ac:dyDescent="0.2">
      <c r="A1025" s="5">
        <v>964</v>
      </c>
      <c r="B1025" s="1814">
        <f>'Expenditures 15-22'!H55</f>
        <v>1904</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1904</v>
      </c>
      <c r="C1027" s="2" t="s">
        <v>569</v>
      </c>
      <c r="D1027" s="2" t="str">
        <f t="shared" si="15"/>
        <v>Error?</v>
      </c>
    </row>
    <row r="1028" spans="1:4" x14ac:dyDescent="0.2">
      <c r="A1028" s="5">
        <v>967</v>
      </c>
      <c r="B1028" s="1814">
        <f>'Expenditures 15-22'!H59</f>
        <v>1170</v>
      </c>
      <c r="D1028" s="2" t="str">
        <f t="shared" si="15"/>
        <v>Error?</v>
      </c>
    </row>
    <row r="1029" spans="1:4" x14ac:dyDescent="0.2">
      <c r="A1029" s="5">
        <v>968</v>
      </c>
      <c r="B1029" s="1814">
        <f>'Expenditures 15-22'!H60</f>
        <v>175</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0</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1345</v>
      </c>
      <c r="C1035" s="2" t="s">
        <v>569</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0</v>
      </c>
      <c r="D1039" s="2" t="str">
        <f t="shared" si="15"/>
        <v>Error?</v>
      </c>
    </row>
    <row r="1040" spans="1:4" x14ac:dyDescent="0.2">
      <c r="A1040" s="10">
        <v>979</v>
      </c>
      <c r="B1040" s="1814"/>
      <c r="D1040" s="2" t="str">
        <f t="shared" si="15"/>
        <v>OK</v>
      </c>
    </row>
    <row r="1041" spans="1:5" x14ac:dyDescent="0.2">
      <c r="A1041" s="5">
        <v>980</v>
      </c>
      <c r="B1041" s="1814">
        <f>'Expenditures 15-22'!H71</f>
        <v>0</v>
      </c>
      <c r="D1041" s="2" t="str">
        <f t="shared" si="15"/>
        <v>Error?</v>
      </c>
    </row>
    <row r="1042" spans="1:5" x14ac:dyDescent="0.2">
      <c r="A1042" s="10">
        <v>981</v>
      </c>
      <c r="B1042" s="1814"/>
      <c r="D1042" s="2" t="str">
        <f t="shared" si="15"/>
        <v>OK</v>
      </c>
    </row>
    <row r="1043" spans="1:5" x14ac:dyDescent="0.2">
      <c r="A1043" s="5">
        <v>982</v>
      </c>
      <c r="B1043" s="1814">
        <f>'Expenditures 15-22'!H72</f>
        <v>0</v>
      </c>
      <c r="C1043" s="2" t="s">
        <v>569</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17117</v>
      </c>
      <c r="C1045" s="2" t="s">
        <v>569</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10619525</v>
      </c>
      <c r="C1047" s="2" t="s">
        <v>569</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569</v>
      </c>
      <c r="D1053" s="2" t="str">
        <f t="shared" si="15"/>
        <v>Error?</v>
      </c>
    </row>
    <row r="1054" spans="1:5" x14ac:dyDescent="0.2">
      <c r="A1054" s="5">
        <v>993</v>
      </c>
      <c r="B1054" s="1814">
        <f>'Expenditures 15-22'!H114</f>
        <v>11443254</v>
      </c>
      <c r="C1054" s="2" t="s">
        <v>569</v>
      </c>
      <c r="D1054" s="2" t="str">
        <f t="shared" si="15"/>
        <v>Error?</v>
      </c>
    </row>
    <row r="1055" spans="1:5" x14ac:dyDescent="0.2">
      <c r="A1055" s="10">
        <v>994</v>
      </c>
      <c r="B1055" s="1814"/>
      <c r="D1055" s="2" t="str">
        <f t="shared" si="15"/>
        <v>OK</v>
      </c>
    </row>
    <row r="1056" spans="1:5" x14ac:dyDescent="0.2">
      <c r="A1056" s="10">
        <v>995</v>
      </c>
      <c r="B1056" s="1814"/>
      <c r="C1056" s="2" t="s">
        <v>569</v>
      </c>
      <c r="D1056" s="4" t="s">
        <v>1991</v>
      </c>
      <c r="E1056" s="4" t="s">
        <v>1990</v>
      </c>
    </row>
    <row r="1057" spans="1:4" x14ac:dyDescent="0.2">
      <c r="A1057" s="10">
        <v>996</v>
      </c>
      <c r="B1057" s="1814"/>
      <c r="C1057" s="2" t="s">
        <v>569</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569</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569</v>
      </c>
      <c r="D1086" s="2" t="str">
        <f t="shared" si="15"/>
        <v>OK</v>
      </c>
    </row>
    <row r="1087" spans="1:4" x14ac:dyDescent="0.2">
      <c r="A1087" s="10">
        <v>1026</v>
      </c>
      <c r="B1087" s="1814"/>
      <c r="C1087" s="2" t="s">
        <v>569</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0</v>
      </c>
      <c r="C1093" s="2" t="s">
        <v>569</v>
      </c>
      <c r="D1093" s="2" t="str">
        <f t="shared" si="16"/>
        <v>Error?</v>
      </c>
    </row>
    <row r="1094" spans="1:4" x14ac:dyDescent="0.2">
      <c r="A1094" s="5">
        <v>1033</v>
      </c>
      <c r="B1094" s="1814">
        <f>'Expenditures 15-22'!K16</f>
        <v>0</v>
      </c>
      <c r="C1094" s="2" t="s">
        <v>569</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0</v>
      </c>
      <c r="C1100" s="2" t="s">
        <v>569</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569</v>
      </c>
      <c r="D1104" s="2" t="str">
        <f t="shared" si="16"/>
        <v>Error?</v>
      </c>
    </row>
    <row r="1105" spans="1:4" x14ac:dyDescent="0.2">
      <c r="A1105" s="5">
        <v>1044</v>
      </c>
      <c r="B1105" s="1814">
        <f>'Expenditures 15-22'!K13</f>
        <v>976349</v>
      </c>
      <c r="C1105" s="2" t="s">
        <v>569</v>
      </c>
      <c r="D1105" s="2" t="str">
        <f t="shared" si="16"/>
        <v>Error?</v>
      </c>
    </row>
    <row r="1106" spans="1:4" x14ac:dyDescent="0.2">
      <c r="A1106" s="5">
        <v>1045</v>
      </c>
      <c r="B1106" s="1814">
        <f>'Expenditures 15-22'!K14</f>
        <v>0</v>
      </c>
      <c r="C1106" s="2" t="s">
        <v>569</v>
      </c>
      <c r="D1106" s="2" t="str">
        <f t="shared" si="16"/>
        <v>Error?</v>
      </c>
    </row>
    <row r="1107" spans="1:4" x14ac:dyDescent="0.2">
      <c r="A1107" s="5">
        <v>1046</v>
      </c>
      <c r="B1107" s="1814">
        <f>'Expenditures 15-22'!K15</f>
        <v>585513</v>
      </c>
      <c r="C1107" s="2" t="s">
        <v>569</v>
      </c>
      <c r="D1107" s="2" t="str">
        <f t="shared" si="16"/>
        <v>Error?</v>
      </c>
    </row>
    <row r="1108" spans="1:4" x14ac:dyDescent="0.2">
      <c r="A1108" s="5">
        <v>1047</v>
      </c>
      <c r="B1108" s="1814">
        <f>'Expenditures 15-22'!K33</f>
        <v>26665301</v>
      </c>
      <c r="C1108" s="2" t="s">
        <v>569</v>
      </c>
      <c r="D1108" s="2" t="str">
        <f t="shared" si="16"/>
        <v>Error?</v>
      </c>
    </row>
    <row r="1109" spans="1:4" x14ac:dyDescent="0.2">
      <c r="A1109" s="5">
        <v>1048</v>
      </c>
      <c r="B1109" s="1814">
        <f>'Expenditures 15-22'!K36</f>
        <v>3228417</v>
      </c>
      <c r="C1109" s="2" t="s">
        <v>569</v>
      </c>
      <c r="D1109" s="2" t="str">
        <f t="shared" si="16"/>
        <v>Error?</v>
      </c>
    </row>
    <row r="1110" spans="1:4" x14ac:dyDescent="0.2">
      <c r="A1110" s="5">
        <v>1049</v>
      </c>
      <c r="B1110" s="1814">
        <f>'Expenditures 15-22'!K37</f>
        <v>0</v>
      </c>
      <c r="C1110" s="2" t="s">
        <v>569</v>
      </c>
      <c r="D1110" s="2" t="str">
        <f t="shared" si="16"/>
        <v>Error?</v>
      </c>
    </row>
    <row r="1111" spans="1:4" x14ac:dyDescent="0.2">
      <c r="A1111" s="5">
        <v>1050</v>
      </c>
      <c r="B1111" s="1814">
        <f>'Expenditures 15-22'!K38</f>
        <v>5195126</v>
      </c>
      <c r="C1111" s="2" t="s">
        <v>569</v>
      </c>
      <c r="D1111" s="2" t="str">
        <f t="shared" si="16"/>
        <v>Error?</v>
      </c>
    </row>
    <row r="1112" spans="1:4" x14ac:dyDescent="0.2">
      <c r="A1112" s="5">
        <v>1051</v>
      </c>
      <c r="B1112" s="1814">
        <f>'Expenditures 15-22'!K39</f>
        <v>1320993</v>
      </c>
      <c r="C1112" s="2" t="s">
        <v>569</v>
      </c>
      <c r="D1112" s="2" t="str">
        <f t="shared" si="16"/>
        <v>Error?</v>
      </c>
    </row>
    <row r="1113" spans="1:4" x14ac:dyDescent="0.2">
      <c r="A1113" s="5">
        <v>1052</v>
      </c>
      <c r="B1113" s="1814">
        <f>'Expenditures 15-22'!K40</f>
        <v>3279918</v>
      </c>
      <c r="C1113" s="2" t="s">
        <v>569</v>
      </c>
      <c r="D1113" s="2" t="str">
        <f t="shared" si="16"/>
        <v>Error?</v>
      </c>
    </row>
    <row r="1114" spans="1:4" x14ac:dyDescent="0.2">
      <c r="A1114" s="5">
        <v>1053</v>
      </c>
      <c r="B1114" s="1814">
        <f>'Expenditures 15-22'!K41</f>
        <v>156097</v>
      </c>
      <c r="C1114" s="2" t="s">
        <v>569</v>
      </c>
      <c r="D1114" s="2" t="str">
        <f t="shared" si="16"/>
        <v>Error?</v>
      </c>
    </row>
    <row r="1115" spans="1:4" x14ac:dyDescent="0.2">
      <c r="A1115" s="5">
        <v>1054</v>
      </c>
      <c r="B1115" s="1814">
        <f>'Expenditures 15-22'!K42</f>
        <v>13180551</v>
      </c>
      <c r="C1115" s="2" t="s">
        <v>569</v>
      </c>
      <c r="D1115" s="2" t="str">
        <f t="shared" si="16"/>
        <v>Error?</v>
      </c>
    </row>
    <row r="1116" spans="1:4" x14ac:dyDescent="0.2">
      <c r="A1116" s="5">
        <v>1055</v>
      </c>
      <c r="B1116" s="1814">
        <f>'Expenditures 15-22'!K44</f>
        <v>560014</v>
      </c>
      <c r="C1116" s="2" t="s">
        <v>569</v>
      </c>
      <c r="D1116" s="2" t="str">
        <f t="shared" si="16"/>
        <v>Error?</v>
      </c>
    </row>
    <row r="1117" spans="1:4" x14ac:dyDescent="0.2">
      <c r="A1117" s="5">
        <v>1056</v>
      </c>
      <c r="B1117" s="1814">
        <f>'Expenditures 15-22'!K45</f>
        <v>1013646</v>
      </c>
      <c r="C1117" s="2" t="s">
        <v>569</v>
      </c>
      <c r="D1117" s="2" t="str">
        <f t="shared" si="16"/>
        <v>Error?</v>
      </c>
    </row>
    <row r="1118" spans="1:4" x14ac:dyDescent="0.2">
      <c r="A1118" s="5">
        <v>1057</v>
      </c>
      <c r="B1118" s="1814">
        <f>'Expenditures 15-22'!K46</f>
        <v>0</v>
      </c>
      <c r="C1118" s="2" t="s">
        <v>569</v>
      </c>
      <c r="D1118" s="2" t="str">
        <f t="shared" si="16"/>
        <v>Error?</v>
      </c>
    </row>
    <row r="1119" spans="1:4" x14ac:dyDescent="0.2">
      <c r="A1119" s="5">
        <v>1058</v>
      </c>
      <c r="B1119" s="1814">
        <f>'Expenditures 15-22'!K47</f>
        <v>1573660</v>
      </c>
      <c r="C1119" s="2" t="s">
        <v>569</v>
      </c>
      <c r="D1119" s="2" t="str">
        <f t="shared" si="16"/>
        <v>Error?</v>
      </c>
    </row>
    <row r="1120" spans="1:4" x14ac:dyDescent="0.2">
      <c r="A1120" s="5">
        <v>1059</v>
      </c>
      <c r="B1120" s="1814">
        <f>'Expenditures 15-22'!K49</f>
        <v>765298</v>
      </c>
      <c r="C1120" s="2" t="s">
        <v>569</v>
      </c>
      <c r="D1120" s="2" t="str">
        <f t="shared" si="16"/>
        <v>Error?</v>
      </c>
    </row>
    <row r="1121" spans="1:4" x14ac:dyDescent="0.2">
      <c r="A1121" s="5">
        <v>1060</v>
      </c>
      <c r="B1121" s="1814">
        <f>'Expenditures 15-22'!K50</f>
        <v>1290232</v>
      </c>
      <c r="C1121" s="2" t="s">
        <v>569</v>
      </c>
      <c r="D1121" s="2" t="str">
        <f t="shared" si="16"/>
        <v>Error?</v>
      </c>
    </row>
    <row r="1122" spans="1:4" x14ac:dyDescent="0.2">
      <c r="A1122" s="5">
        <v>1061</v>
      </c>
      <c r="B1122" s="1814">
        <f>'Expenditures 15-22'!K53</f>
        <v>2055530</v>
      </c>
      <c r="C1122" s="2" t="s">
        <v>569</v>
      </c>
      <c r="D1122" s="2" t="str">
        <f t="shared" si="16"/>
        <v>Error?</v>
      </c>
    </row>
    <row r="1123" spans="1:4" x14ac:dyDescent="0.2">
      <c r="A1123" s="5">
        <v>1062</v>
      </c>
      <c r="B1123" s="1814">
        <f>'Expenditures 15-22'!K55</f>
        <v>2560874</v>
      </c>
      <c r="C1123" s="2" t="s">
        <v>569</v>
      </c>
      <c r="D1123" s="2" t="str">
        <f t="shared" si="16"/>
        <v>Error?</v>
      </c>
    </row>
    <row r="1124" spans="1:4" x14ac:dyDescent="0.2">
      <c r="A1124" s="5">
        <v>1063</v>
      </c>
      <c r="B1124" s="1814">
        <f>'Expenditures 15-22'!K56</f>
        <v>69738</v>
      </c>
      <c r="C1124" s="2" t="s">
        <v>569</v>
      </c>
      <c r="D1124" s="2" t="str">
        <f t="shared" si="16"/>
        <v>Error?</v>
      </c>
    </row>
    <row r="1125" spans="1:4" x14ac:dyDescent="0.2">
      <c r="A1125" s="5">
        <v>1064</v>
      </c>
      <c r="B1125" s="1814">
        <f>'Expenditures 15-22'!K57</f>
        <v>2630612</v>
      </c>
      <c r="C1125" s="2" t="s">
        <v>569</v>
      </c>
      <c r="D1125" s="2" t="str">
        <f t="shared" si="16"/>
        <v>Error?</v>
      </c>
    </row>
    <row r="1126" spans="1:4" x14ac:dyDescent="0.2">
      <c r="A1126" s="5">
        <v>1065</v>
      </c>
      <c r="B1126" s="1814">
        <f>'Expenditures 15-22'!K59</f>
        <v>259808</v>
      </c>
      <c r="C1126" s="2" t="s">
        <v>569</v>
      </c>
      <c r="D1126" s="2" t="str">
        <f t="shared" si="16"/>
        <v>Error?</v>
      </c>
    </row>
    <row r="1127" spans="1:4" x14ac:dyDescent="0.2">
      <c r="A1127" s="5">
        <v>1066</v>
      </c>
      <c r="B1127" s="1814">
        <f>'Expenditures 15-22'!K60</f>
        <v>460728</v>
      </c>
      <c r="C1127" s="2" t="s">
        <v>569</v>
      </c>
      <c r="D1127" s="2" t="str">
        <f t="shared" si="16"/>
        <v>Error?</v>
      </c>
    </row>
    <row r="1128" spans="1:4" x14ac:dyDescent="0.2">
      <c r="A1128" s="5">
        <v>1067</v>
      </c>
      <c r="B1128" s="1814">
        <f>'Expenditures 15-22'!K61</f>
        <v>0</v>
      </c>
      <c r="C1128" s="2" t="s">
        <v>569</v>
      </c>
      <c r="D1128" s="2" t="str">
        <f t="shared" si="16"/>
        <v>Error?</v>
      </c>
    </row>
    <row r="1129" spans="1:4" x14ac:dyDescent="0.2">
      <c r="A1129" s="5">
        <v>1068</v>
      </c>
      <c r="B1129" s="1814">
        <f>'Expenditures 15-22'!K62</f>
        <v>0</v>
      </c>
      <c r="C1129" s="2" t="s">
        <v>569</v>
      </c>
      <c r="D1129" s="2" t="str">
        <f t="shared" si="16"/>
        <v>Error?</v>
      </c>
    </row>
    <row r="1130" spans="1:4" x14ac:dyDescent="0.2">
      <c r="A1130" s="5">
        <v>1069</v>
      </c>
      <c r="B1130" s="1814">
        <f>'Expenditures 15-22'!K63</f>
        <v>177630</v>
      </c>
      <c r="C1130" s="2" t="s">
        <v>569</v>
      </c>
      <c r="D1130" s="2" t="str">
        <f t="shared" si="16"/>
        <v>Error?</v>
      </c>
    </row>
    <row r="1131" spans="1:4" x14ac:dyDescent="0.2">
      <c r="A1131" s="5">
        <v>1070</v>
      </c>
      <c r="B1131" s="1814">
        <f>'Expenditures 15-22'!K64</f>
        <v>0</v>
      </c>
      <c r="C1131" s="2" t="s">
        <v>569</v>
      </c>
      <c r="D1131" s="2" t="str">
        <f t="shared" si="16"/>
        <v>Error?</v>
      </c>
    </row>
    <row r="1132" spans="1:4" x14ac:dyDescent="0.2">
      <c r="A1132" s="10">
        <v>1071</v>
      </c>
      <c r="B1132" s="1814"/>
      <c r="D1132" s="2" t="str">
        <f t="shared" si="16"/>
        <v>OK</v>
      </c>
    </row>
    <row r="1133" spans="1:4" x14ac:dyDescent="0.2">
      <c r="A1133" s="5">
        <v>1072</v>
      </c>
      <c r="B1133" s="1814">
        <f>'Expenditures 15-22'!K65</f>
        <v>898166</v>
      </c>
      <c r="C1133" s="2" t="s">
        <v>569</v>
      </c>
      <c r="D1133" s="2" t="str">
        <f t="shared" si="16"/>
        <v>Error?</v>
      </c>
    </row>
    <row r="1134" spans="1:4" x14ac:dyDescent="0.2">
      <c r="A1134" s="5">
        <v>1073</v>
      </c>
      <c r="B1134" s="1814">
        <f>'Expenditures 15-22'!K67</f>
        <v>0</v>
      </c>
      <c r="C1134" s="2" t="s">
        <v>569</v>
      </c>
      <c r="D1134" s="2" t="str">
        <f t="shared" si="16"/>
        <v>Error?</v>
      </c>
    </row>
    <row r="1135" spans="1:4" x14ac:dyDescent="0.2">
      <c r="A1135" s="5">
        <v>1074</v>
      </c>
      <c r="B1135" s="1814">
        <f>'Expenditures 15-22'!K68</f>
        <v>0</v>
      </c>
      <c r="C1135" s="2" t="s">
        <v>569</v>
      </c>
      <c r="D1135" s="2" t="str">
        <f t="shared" si="16"/>
        <v>Error?</v>
      </c>
    </row>
    <row r="1136" spans="1:4" x14ac:dyDescent="0.2">
      <c r="A1136" s="5">
        <v>1075</v>
      </c>
      <c r="B1136" s="1814">
        <f>'Expenditures 15-22'!K69</f>
        <v>0</v>
      </c>
      <c r="C1136" s="2" t="s">
        <v>569</v>
      </c>
      <c r="D1136" s="2" t="str">
        <f t="shared" si="16"/>
        <v>Error?</v>
      </c>
    </row>
    <row r="1137" spans="1:4" x14ac:dyDescent="0.2">
      <c r="A1137" s="5">
        <v>1076</v>
      </c>
      <c r="B1137" s="1814">
        <f>'Expenditures 15-22'!K70</f>
        <v>0</v>
      </c>
      <c r="C1137" s="2" t="s">
        <v>569</v>
      </c>
      <c r="D1137" s="2" t="str">
        <f t="shared" si="16"/>
        <v>Error?</v>
      </c>
    </row>
    <row r="1138" spans="1:4" x14ac:dyDescent="0.2">
      <c r="A1138" s="10">
        <v>1077</v>
      </c>
      <c r="B1138" s="1814"/>
      <c r="D1138" s="2" t="str">
        <f t="shared" si="16"/>
        <v>OK</v>
      </c>
    </row>
    <row r="1139" spans="1:4" x14ac:dyDescent="0.2">
      <c r="A1139" s="5">
        <v>1078</v>
      </c>
      <c r="B1139" s="1814">
        <f>'Expenditures 15-22'!K71</f>
        <v>87131</v>
      </c>
      <c r="C1139" s="2" t="s">
        <v>569</v>
      </c>
      <c r="D1139" s="2" t="str">
        <f t="shared" si="16"/>
        <v>Error?</v>
      </c>
    </row>
    <row r="1140" spans="1:4" x14ac:dyDescent="0.2">
      <c r="A1140" s="10">
        <v>1079</v>
      </c>
      <c r="B1140" s="1814"/>
      <c r="D1140" s="2" t="str">
        <f t="shared" si="16"/>
        <v>OK</v>
      </c>
    </row>
    <row r="1141" spans="1:4" x14ac:dyDescent="0.2">
      <c r="A1141" s="5">
        <v>1080</v>
      </c>
      <c r="B1141" s="1814">
        <f>'Expenditures 15-22'!K72</f>
        <v>87131</v>
      </c>
      <c r="C1141" s="2" t="s">
        <v>569</v>
      </c>
      <c r="D1141" s="2" t="str">
        <f t="shared" si="16"/>
        <v>Error?</v>
      </c>
    </row>
    <row r="1142" spans="1:4" x14ac:dyDescent="0.2">
      <c r="A1142" s="5">
        <v>1081</v>
      </c>
      <c r="B1142" s="1814">
        <f>'Expenditures 15-22'!K73</f>
        <v>0</v>
      </c>
      <c r="C1142" s="2" t="s">
        <v>569</v>
      </c>
      <c r="D1142" s="2" t="str">
        <f t="shared" si="16"/>
        <v>Error?</v>
      </c>
    </row>
    <row r="1143" spans="1:4" x14ac:dyDescent="0.2">
      <c r="A1143" s="5">
        <v>1082</v>
      </c>
      <c r="B1143" s="1814">
        <f>'Expenditures 15-22'!K74</f>
        <v>20425650</v>
      </c>
      <c r="C1143" s="2" t="s">
        <v>569</v>
      </c>
      <c r="D1143" s="2" t="str">
        <f t="shared" si="16"/>
        <v>Error?</v>
      </c>
    </row>
    <row r="1144" spans="1:4" x14ac:dyDescent="0.2">
      <c r="A1144" s="5">
        <v>1083</v>
      </c>
      <c r="B1144" s="1814">
        <f>'Expenditures 15-22'!K75</f>
        <v>451</v>
      </c>
      <c r="C1144" s="2" t="s">
        <v>569</v>
      </c>
      <c r="D1144" s="2" t="str">
        <f t="shared" si="16"/>
        <v>Error?</v>
      </c>
    </row>
    <row r="1145" spans="1:4" x14ac:dyDescent="0.2">
      <c r="A1145" s="5">
        <v>1084</v>
      </c>
      <c r="B1145" s="1814">
        <f>'Expenditures 15-22'!K102</f>
        <v>10788584</v>
      </c>
      <c r="C1145" s="2" t="s">
        <v>569</v>
      </c>
      <c r="D1145" s="2" t="str">
        <f t="shared" si="16"/>
        <v>Error?</v>
      </c>
    </row>
    <row r="1146" spans="1:4" x14ac:dyDescent="0.2">
      <c r="A1146" s="5">
        <v>1085</v>
      </c>
      <c r="B1146" s="1814">
        <f>'Expenditures 15-22'!K105</f>
        <v>0</v>
      </c>
      <c r="C1146" s="2" t="s">
        <v>569</v>
      </c>
      <c r="D1146" s="2" t="str">
        <f t="shared" si="16"/>
        <v>Error?</v>
      </c>
    </row>
    <row r="1147" spans="1:4" x14ac:dyDescent="0.2">
      <c r="A1147" s="5">
        <v>1086</v>
      </c>
      <c r="B1147" s="1814">
        <f>'Expenditures 15-22'!K106</f>
        <v>0</v>
      </c>
      <c r="C1147" s="2" t="s">
        <v>569</v>
      </c>
      <c r="D1147" s="2" t="str">
        <f t="shared" si="16"/>
        <v>Error?</v>
      </c>
    </row>
    <row r="1148" spans="1:4" x14ac:dyDescent="0.2">
      <c r="A1148" s="10">
        <v>1087</v>
      </c>
      <c r="B1148" s="1814"/>
      <c r="C1148" s="2" t="s">
        <v>569</v>
      </c>
      <c r="D1148" s="2" t="str">
        <f t="shared" si="16"/>
        <v>OK</v>
      </c>
    </row>
    <row r="1149" spans="1:4" x14ac:dyDescent="0.2">
      <c r="A1149" s="5">
        <v>1088</v>
      </c>
      <c r="B1149" s="1814">
        <f>'Expenditures 15-22'!K109</f>
        <v>0</v>
      </c>
      <c r="C1149" s="2" t="s">
        <v>569</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569</v>
      </c>
      <c r="D1151" s="2" t="str">
        <f t="shared" ref="D1151:D1214" si="17">IF(ISBLANK(B1151),"OK",IF(A1151-B1151=0,"OK","Error?"))</f>
        <v>Error?</v>
      </c>
    </row>
    <row r="1152" spans="1:4" x14ac:dyDescent="0.2">
      <c r="A1152" s="5">
        <v>1091</v>
      </c>
      <c r="B1152" s="1814">
        <f>'Expenditures 15-22'!K114</f>
        <v>57879986</v>
      </c>
      <c r="C1152" s="2" t="s">
        <v>569</v>
      </c>
      <c r="D1152" s="2" t="str">
        <f t="shared" si="17"/>
        <v>Error?</v>
      </c>
    </row>
    <row r="1153" spans="1:4" x14ac:dyDescent="0.2">
      <c r="A1153" s="5">
        <v>1092</v>
      </c>
      <c r="B1153" s="1814">
        <f>'Expenditures 15-22'!K115</f>
        <v>3034798</v>
      </c>
      <c r="C1153" s="2" t="s">
        <v>569</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884306</v>
      </c>
      <c r="D1221" s="2" t="str">
        <f t="shared" si="18"/>
        <v>Error?</v>
      </c>
    </row>
    <row r="1222" spans="1:4" x14ac:dyDescent="0.2">
      <c r="A1222" s="10">
        <v>1161</v>
      </c>
      <c r="B1222" s="1814"/>
      <c r="D1222" s="2" t="str">
        <f t="shared" si="18"/>
        <v>OK</v>
      </c>
    </row>
    <row r="1223" spans="1:4" x14ac:dyDescent="0.2">
      <c r="A1223" s="5">
        <v>1162</v>
      </c>
      <c r="B1223" s="1814">
        <f>'Expenditures 15-22'!C127</f>
        <v>884306</v>
      </c>
      <c r="C1223" s="2" t="s">
        <v>569</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884306</v>
      </c>
      <c r="C1225" s="2" t="s">
        <v>569</v>
      </c>
      <c r="D1225" s="2" t="str">
        <f t="shared" si="18"/>
        <v>Error?</v>
      </c>
    </row>
    <row r="1226" spans="1:4" x14ac:dyDescent="0.2">
      <c r="A1226" s="5">
        <v>1165</v>
      </c>
      <c r="B1226" s="1814">
        <f>'Expenditures 15-22'!C151</f>
        <v>884306</v>
      </c>
      <c r="C1226" s="2" t="s">
        <v>569</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253236</v>
      </c>
      <c r="D1229" s="2" t="str">
        <f t="shared" si="18"/>
        <v>Error?</v>
      </c>
    </row>
    <row r="1230" spans="1:4" x14ac:dyDescent="0.2">
      <c r="A1230" s="10">
        <v>1169</v>
      </c>
      <c r="B1230" s="1814"/>
      <c r="D1230" s="2" t="str">
        <f t="shared" si="18"/>
        <v>OK</v>
      </c>
    </row>
    <row r="1231" spans="1:4" x14ac:dyDescent="0.2">
      <c r="A1231" s="5">
        <v>1170</v>
      </c>
      <c r="B1231" s="1814">
        <f>'Expenditures 15-22'!D127</f>
        <v>253236</v>
      </c>
      <c r="C1231" s="2" t="s">
        <v>569</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253236</v>
      </c>
      <c r="C1233" s="2" t="s">
        <v>569</v>
      </c>
      <c r="D1233" s="2" t="str">
        <f t="shared" si="18"/>
        <v>Error?</v>
      </c>
    </row>
    <row r="1234" spans="1:4" x14ac:dyDescent="0.2">
      <c r="A1234" s="5">
        <v>1173</v>
      </c>
      <c r="B1234" s="1814">
        <f>'Expenditures 15-22'!D151</f>
        <v>253236</v>
      </c>
      <c r="C1234" s="2" t="s">
        <v>569</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734422</v>
      </c>
      <c r="D1237" s="2" t="str">
        <f t="shared" si="18"/>
        <v>Error?</v>
      </c>
    </row>
    <row r="1238" spans="1:4" x14ac:dyDescent="0.2">
      <c r="A1238" s="10">
        <v>1177</v>
      </c>
      <c r="B1238" s="1814"/>
      <c r="D1238" s="2" t="str">
        <f t="shared" si="18"/>
        <v>OK</v>
      </c>
    </row>
    <row r="1239" spans="1:4" x14ac:dyDescent="0.2">
      <c r="A1239" s="5">
        <v>1178</v>
      </c>
      <c r="B1239" s="1814">
        <f>'Expenditures 15-22'!E127</f>
        <v>734422</v>
      </c>
      <c r="C1239" s="2" t="s">
        <v>569</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734422</v>
      </c>
      <c r="C1241" s="2" t="s">
        <v>569</v>
      </c>
      <c r="D1241" s="2" t="str">
        <f t="shared" si="18"/>
        <v>Error?</v>
      </c>
    </row>
    <row r="1242" spans="1:4" x14ac:dyDescent="0.2">
      <c r="A1242" s="5">
        <v>1181</v>
      </c>
      <c r="B1242" s="1814">
        <f>'Expenditures 15-22'!E151</f>
        <v>734422</v>
      </c>
      <c r="C1242" s="2" t="s">
        <v>569</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502886</v>
      </c>
      <c r="D1245" s="2" t="str">
        <f t="shared" si="18"/>
        <v>Error?</v>
      </c>
    </row>
    <row r="1246" spans="1:4" x14ac:dyDescent="0.2">
      <c r="A1246" s="10">
        <v>1185</v>
      </c>
      <c r="B1246" s="1814"/>
      <c r="D1246" s="2" t="str">
        <f t="shared" si="18"/>
        <v>OK</v>
      </c>
    </row>
    <row r="1247" spans="1:4" x14ac:dyDescent="0.2">
      <c r="A1247" s="5">
        <v>1186</v>
      </c>
      <c r="B1247" s="1814">
        <f>'Expenditures 15-22'!F127</f>
        <v>502886</v>
      </c>
      <c r="C1247" s="2" t="s">
        <v>569</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502886</v>
      </c>
      <c r="C1249" s="2" t="s">
        <v>569</v>
      </c>
      <c r="D1249" s="2" t="str">
        <f t="shared" si="18"/>
        <v>Error?</v>
      </c>
    </row>
    <row r="1250" spans="1:4" x14ac:dyDescent="0.2">
      <c r="A1250" s="5">
        <v>1189</v>
      </c>
      <c r="B1250" s="1814">
        <f>'Expenditures 15-22'!F151</f>
        <v>502886</v>
      </c>
      <c r="C1250" s="2" t="s">
        <v>569</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0</v>
      </c>
      <c r="D1252" s="2" t="str">
        <f t="shared" si="18"/>
        <v>Error?</v>
      </c>
    </row>
    <row r="1253" spans="1:4" x14ac:dyDescent="0.2">
      <c r="A1253" s="5">
        <v>1192</v>
      </c>
      <c r="B1253" s="1814">
        <f>'Expenditures 15-22'!G124</f>
        <v>4451984</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4451984</v>
      </c>
      <c r="C1256" s="2" t="s">
        <v>569</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4451984</v>
      </c>
      <c r="C1258" s="2" t="s">
        <v>569</v>
      </c>
      <c r="D1258" s="2" t="str">
        <f t="shared" si="18"/>
        <v>Error?</v>
      </c>
    </row>
    <row r="1259" spans="1:4" x14ac:dyDescent="0.2">
      <c r="A1259" s="5">
        <v>1198</v>
      </c>
      <c r="B1259" s="1814">
        <f>'Expenditures 15-22'!G151</f>
        <v>4451984</v>
      </c>
      <c r="C1259" s="2" t="s">
        <v>569</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85</v>
      </c>
      <c r="D1262" s="2" t="str">
        <f t="shared" si="18"/>
        <v>Error?</v>
      </c>
    </row>
    <row r="1263" spans="1:4" x14ac:dyDescent="0.2">
      <c r="A1263" s="10">
        <v>1202</v>
      </c>
      <c r="B1263" s="1814"/>
      <c r="D1263" s="2" t="str">
        <f t="shared" si="18"/>
        <v>OK</v>
      </c>
    </row>
    <row r="1264" spans="1:4" x14ac:dyDescent="0.2">
      <c r="A1264" s="5">
        <v>1203</v>
      </c>
      <c r="B1264" s="1814">
        <f>'Expenditures 15-22'!H127</f>
        <v>85</v>
      </c>
      <c r="C1264" s="2" t="s">
        <v>569</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85</v>
      </c>
      <c r="C1266" s="2" t="s">
        <v>569</v>
      </c>
      <c r="D1266" s="2" t="str">
        <f t="shared" si="18"/>
        <v>Error?</v>
      </c>
    </row>
    <row r="1267" spans="1:4" x14ac:dyDescent="0.2">
      <c r="A1267" s="5">
        <v>1206</v>
      </c>
      <c r="B1267" s="1814">
        <f>'Expenditures 15-22'!H139</f>
        <v>0</v>
      </c>
      <c r="C1267" s="2" t="s">
        <v>569</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569</v>
      </c>
      <c r="D1272" s="2" t="str">
        <f t="shared" si="18"/>
        <v>Error?</v>
      </c>
    </row>
    <row r="1273" spans="1:4" x14ac:dyDescent="0.2">
      <c r="A1273" s="5">
        <v>1212</v>
      </c>
      <c r="B1273" s="1814">
        <f>'Expenditures 15-22'!H151</f>
        <v>85</v>
      </c>
      <c r="C1273" s="2" t="s">
        <v>569</v>
      </c>
      <c r="D1273" s="2" t="str">
        <f t="shared" si="18"/>
        <v>Error?</v>
      </c>
    </row>
    <row r="1274" spans="1:4" x14ac:dyDescent="0.2">
      <c r="A1274" s="5">
        <v>1213</v>
      </c>
      <c r="B1274" s="1814">
        <f>'Expenditures 15-22'!K122</f>
        <v>0</v>
      </c>
      <c r="C1274" s="2" t="s">
        <v>569</v>
      </c>
      <c r="D1274" s="2" t="str">
        <f t="shared" si="18"/>
        <v>Error?</v>
      </c>
    </row>
    <row r="1275" spans="1:4" x14ac:dyDescent="0.2">
      <c r="A1275" s="5">
        <v>1214</v>
      </c>
      <c r="B1275" s="1814">
        <f>'Expenditures 15-22'!K123</f>
        <v>0</v>
      </c>
      <c r="C1275" s="2" t="s">
        <v>569</v>
      </c>
      <c r="D1275" s="2" t="str">
        <f t="shared" si="18"/>
        <v>Error?</v>
      </c>
    </row>
    <row r="1276" spans="1:4" x14ac:dyDescent="0.2">
      <c r="A1276" s="5">
        <v>1215</v>
      </c>
      <c r="B1276" s="1814">
        <f>'Expenditures 15-22'!K124</f>
        <v>6826919</v>
      </c>
      <c r="C1276" s="2" t="s">
        <v>569</v>
      </c>
      <c r="D1276" s="2" t="str">
        <f t="shared" si="18"/>
        <v>Error?</v>
      </c>
    </row>
    <row r="1277" spans="1:4" x14ac:dyDescent="0.2">
      <c r="A1277" s="5">
        <v>1216</v>
      </c>
      <c r="B1277" s="1814">
        <f>'Expenditures 15-22'!K126</f>
        <v>0</v>
      </c>
      <c r="C1277" s="2" t="s">
        <v>569</v>
      </c>
      <c r="D1277" s="2" t="str">
        <f t="shared" si="18"/>
        <v>Error?</v>
      </c>
    </row>
    <row r="1278" spans="1:4" x14ac:dyDescent="0.2">
      <c r="A1278" s="10">
        <v>1217</v>
      </c>
      <c r="B1278" s="1814"/>
      <c r="D1278" s="2" t="str">
        <f t="shared" si="18"/>
        <v>OK</v>
      </c>
    </row>
    <row r="1279" spans="1:4" x14ac:dyDescent="0.2">
      <c r="A1279" s="5">
        <v>1218</v>
      </c>
      <c r="B1279" s="1814">
        <f>'Expenditures 15-22'!K127</f>
        <v>6826919</v>
      </c>
      <c r="C1279" s="2" t="s">
        <v>569</v>
      </c>
      <c r="D1279" s="2" t="str">
        <f t="shared" ref="D1279:D1342" si="19">IF(ISBLANK(B1279),"OK",IF(A1279-B1279=0,"OK","Error?"))</f>
        <v>Error?</v>
      </c>
    </row>
    <row r="1280" spans="1:4" x14ac:dyDescent="0.2">
      <c r="A1280" s="5">
        <v>1219</v>
      </c>
      <c r="B1280" s="1814">
        <f>'Expenditures 15-22'!K128</f>
        <v>0</v>
      </c>
      <c r="C1280" s="2" t="s">
        <v>569</v>
      </c>
      <c r="D1280" s="2" t="str">
        <f t="shared" si="19"/>
        <v>Error?</v>
      </c>
    </row>
    <row r="1281" spans="1:4" x14ac:dyDescent="0.2">
      <c r="A1281" s="5">
        <v>1220</v>
      </c>
      <c r="B1281" s="1814">
        <f>'Expenditures 15-22'!K129</f>
        <v>6826919</v>
      </c>
      <c r="C1281" s="2" t="s">
        <v>569</v>
      </c>
      <c r="D1281" s="2" t="str">
        <f t="shared" si="19"/>
        <v>Error?</v>
      </c>
    </row>
    <row r="1282" spans="1:4" x14ac:dyDescent="0.2">
      <c r="A1282" s="5">
        <v>1221</v>
      </c>
      <c r="B1282" s="1814">
        <f>'Expenditures 15-22'!K139</f>
        <v>0</v>
      </c>
      <c r="C1282" s="2" t="s">
        <v>569</v>
      </c>
      <c r="D1282" s="2" t="str">
        <f t="shared" si="19"/>
        <v>Error?</v>
      </c>
    </row>
    <row r="1283" spans="1:4" x14ac:dyDescent="0.2">
      <c r="A1283" s="5">
        <v>1222</v>
      </c>
      <c r="B1283" s="1814">
        <f>'Expenditures 15-22'!K142</f>
        <v>0</v>
      </c>
      <c r="C1283" s="2" t="s">
        <v>569</v>
      </c>
      <c r="D1283" s="2" t="str">
        <f t="shared" si="19"/>
        <v>Error?</v>
      </c>
    </row>
    <row r="1284" spans="1:4" x14ac:dyDescent="0.2">
      <c r="A1284" s="5">
        <v>1223</v>
      </c>
      <c r="B1284" s="1814">
        <f>'Expenditures 15-22'!K143</f>
        <v>0</v>
      </c>
      <c r="C1284" s="2" t="s">
        <v>569</v>
      </c>
      <c r="D1284" s="2" t="str">
        <f t="shared" si="19"/>
        <v>Error?</v>
      </c>
    </row>
    <row r="1285" spans="1:4" x14ac:dyDescent="0.2">
      <c r="A1285" s="5">
        <v>1224</v>
      </c>
      <c r="B1285" s="1814">
        <f>'Expenditures 15-22'!K146</f>
        <v>0</v>
      </c>
      <c r="C1285" s="2" t="s">
        <v>569</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569</v>
      </c>
      <c r="D1287" s="2" t="str">
        <f t="shared" si="19"/>
        <v>Error?</v>
      </c>
    </row>
    <row r="1288" spans="1:4" x14ac:dyDescent="0.2">
      <c r="A1288" s="5">
        <v>1227</v>
      </c>
      <c r="B1288" s="1814">
        <f>'Expenditures 15-22'!K151</f>
        <v>6826919</v>
      </c>
      <c r="C1288" s="2" t="s">
        <v>569</v>
      </c>
      <c r="D1288" s="2" t="str">
        <f t="shared" si="19"/>
        <v>Error?</v>
      </c>
    </row>
    <row r="1289" spans="1:4" x14ac:dyDescent="0.2">
      <c r="A1289" s="5">
        <v>1228</v>
      </c>
      <c r="B1289" s="1814">
        <f>'Expenditures 15-22'!K152</f>
        <v>-3917399</v>
      </c>
      <c r="C1289" s="2" t="s">
        <v>569</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569</v>
      </c>
      <c r="D1308" s="2" t="str">
        <f t="shared" si="19"/>
        <v>Error?</v>
      </c>
    </row>
    <row r="1309" spans="1:4" x14ac:dyDescent="0.2">
      <c r="A1309" s="5">
        <v>1248</v>
      </c>
      <c r="B1309" s="1814">
        <f>'Expenditures 15-22'!E174</f>
        <v>0</v>
      </c>
      <c r="C1309" s="2" t="s">
        <v>569</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116900</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569</v>
      </c>
      <c r="D1314" s="2" t="str">
        <f t="shared" si="19"/>
        <v>Error?</v>
      </c>
    </row>
    <row r="1315" spans="1:4" x14ac:dyDescent="0.2">
      <c r="A1315" s="5">
        <v>1254</v>
      </c>
      <c r="B1315" s="1814">
        <f>'Expenditures 15-22'!H170</f>
        <v>350000</v>
      </c>
      <c r="D1315" s="2" t="str">
        <f t="shared" si="19"/>
        <v>Error?</v>
      </c>
    </row>
    <row r="1316" spans="1:4" x14ac:dyDescent="0.2">
      <c r="A1316" s="5">
        <v>1255</v>
      </c>
      <c r="B1316" s="1814">
        <f>'Expenditures 15-22'!H171</f>
        <v>350</v>
      </c>
      <c r="D1316" s="2" t="str">
        <f t="shared" si="19"/>
        <v>Error?</v>
      </c>
    </row>
    <row r="1317" spans="1:4" x14ac:dyDescent="0.2">
      <c r="A1317" s="5">
        <v>1256</v>
      </c>
      <c r="B1317" s="1814">
        <f>'Expenditures 15-22'!H172</f>
        <v>467250</v>
      </c>
      <c r="C1317" s="2" t="s">
        <v>569</v>
      </c>
      <c r="D1317" s="2" t="str">
        <f t="shared" si="19"/>
        <v>Error?</v>
      </c>
    </row>
    <row r="1318" spans="1:4" x14ac:dyDescent="0.2">
      <c r="A1318" s="5">
        <v>1257</v>
      </c>
      <c r="B1318" s="1814">
        <f>'Expenditures 15-22'!H174</f>
        <v>467250</v>
      </c>
      <c r="C1318" s="2" t="s">
        <v>569</v>
      </c>
      <c r="D1318" s="2" t="str">
        <f t="shared" si="19"/>
        <v>Error?</v>
      </c>
    </row>
    <row r="1319" spans="1:4" x14ac:dyDescent="0.2">
      <c r="A1319" s="10">
        <v>1258</v>
      </c>
      <c r="B1319" s="1814"/>
      <c r="C1319" s="2" t="s">
        <v>569</v>
      </c>
      <c r="D1319" s="2" t="str">
        <f t="shared" si="19"/>
        <v>OK</v>
      </c>
    </row>
    <row r="1320" spans="1:4" x14ac:dyDescent="0.2">
      <c r="A1320" s="10">
        <v>1259</v>
      </c>
      <c r="B1320" s="1814"/>
      <c r="D1320" s="2" t="str">
        <f t="shared" si="19"/>
        <v>OK</v>
      </c>
    </row>
    <row r="1321" spans="1:4" x14ac:dyDescent="0.2">
      <c r="A1321" s="10">
        <v>1260</v>
      </c>
      <c r="B1321" s="1814"/>
      <c r="C1321" s="2" t="s">
        <v>569</v>
      </c>
      <c r="D1321" s="2" t="str">
        <f t="shared" si="19"/>
        <v>OK</v>
      </c>
    </row>
    <row r="1322" spans="1:4" x14ac:dyDescent="0.2">
      <c r="A1322" s="10">
        <v>1261</v>
      </c>
      <c r="B1322" s="1814"/>
      <c r="C1322" s="2" t="s">
        <v>569</v>
      </c>
      <c r="D1322" s="2" t="str">
        <f t="shared" si="19"/>
        <v>OK</v>
      </c>
    </row>
    <row r="1323" spans="1:4" x14ac:dyDescent="0.2">
      <c r="A1323" s="5">
        <v>1262</v>
      </c>
      <c r="B1323" s="1814">
        <f>'Expenditures 15-22'!K160</f>
        <v>0</v>
      </c>
      <c r="C1323" s="2" t="s">
        <v>569</v>
      </c>
      <c r="D1323" s="2" t="str">
        <f t="shared" si="19"/>
        <v>Error?</v>
      </c>
    </row>
    <row r="1324" spans="1:4" x14ac:dyDescent="0.2">
      <c r="A1324" s="5">
        <v>1263</v>
      </c>
      <c r="B1324" s="1814">
        <f>'Expenditures 15-22'!K163</f>
        <v>0</v>
      </c>
      <c r="C1324" s="2" t="s">
        <v>569</v>
      </c>
      <c r="D1324" s="2" t="str">
        <f t="shared" si="19"/>
        <v>Error?</v>
      </c>
    </row>
    <row r="1325" spans="1:4" x14ac:dyDescent="0.2">
      <c r="A1325" s="5">
        <v>1264</v>
      </c>
      <c r="B1325" s="1814">
        <f>'Expenditures 15-22'!K164</f>
        <v>0</v>
      </c>
      <c r="C1325" s="2" t="s">
        <v>569</v>
      </c>
      <c r="D1325" s="2" t="str">
        <f t="shared" si="19"/>
        <v>Error?</v>
      </c>
    </row>
    <row r="1326" spans="1:4" x14ac:dyDescent="0.2">
      <c r="A1326" s="5">
        <v>1265</v>
      </c>
      <c r="B1326" s="1814">
        <f>'Expenditures 15-22'!K169</f>
        <v>116900</v>
      </c>
      <c r="C1326" s="2" t="s">
        <v>569</v>
      </c>
      <c r="D1326" s="2" t="str">
        <f t="shared" si="19"/>
        <v>Error?</v>
      </c>
    </row>
    <row r="1327" spans="1:4" x14ac:dyDescent="0.2">
      <c r="A1327" s="5">
        <v>1266</v>
      </c>
      <c r="B1327" s="1814">
        <f>'Expenditures 15-22'!K167</f>
        <v>0</v>
      </c>
      <c r="C1327" s="2" t="s">
        <v>569</v>
      </c>
      <c r="D1327" s="2" t="str">
        <f t="shared" si="19"/>
        <v>Error?</v>
      </c>
    </row>
    <row r="1328" spans="1:4" x14ac:dyDescent="0.2">
      <c r="A1328" s="5">
        <v>1267</v>
      </c>
      <c r="B1328" s="1814">
        <f>'Expenditures 15-22'!K168</f>
        <v>0</v>
      </c>
      <c r="C1328" s="2" t="s">
        <v>569</v>
      </c>
      <c r="D1328" s="2" t="str">
        <f t="shared" si="19"/>
        <v>Error?</v>
      </c>
    </row>
    <row r="1329" spans="1:4" x14ac:dyDescent="0.2">
      <c r="A1329" s="5">
        <v>1268</v>
      </c>
      <c r="B1329" s="1814">
        <f>'Expenditures 15-22'!K170</f>
        <v>350000</v>
      </c>
      <c r="C1329" s="2" t="s">
        <v>569</v>
      </c>
      <c r="D1329" s="2" t="str">
        <f t="shared" si="19"/>
        <v>Error?</v>
      </c>
    </row>
    <row r="1330" spans="1:4" x14ac:dyDescent="0.2">
      <c r="A1330" s="5">
        <v>1269</v>
      </c>
      <c r="B1330" s="1814">
        <f>'Expenditures 15-22'!K171</f>
        <v>350</v>
      </c>
      <c r="C1330" s="2" t="s">
        <v>569</v>
      </c>
      <c r="D1330" s="2" t="str">
        <f t="shared" si="19"/>
        <v>Error?</v>
      </c>
    </row>
    <row r="1331" spans="1:4" x14ac:dyDescent="0.2">
      <c r="A1331" s="5">
        <v>1270</v>
      </c>
      <c r="B1331" s="1814">
        <f>'Expenditures 15-22'!K172</f>
        <v>467250</v>
      </c>
      <c r="C1331" s="2" t="s">
        <v>569</v>
      </c>
      <c r="D1331" s="2" t="str">
        <f t="shared" si="19"/>
        <v>Error?</v>
      </c>
    </row>
    <row r="1332" spans="1:4" x14ac:dyDescent="0.2">
      <c r="A1332" s="5">
        <v>1271</v>
      </c>
      <c r="B1332" s="1814">
        <f>'Expenditures 15-22'!K174</f>
        <v>467250</v>
      </c>
      <c r="C1332" s="2" t="s">
        <v>569</v>
      </c>
      <c r="D1332" s="2" t="str">
        <f t="shared" si="19"/>
        <v>Error?</v>
      </c>
    </row>
    <row r="1333" spans="1:4" x14ac:dyDescent="0.2">
      <c r="A1333" s="5">
        <v>1272</v>
      </c>
      <c r="B1333" s="1814">
        <f>'Expenditures 15-22'!K175</f>
        <v>3544</v>
      </c>
      <c r="C1333" s="2" t="s">
        <v>569</v>
      </c>
      <c r="D1333" s="2" t="str">
        <f t="shared" si="19"/>
        <v>Error?</v>
      </c>
    </row>
    <row r="1334" spans="1:4" x14ac:dyDescent="0.2">
      <c r="A1334" s="10">
        <v>1273</v>
      </c>
      <c r="B1334" s="1814"/>
      <c r="D1334" s="2" t="str">
        <f t="shared" si="19"/>
        <v>OK</v>
      </c>
    </row>
    <row r="1335" spans="1:4" x14ac:dyDescent="0.2">
      <c r="A1335" s="5">
        <v>1274</v>
      </c>
      <c r="B1335" s="1814">
        <f>'Expenditures 15-22'!C182</f>
        <v>77277</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77277</v>
      </c>
      <c r="C1339" s="2" t="s">
        <v>569</v>
      </c>
      <c r="D1339" s="2" t="str">
        <f t="shared" si="19"/>
        <v>Error?</v>
      </c>
    </row>
    <row r="1340" spans="1:4" x14ac:dyDescent="0.2">
      <c r="A1340" s="5">
        <v>1279</v>
      </c>
      <c r="B1340" s="1814">
        <f>'Expenditures 15-22'!C210</f>
        <v>77277</v>
      </c>
      <c r="C1340" s="2" t="s">
        <v>569</v>
      </c>
      <c r="D1340" s="2" t="str">
        <f t="shared" si="19"/>
        <v>Error?</v>
      </c>
    </row>
    <row r="1341" spans="1:4" x14ac:dyDescent="0.2">
      <c r="A1341" s="5">
        <v>1280</v>
      </c>
      <c r="B1341" s="1814">
        <f>'Expenditures 15-22'!D182</f>
        <v>27160</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27160</v>
      </c>
      <c r="C1345" s="2" t="s">
        <v>569</v>
      </c>
      <c r="D1345" s="2" t="str">
        <f t="shared" si="20"/>
        <v>Error?</v>
      </c>
    </row>
    <row r="1346" spans="1:4" x14ac:dyDescent="0.2">
      <c r="A1346" s="5">
        <v>1285</v>
      </c>
      <c r="B1346" s="1814">
        <f>'Expenditures 15-22'!D210</f>
        <v>27160</v>
      </c>
      <c r="C1346" s="2" t="s">
        <v>569</v>
      </c>
      <c r="D1346" s="2" t="str">
        <f t="shared" si="20"/>
        <v>Error?</v>
      </c>
    </row>
    <row r="1347" spans="1:4" x14ac:dyDescent="0.2">
      <c r="A1347" s="5">
        <v>1286</v>
      </c>
      <c r="B1347" s="1814">
        <f>'Expenditures 15-22'!E182</f>
        <v>949545</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949545</v>
      </c>
      <c r="C1351" s="2" t="s">
        <v>569</v>
      </c>
      <c r="D1351" s="2" t="str">
        <f t="shared" si="20"/>
        <v>Error?</v>
      </c>
    </row>
    <row r="1352" spans="1:4" x14ac:dyDescent="0.2">
      <c r="A1352" s="5">
        <v>1291</v>
      </c>
      <c r="B1352" s="1814">
        <f>'Expenditures 15-22'!E196</f>
        <v>0</v>
      </c>
      <c r="C1352" s="2" t="s">
        <v>569</v>
      </c>
      <c r="D1352" s="2" t="str">
        <f t="shared" si="20"/>
        <v>Error?</v>
      </c>
    </row>
    <row r="1353" spans="1:4" x14ac:dyDescent="0.2">
      <c r="A1353" s="5">
        <v>1292</v>
      </c>
      <c r="B1353" s="1814">
        <f>'Expenditures 15-22'!E210</f>
        <v>949545</v>
      </c>
      <c r="C1353" s="2" t="s">
        <v>569</v>
      </c>
      <c r="D1353" s="2" t="str">
        <f t="shared" si="20"/>
        <v>Error?</v>
      </c>
    </row>
    <row r="1354" spans="1:4" x14ac:dyDescent="0.2">
      <c r="A1354" s="5">
        <v>1293</v>
      </c>
      <c r="B1354" s="1814">
        <f>'Expenditures 15-22'!F182</f>
        <v>3158</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3158</v>
      </c>
      <c r="C1358" s="2" t="s">
        <v>569</v>
      </c>
      <c r="D1358" s="2" t="str">
        <f t="shared" si="20"/>
        <v>Error?</v>
      </c>
    </row>
    <row r="1359" spans="1:4" x14ac:dyDescent="0.2">
      <c r="A1359" s="5">
        <v>1298</v>
      </c>
      <c r="B1359" s="1814">
        <f>'Expenditures 15-22'!F210</f>
        <v>3158</v>
      </c>
      <c r="C1359" s="2" t="s">
        <v>569</v>
      </c>
      <c r="D1359" s="2" t="str">
        <f t="shared" si="20"/>
        <v>Error?</v>
      </c>
    </row>
    <row r="1360" spans="1:4" x14ac:dyDescent="0.2">
      <c r="A1360" s="5">
        <v>1299</v>
      </c>
      <c r="B1360" s="1814">
        <f>'Expenditures 15-22'!G182</f>
        <v>0</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0</v>
      </c>
      <c r="C1364" s="2" t="s">
        <v>569</v>
      </c>
      <c r="D1364" s="2" t="str">
        <f t="shared" si="20"/>
        <v>Error?</v>
      </c>
    </row>
    <row r="1365" spans="1:4" x14ac:dyDescent="0.2">
      <c r="A1365" s="5">
        <v>1304</v>
      </c>
      <c r="B1365" s="1814">
        <f>'Expenditures 15-22'!G210</f>
        <v>0</v>
      </c>
      <c r="C1365" s="2" t="s">
        <v>569</v>
      </c>
      <c r="D1365" s="2" t="str">
        <f t="shared" si="20"/>
        <v>Error?</v>
      </c>
    </row>
    <row r="1366" spans="1:4" x14ac:dyDescent="0.2">
      <c r="A1366" s="5">
        <v>1305</v>
      </c>
      <c r="B1366" s="1814">
        <f>'Expenditures 15-22'!H182</f>
        <v>0</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0</v>
      </c>
      <c r="C1370" s="2" t="s">
        <v>569</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569</v>
      </c>
      <c r="D1375" s="2" t="str">
        <f t="shared" si="20"/>
        <v>Error?</v>
      </c>
    </row>
    <row r="1376" spans="1:4" x14ac:dyDescent="0.2">
      <c r="A1376" s="5">
        <v>1315</v>
      </c>
      <c r="B1376" s="1814">
        <f>'Expenditures 15-22'!H210</f>
        <v>0</v>
      </c>
      <c r="C1376" s="2" t="s">
        <v>569</v>
      </c>
      <c r="D1376" s="2" t="str">
        <f t="shared" si="20"/>
        <v>Error?</v>
      </c>
    </row>
    <row r="1377" spans="1:4" x14ac:dyDescent="0.2">
      <c r="A1377" s="5">
        <v>1316</v>
      </c>
      <c r="B1377" s="1814">
        <f>'Expenditures 15-22'!K182</f>
        <v>1057140</v>
      </c>
      <c r="C1377" s="2" t="s">
        <v>569</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569</v>
      </c>
      <c r="D1380" s="2" t="str">
        <f t="shared" si="20"/>
        <v>Error?</v>
      </c>
    </row>
    <row r="1381" spans="1:4" x14ac:dyDescent="0.2">
      <c r="A1381" s="5">
        <v>1320</v>
      </c>
      <c r="B1381" s="1814">
        <f>'Expenditures 15-22'!K184</f>
        <v>1057140</v>
      </c>
      <c r="C1381" s="2" t="s">
        <v>569</v>
      </c>
      <c r="D1381" s="2" t="str">
        <f t="shared" si="20"/>
        <v>Error?</v>
      </c>
    </row>
    <row r="1382" spans="1:4" x14ac:dyDescent="0.2">
      <c r="A1382" s="5">
        <v>1321</v>
      </c>
      <c r="B1382" s="1814">
        <f>'Expenditures 15-22'!K196</f>
        <v>0</v>
      </c>
      <c r="C1382" s="2" t="s">
        <v>569</v>
      </c>
      <c r="D1382" s="2" t="str">
        <f t="shared" si="20"/>
        <v>Error?</v>
      </c>
    </row>
    <row r="1383" spans="1:4" x14ac:dyDescent="0.2">
      <c r="A1383" s="5">
        <v>1322</v>
      </c>
      <c r="B1383" s="1814">
        <f>'Expenditures 15-22'!K199</f>
        <v>0</v>
      </c>
      <c r="C1383" s="2" t="s">
        <v>569</v>
      </c>
      <c r="D1383" s="2" t="str">
        <f t="shared" si="20"/>
        <v>Error?</v>
      </c>
    </row>
    <row r="1384" spans="1:4" x14ac:dyDescent="0.2">
      <c r="A1384" s="5">
        <v>1323</v>
      </c>
      <c r="B1384" s="1814">
        <f>'Expenditures 15-22'!K200</f>
        <v>0</v>
      </c>
      <c r="C1384" s="2" t="s">
        <v>569</v>
      </c>
      <c r="D1384" s="2" t="str">
        <f t="shared" si="20"/>
        <v>Error?</v>
      </c>
    </row>
    <row r="1385" spans="1:4" x14ac:dyDescent="0.2">
      <c r="A1385" s="5">
        <v>1324</v>
      </c>
      <c r="B1385" s="1814">
        <f>'Expenditures 15-22'!K203</f>
        <v>0</v>
      </c>
      <c r="C1385" s="2" t="s">
        <v>569</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569</v>
      </c>
      <c r="D1387" s="2" t="str">
        <f t="shared" si="20"/>
        <v>Error?</v>
      </c>
    </row>
    <row r="1388" spans="1:4" x14ac:dyDescent="0.2">
      <c r="A1388" s="5">
        <v>1327</v>
      </c>
      <c r="B1388" s="1814">
        <f>'Expenditures 15-22'!K210</f>
        <v>1057140</v>
      </c>
      <c r="C1388" s="2" t="s">
        <v>569</v>
      </c>
      <c r="D1388" s="2" t="str">
        <f t="shared" si="20"/>
        <v>Error?</v>
      </c>
    </row>
    <row r="1389" spans="1:4" x14ac:dyDescent="0.2">
      <c r="A1389" s="5">
        <v>1328</v>
      </c>
      <c r="B1389" s="1814">
        <f>'Expenditures 15-22'!K211</f>
        <v>-268855</v>
      </c>
      <c r="C1389" s="2" t="s">
        <v>569</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0</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0</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95053</v>
      </c>
      <c r="D1407" s="2" t="str">
        <f t="shared" ref="D1407:D1470" si="21">IF(ISBLANK(B1407),"OK",IF(A1407-B1407=0,"OK","Error?"))</f>
        <v>Error?</v>
      </c>
    </row>
    <row r="1408" spans="1:4" x14ac:dyDescent="0.2">
      <c r="A1408" s="5">
        <v>1347</v>
      </c>
      <c r="B1408" s="1814">
        <f>'Expenditures 15-22'!D223</f>
        <v>0</v>
      </c>
      <c r="D1408" s="2" t="str">
        <f t="shared" si="21"/>
        <v>Error?</v>
      </c>
    </row>
    <row r="1409" spans="1:4" x14ac:dyDescent="0.2">
      <c r="A1409" s="5">
        <v>1348</v>
      </c>
      <c r="B1409" s="1814">
        <f>'Expenditures 15-22'!D224</f>
        <v>16093</v>
      </c>
      <c r="D1409" s="2" t="str">
        <f t="shared" si="21"/>
        <v>Error?</v>
      </c>
    </row>
    <row r="1410" spans="1:4" x14ac:dyDescent="0.2">
      <c r="A1410" s="5">
        <v>1349</v>
      </c>
      <c r="B1410" s="1814">
        <f>'Expenditures 15-22'!D229</f>
        <v>663942</v>
      </c>
      <c r="C1410" s="2" t="s">
        <v>569</v>
      </c>
      <c r="D1410" s="2" t="str">
        <f t="shared" si="21"/>
        <v>Error?</v>
      </c>
    </row>
    <row r="1411" spans="1:4" x14ac:dyDescent="0.2">
      <c r="A1411" s="5">
        <v>1350</v>
      </c>
      <c r="B1411" s="1814">
        <f>'Expenditures 15-22'!D232</f>
        <v>11789</v>
      </c>
      <c r="D1411" s="2" t="str">
        <f t="shared" si="21"/>
        <v>Error?</v>
      </c>
    </row>
    <row r="1412" spans="1:4" x14ac:dyDescent="0.2">
      <c r="A1412" s="5">
        <v>1351</v>
      </c>
      <c r="B1412" s="1814">
        <f>'Expenditures 15-22'!D233</f>
        <v>0</v>
      </c>
      <c r="D1412" s="2" t="str">
        <f t="shared" si="21"/>
        <v>Error?</v>
      </c>
    </row>
    <row r="1413" spans="1:4" x14ac:dyDescent="0.2">
      <c r="A1413" s="5">
        <v>1352</v>
      </c>
      <c r="B1413" s="1814">
        <f>'Expenditures 15-22'!D234</f>
        <v>415375</v>
      </c>
      <c r="D1413" s="2" t="str">
        <f t="shared" si="21"/>
        <v>Error?</v>
      </c>
    </row>
    <row r="1414" spans="1:4" x14ac:dyDescent="0.2">
      <c r="A1414" s="5">
        <v>1353</v>
      </c>
      <c r="B1414" s="1814">
        <f>'Expenditures 15-22'!D235</f>
        <v>2275</v>
      </c>
      <c r="D1414" s="2" t="str">
        <f t="shared" si="21"/>
        <v>Error?</v>
      </c>
    </row>
    <row r="1415" spans="1:4" x14ac:dyDescent="0.2">
      <c r="A1415" s="5">
        <v>1354</v>
      </c>
      <c r="B1415" s="1814">
        <f>'Expenditures 15-22'!D236</f>
        <v>73265</v>
      </c>
      <c r="D1415" s="2" t="str">
        <f t="shared" si="21"/>
        <v>Error?</v>
      </c>
    </row>
    <row r="1416" spans="1:4" x14ac:dyDescent="0.2">
      <c r="A1416" s="5">
        <v>1355</v>
      </c>
      <c r="B1416" s="1814">
        <f>'Expenditures 15-22'!D237</f>
        <v>0</v>
      </c>
      <c r="D1416" s="2" t="str">
        <f t="shared" si="21"/>
        <v>Error?</v>
      </c>
    </row>
    <row r="1417" spans="1:4" x14ac:dyDescent="0.2">
      <c r="A1417" s="5">
        <v>1356</v>
      </c>
      <c r="B1417" s="1814">
        <f>'Expenditures 15-22'!D238</f>
        <v>502704</v>
      </c>
      <c r="C1417" s="2" t="s">
        <v>569</v>
      </c>
      <c r="D1417" s="2" t="str">
        <f t="shared" si="21"/>
        <v>Error?</v>
      </c>
    </row>
    <row r="1418" spans="1:4" x14ac:dyDescent="0.2">
      <c r="A1418" s="5">
        <v>1357</v>
      </c>
      <c r="B1418" s="1814">
        <f>'Expenditures 15-22'!D240</f>
        <v>9912</v>
      </c>
      <c r="D1418" s="2" t="str">
        <f t="shared" si="21"/>
        <v>Error?</v>
      </c>
    </row>
    <row r="1419" spans="1:4" x14ac:dyDescent="0.2">
      <c r="A1419" s="5">
        <v>1358</v>
      </c>
      <c r="B1419" s="1814">
        <f>'Expenditures 15-22'!D241</f>
        <v>12459</v>
      </c>
      <c r="D1419" s="2" t="str">
        <f t="shared" si="21"/>
        <v>Error?</v>
      </c>
    </row>
    <row r="1420" spans="1:4" x14ac:dyDescent="0.2">
      <c r="A1420" s="5">
        <v>1359</v>
      </c>
      <c r="B1420" s="1814">
        <f>'Expenditures 15-22'!D242</f>
        <v>0</v>
      </c>
      <c r="D1420" s="2" t="str">
        <f t="shared" si="21"/>
        <v>Error?</v>
      </c>
    </row>
    <row r="1421" spans="1:4" x14ac:dyDescent="0.2">
      <c r="A1421" s="5">
        <v>1360</v>
      </c>
      <c r="B1421" s="1814">
        <f>'Expenditures 15-22'!D243</f>
        <v>22371</v>
      </c>
      <c r="C1421" s="2" t="s">
        <v>569</v>
      </c>
      <c r="D1421" s="2" t="str">
        <f t="shared" si="21"/>
        <v>Error?</v>
      </c>
    </row>
    <row r="1422" spans="1:4" x14ac:dyDescent="0.2">
      <c r="A1422" s="5">
        <v>1361</v>
      </c>
      <c r="B1422" s="1814">
        <f>'Expenditures 15-22'!D245</f>
        <v>0</v>
      </c>
      <c r="D1422" s="2" t="str">
        <f t="shared" si="21"/>
        <v>Error?</v>
      </c>
    </row>
    <row r="1423" spans="1:4" x14ac:dyDescent="0.2">
      <c r="A1423" s="5">
        <v>1362</v>
      </c>
      <c r="B1423" s="1814">
        <f>'Expenditures 15-22'!D246</f>
        <v>24020</v>
      </c>
      <c r="D1423" s="2" t="str">
        <f t="shared" si="21"/>
        <v>Error?</v>
      </c>
    </row>
    <row r="1424" spans="1:4" x14ac:dyDescent="0.2">
      <c r="A1424" s="5">
        <v>1363</v>
      </c>
      <c r="B1424" s="1814">
        <f>'Expenditures 15-22'!D257</f>
        <v>24020</v>
      </c>
      <c r="C1424" s="2" t="s">
        <v>569</v>
      </c>
      <c r="D1424" s="2" t="str">
        <f t="shared" si="21"/>
        <v>Error?</v>
      </c>
    </row>
    <row r="1425" spans="1:4" x14ac:dyDescent="0.2">
      <c r="A1425" s="5">
        <v>1364</v>
      </c>
      <c r="B1425" s="1814">
        <f>'Expenditures 15-22'!D259</f>
        <v>36638</v>
      </c>
      <c r="D1425" s="2" t="str">
        <f t="shared" si="21"/>
        <v>Error?</v>
      </c>
    </row>
    <row r="1426" spans="1:4" x14ac:dyDescent="0.2">
      <c r="A1426" s="5">
        <v>1365</v>
      </c>
      <c r="B1426" s="1814">
        <f>'Expenditures 15-22'!D260</f>
        <v>5975</v>
      </c>
      <c r="D1426" s="2" t="str">
        <f t="shared" si="21"/>
        <v>Error?</v>
      </c>
    </row>
    <row r="1427" spans="1:4" x14ac:dyDescent="0.2">
      <c r="A1427" s="5">
        <v>1366</v>
      </c>
      <c r="B1427" s="1814">
        <f>'Expenditures 15-22'!D261</f>
        <v>42613</v>
      </c>
      <c r="C1427" s="2" t="s">
        <v>569</v>
      </c>
      <c r="D1427" s="2" t="str">
        <f t="shared" si="21"/>
        <v>Error?</v>
      </c>
    </row>
    <row r="1428" spans="1:4" x14ac:dyDescent="0.2">
      <c r="A1428" s="5">
        <v>1367</v>
      </c>
      <c r="B1428" s="1814">
        <f>'Expenditures 15-22'!D263</f>
        <v>0</v>
      </c>
      <c r="D1428" s="2" t="str">
        <f t="shared" si="21"/>
        <v>Error?</v>
      </c>
    </row>
    <row r="1429" spans="1:4" x14ac:dyDescent="0.2">
      <c r="A1429" s="5">
        <v>1368</v>
      </c>
      <c r="B1429" s="1814">
        <f>'Expenditures 15-22'!D264</f>
        <v>36803</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91902</v>
      </c>
      <c r="D1431" s="2" t="str">
        <f t="shared" si="21"/>
        <v>Error?</v>
      </c>
    </row>
    <row r="1432" spans="1:4" x14ac:dyDescent="0.2">
      <c r="A1432" s="5">
        <v>1371</v>
      </c>
      <c r="B1432" s="1814">
        <f>'Expenditures 15-22'!D267</f>
        <v>8254</v>
      </c>
      <c r="D1432" s="2" t="str">
        <f t="shared" si="21"/>
        <v>Error?</v>
      </c>
    </row>
    <row r="1433" spans="1:4" x14ac:dyDescent="0.2">
      <c r="A1433" s="5">
        <v>1372</v>
      </c>
      <c r="B1433" s="1814">
        <f>'Expenditures 15-22'!D268</f>
        <v>0</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136959</v>
      </c>
      <c r="C1436" s="2" t="s">
        <v>569</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0</v>
      </c>
      <c r="D1438" s="2" t="str">
        <f t="shared" si="21"/>
        <v>Error?</v>
      </c>
    </row>
    <row r="1439" spans="1:4" x14ac:dyDescent="0.2">
      <c r="A1439" s="5">
        <v>1378</v>
      </c>
      <c r="B1439" s="1814">
        <f>'Expenditures 15-22'!D274</f>
        <v>0</v>
      </c>
      <c r="D1439" s="2" t="str">
        <f t="shared" si="21"/>
        <v>Error?</v>
      </c>
    </row>
    <row r="1440" spans="1:4" x14ac:dyDescent="0.2">
      <c r="A1440" s="5">
        <v>1379</v>
      </c>
      <c r="B1440" s="1814">
        <f>'Expenditures 15-22'!D275</f>
        <v>0</v>
      </c>
      <c r="D1440" s="2" t="str">
        <f t="shared" si="21"/>
        <v>Error?</v>
      </c>
    </row>
    <row r="1441" spans="1:4" x14ac:dyDescent="0.2">
      <c r="A1441" s="10">
        <v>1380</v>
      </c>
      <c r="B1441" s="1814"/>
      <c r="D1441" s="2" t="str">
        <f t="shared" si="21"/>
        <v>OK</v>
      </c>
    </row>
    <row r="1442" spans="1:4" x14ac:dyDescent="0.2">
      <c r="A1442" s="5">
        <v>1381</v>
      </c>
      <c r="B1442" s="1814">
        <f>'Expenditures 15-22'!D276</f>
        <v>7109</v>
      </c>
      <c r="D1442" s="2" t="str">
        <f t="shared" si="21"/>
        <v>Error?</v>
      </c>
    </row>
    <row r="1443" spans="1:4" x14ac:dyDescent="0.2">
      <c r="A1443" s="10">
        <v>1382</v>
      </c>
      <c r="B1443" s="1814"/>
      <c r="D1443" s="2" t="str">
        <f t="shared" si="21"/>
        <v>OK</v>
      </c>
    </row>
    <row r="1444" spans="1:4" x14ac:dyDescent="0.2">
      <c r="A1444" s="5">
        <v>1383</v>
      </c>
      <c r="B1444" s="1814">
        <f>'Expenditures 15-22'!D277</f>
        <v>7109</v>
      </c>
      <c r="C1444" s="2" t="s">
        <v>569</v>
      </c>
      <c r="D1444" s="2" t="str">
        <f t="shared" si="21"/>
        <v>Error?</v>
      </c>
    </row>
    <row r="1445" spans="1:4" x14ac:dyDescent="0.2">
      <c r="A1445" s="5">
        <v>1384</v>
      </c>
      <c r="B1445" s="1814">
        <f>'Expenditures 15-22'!D278</f>
        <v>0</v>
      </c>
      <c r="D1445" s="2" t="str">
        <f t="shared" si="21"/>
        <v>Error?</v>
      </c>
    </row>
    <row r="1446" spans="1:4" x14ac:dyDescent="0.2">
      <c r="A1446" s="5">
        <v>1385</v>
      </c>
      <c r="B1446" s="1814">
        <f>'Expenditures 15-22'!D279</f>
        <v>735776</v>
      </c>
      <c r="C1446" s="2" t="s">
        <v>569</v>
      </c>
      <c r="D1446" s="2" t="str">
        <f t="shared" si="21"/>
        <v>Error?</v>
      </c>
    </row>
    <row r="1447" spans="1:4" x14ac:dyDescent="0.2">
      <c r="A1447" s="5">
        <v>1386</v>
      </c>
      <c r="B1447" s="1814">
        <f>'Expenditures 15-22'!D280</f>
        <v>0</v>
      </c>
      <c r="D1447" s="2" t="str">
        <f t="shared" si="21"/>
        <v>Error?</v>
      </c>
    </row>
    <row r="1448" spans="1:4" x14ac:dyDescent="0.2">
      <c r="A1448" s="5">
        <v>1387</v>
      </c>
      <c r="B1448" s="1814">
        <f>'Expenditures 15-22'!D295</f>
        <v>1399718</v>
      </c>
      <c r="C1448" s="2" t="s">
        <v>569</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569</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569</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0</v>
      </c>
      <c r="C1460" s="2" t="s">
        <v>569</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0</v>
      </c>
      <c r="C1466" s="2" t="s">
        <v>569</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569</v>
      </c>
      <c r="D1470" s="2" t="str">
        <f t="shared" si="21"/>
        <v>Error?</v>
      </c>
    </row>
    <row r="1471" spans="1:4" x14ac:dyDescent="0.2">
      <c r="A1471" s="5">
        <v>1410</v>
      </c>
      <c r="B1471" s="1814">
        <f>'Expenditures 15-22'!K222</f>
        <v>95053</v>
      </c>
      <c r="C1471" s="2" t="s">
        <v>569</v>
      </c>
      <c r="D1471" s="2" t="str">
        <f t="shared" ref="D1471:D1534" si="22">IF(ISBLANK(B1471),"OK",IF(A1471-B1471=0,"OK","Error?"))</f>
        <v>Error?</v>
      </c>
    </row>
    <row r="1472" spans="1:4" x14ac:dyDescent="0.2">
      <c r="A1472" s="5">
        <v>1411</v>
      </c>
      <c r="B1472" s="1814">
        <f>'Expenditures 15-22'!K223</f>
        <v>0</v>
      </c>
      <c r="C1472" s="2" t="s">
        <v>569</v>
      </c>
      <c r="D1472" s="2" t="str">
        <f t="shared" si="22"/>
        <v>Error?</v>
      </c>
    </row>
    <row r="1473" spans="1:4" x14ac:dyDescent="0.2">
      <c r="A1473" s="5">
        <v>1412</v>
      </c>
      <c r="B1473" s="1814">
        <f>'Expenditures 15-22'!K224</f>
        <v>16093</v>
      </c>
      <c r="C1473" s="2" t="s">
        <v>569</v>
      </c>
      <c r="D1473" s="2" t="str">
        <f t="shared" si="22"/>
        <v>Error?</v>
      </c>
    </row>
    <row r="1474" spans="1:4" x14ac:dyDescent="0.2">
      <c r="A1474" s="5">
        <v>1413</v>
      </c>
      <c r="B1474" s="1814">
        <f>'Expenditures 15-22'!K229</f>
        <v>663942</v>
      </c>
      <c r="C1474" s="2" t="s">
        <v>569</v>
      </c>
      <c r="D1474" s="2" t="str">
        <f t="shared" si="22"/>
        <v>Error?</v>
      </c>
    </row>
    <row r="1475" spans="1:4" x14ac:dyDescent="0.2">
      <c r="A1475" s="5">
        <v>1414</v>
      </c>
      <c r="B1475" s="1814">
        <f>'Expenditures 15-22'!K232</f>
        <v>11789</v>
      </c>
      <c r="C1475" s="2" t="s">
        <v>569</v>
      </c>
      <c r="D1475" s="2" t="str">
        <f t="shared" si="22"/>
        <v>Error?</v>
      </c>
    </row>
    <row r="1476" spans="1:4" x14ac:dyDescent="0.2">
      <c r="A1476" s="5">
        <v>1415</v>
      </c>
      <c r="B1476" s="1814">
        <f>'Expenditures 15-22'!K233</f>
        <v>0</v>
      </c>
      <c r="C1476" s="2" t="s">
        <v>569</v>
      </c>
      <c r="D1476" s="2" t="str">
        <f t="shared" si="22"/>
        <v>Error?</v>
      </c>
    </row>
    <row r="1477" spans="1:4" x14ac:dyDescent="0.2">
      <c r="A1477" s="5">
        <v>1416</v>
      </c>
      <c r="B1477" s="1814">
        <f>'Expenditures 15-22'!K234</f>
        <v>415375</v>
      </c>
      <c r="C1477" s="2" t="s">
        <v>569</v>
      </c>
      <c r="D1477" s="2" t="str">
        <f t="shared" si="22"/>
        <v>Error?</v>
      </c>
    </row>
    <row r="1478" spans="1:4" x14ac:dyDescent="0.2">
      <c r="A1478" s="5">
        <v>1417</v>
      </c>
      <c r="B1478" s="1814">
        <f>'Expenditures 15-22'!K235</f>
        <v>2275</v>
      </c>
      <c r="C1478" s="2" t="s">
        <v>569</v>
      </c>
      <c r="D1478" s="2" t="str">
        <f t="shared" si="22"/>
        <v>Error?</v>
      </c>
    </row>
    <row r="1479" spans="1:4" x14ac:dyDescent="0.2">
      <c r="A1479" s="5">
        <v>1418</v>
      </c>
      <c r="B1479" s="1814">
        <f>'Expenditures 15-22'!K236</f>
        <v>73265</v>
      </c>
      <c r="C1479" s="2" t="s">
        <v>569</v>
      </c>
      <c r="D1479" s="2" t="str">
        <f t="shared" si="22"/>
        <v>Error?</v>
      </c>
    </row>
    <row r="1480" spans="1:4" x14ac:dyDescent="0.2">
      <c r="A1480" s="5">
        <v>1419</v>
      </c>
      <c r="B1480" s="1814">
        <f>'Expenditures 15-22'!K237</f>
        <v>0</v>
      </c>
      <c r="C1480" s="2" t="s">
        <v>569</v>
      </c>
      <c r="D1480" s="2" t="str">
        <f t="shared" si="22"/>
        <v>Error?</v>
      </c>
    </row>
    <row r="1481" spans="1:4" x14ac:dyDescent="0.2">
      <c r="A1481" s="5">
        <v>1420</v>
      </c>
      <c r="B1481" s="1814">
        <f>'Expenditures 15-22'!K238</f>
        <v>502704</v>
      </c>
      <c r="C1481" s="2" t="s">
        <v>569</v>
      </c>
      <c r="D1481" s="2" t="str">
        <f t="shared" si="22"/>
        <v>Error?</v>
      </c>
    </row>
    <row r="1482" spans="1:4" x14ac:dyDescent="0.2">
      <c r="A1482" s="5">
        <v>1421</v>
      </c>
      <c r="B1482" s="1814">
        <f>'Expenditures 15-22'!K240</f>
        <v>9912</v>
      </c>
      <c r="C1482" s="2" t="s">
        <v>569</v>
      </c>
      <c r="D1482" s="2" t="str">
        <f t="shared" si="22"/>
        <v>Error?</v>
      </c>
    </row>
    <row r="1483" spans="1:4" x14ac:dyDescent="0.2">
      <c r="A1483" s="5">
        <v>1422</v>
      </c>
      <c r="B1483" s="1814">
        <f>'Expenditures 15-22'!K241</f>
        <v>12459</v>
      </c>
      <c r="C1483" s="2" t="s">
        <v>569</v>
      </c>
      <c r="D1483" s="2" t="str">
        <f t="shared" si="22"/>
        <v>Error?</v>
      </c>
    </row>
    <row r="1484" spans="1:4" x14ac:dyDescent="0.2">
      <c r="A1484" s="5">
        <v>1423</v>
      </c>
      <c r="B1484" s="1814">
        <f>'Expenditures 15-22'!K242</f>
        <v>0</v>
      </c>
      <c r="C1484" s="2" t="s">
        <v>569</v>
      </c>
      <c r="D1484" s="2" t="str">
        <f t="shared" si="22"/>
        <v>Error?</v>
      </c>
    </row>
    <row r="1485" spans="1:4" x14ac:dyDescent="0.2">
      <c r="A1485" s="5">
        <v>1424</v>
      </c>
      <c r="B1485" s="1814">
        <f>'Expenditures 15-22'!K243</f>
        <v>22371</v>
      </c>
      <c r="C1485" s="2" t="s">
        <v>569</v>
      </c>
      <c r="D1485" s="2" t="str">
        <f t="shared" si="22"/>
        <v>Error?</v>
      </c>
    </row>
    <row r="1486" spans="1:4" x14ac:dyDescent="0.2">
      <c r="A1486" s="5">
        <v>1425</v>
      </c>
      <c r="B1486" s="1814">
        <f>'Expenditures 15-22'!K245</f>
        <v>0</v>
      </c>
      <c r="C1486" s="2" t="s">
        <v>569</v>
      </c>
      <c r="D1486" s="2" t="str">
        <f t="shared" si="22"/>
        <v>Error?</v>
      </c>
    </row>
    <row r="1487" spans="1:4" x14ac:dyDescent="0.2">
      <c r="A1487" s="5">
        <v>1426</v>
      </c>
      <c r="B1487" s="1814">
        <f>'Expenditures 15-22'!K246</f>
        <v>24020</v>
      </c>
      <c r="C1487" s="2" t="s">
        <v>569</v>
      </c>
      <c r="D1487" s="2" t="str">
        <f t="shared" si="22"/>
        <v>Error?</v>
      </c>
    </row>
    <row r="1488" spans="1:4" x14ac:dyDescent="0.2">
      <c r="A1488" s="5">
        <v>1427</v>
      </c>
      <c r="B1488" s="1814">
        <f>'Expenditures 15-22'!K257</f>
        <v>24020</v>
      </c>
      <c r="C1488" s="2" t="s">
        <v>569</v>
      </c>
      <c r="D1488" s="2" t="str">
        <f t="shared" si="22"/>
        <v>Error?</v>
      </c>
    </row>
    <row r="1489" spans="1:4" x14ac:dyDescent="0.2">
      <c r="A1489" s="5">
        <v>1428</v>
      </c>
      <c r="B1489" s="1814">
        <f>'Expenditures 15-22'!K259</f>
        <v>36638</v>
      </c>
      <c r="C1489" s="2" t="s">
        <v>569</v>
      </c>
      <c r="D1489" s="2" t="str">
        <f t="shared" si="22"/>
        <v>Error?</v>
      </c>
    </row>
    <row r="1490" spans="1:4" x14ac:dyDescent="0.2">
      <c r="A1490" s="5">
        <v>1429</v>
      </c>
      <c r="B1490" s="1814">
        <f>'Expenditures 15-22'!K260</f>
        <v>5975</v>
      </c>
      <c r="C1490" s="2" t="s">
        <v>569</v>
      </c>
      <c r="D1490" s="2" t="str">
        <f t="shared" si="22"/>
        <v>Error?</v>
      </c>
    </row>
    <row r="1491" spans="1:4" x14ac:dyDescent="0.2">
      <c r="A1491" s="5">
        <v>1430</v>
      </c>
      <c r="B1491" s="1814">
        <f>'Expenditures 15-22'!K261</f>
        <v>42613</v>
      </c>
      <c r="C1491" s="2" t="s">
        <v>569</v>
      </c>
      <c r="D1491" s="2" t="str">
        <f t="shared" si="22"/>
        <v>Error?</v>
      </c>
    </row>
    <row r="1492" spans="1:4" x14ac:dyDescent="0.2">
      <c r="A1492" s="5">
        <v>1431</v>
      </c>
      <c r="B1492" s="1814">
        <f>'Expenditures 15-22'!K263</f>
        <v>0</v>
      </c>
      <c r="C1492" s="2" t="s">
        <v>569</v>
      </c>
      <c r="D1492" s="2" t="str">
        <f t="shared" si="22"/>
        <v>Error?</v>
      </c>
    </row>
    <row r="1493" spans="1:4" x14ac:dyDescent="0.2">
      <c r="A1493" s="5">
        <v>1432</v>
      </c>
      <c r="B1493" s="1814">
        <f>'Expenditures 15-22'!K264</f>
        <v>36803</v>
      </c>
      <c r="C1493" s="2" t="s">
        <v>569</v>
      </c>
      <c r="D1493" s="2" t="str">
        <f t="shared" si="22"/>
        <v>Error?</v>
      </c>
    </row>
    <row r="1494" spans="1:4" x14ac:dyDescent="0.2">
      <c r="A1494" s="5">
        <v>1433</v>
      </c>
      <c r="B1494" s="1814">
        <f>'Expenditures 15-22'!K265</f>
        <v>0</v>
      </c>
      <c r="C1494" s="2" t="s">
        <v>569</v>
      </c>
      <c r="D1494" s="2" t="str">
        <f t="shared" si="22"/>
        <v>Error?</v>
      </c>
    </row>
    <row r="1495" spans="1:4" x14ac:dyDescent="0.2">
      <c r="A1495" s="5">
        <v>1434</v>
      </c>
      <c r="B1495" s="1814">
        <f>'Expenditures 15-22'!K266</f>
        <v>91902</v>
      </c>
      <c r="C1495" s="2" t="s">
        <v>569</v>
      </c>
      <c r="D1495" s="2" t="str">
        <f t="shared" si="22"/>
        <v>Error?</v>
      </c>
    </row>
    <row r="1496" spans="1:4" x14ac:dyDescent="0.2">
      <c r="A1496" s="5">
        <v>1435</v>
      </c>
      <c r="B1496" s="1814">
        <f>'Expenditures 15-22'!K267</f>
        <v>8254</v>
      </c>
      <c r="C1496" s="2" t="s">
        <v>569</v>
      </c>
      <c r="D1496" s="2" t="str">
        <f t="shared" si="22"/>
        <v>Error?</v>
      </c>
    </row>
    <row r="1497" spans="1:4" x14ac:dyDescent="0.2">
      <c r="A1497" s="5">
        <v>1436</v>
      </c>
      <c r="B1497" s="1814">
        <f>'Expenditures 15-22'!K268</f>
        <v>0</v>
      </c>
      <c r="C1497" s="2" t="s">
        <v>569</v>
      </c>
      <c r="D1497" s="2" t="str">
        <f t="shared" si="22"/>
        <v>Error?</v>
      </c>
    </row>
    <row r="1498" spans="1:4" x14ac:dyDescent="0.2">
      <c r="A1498" s="5">
        <v>1437</v>
      </c>
      <c r="B1498" s="1814">
        <f>'Expenditures 15-22'!K269</f>
        <v>0</v>
      </c>
      <c r="C1498" s="2" t="s">
        <v>569</v>
      </c>
      <c r="D1498" s="2" t="str">
        <f t="shared" si="22"/>
        <v>Error?</v>
      </c>
    </row>
    <row r="1499" spans="1:4" x14ac:dyDescent="0.2">
      <c r="A1499" s="10">
        <v>1438</v>
      </c>
      <c r="B1499" s="1814"/>
      <c r="D1499" s="2" t="str">
        <f t="shared" si="22"/>
        <v>OK</v>
      </c>
    </row>
    <row r="1500" spans="1:4" x14ac:dyDescent="0.2">
      <c r="A1500" s="5">
        <v>1439</v>
      </c>
      <c r="B1500" s="1814">
        <f>'Expenditures 15-22'!K270</f>
        <v>136959</v>
      </c>
      <c r="C1500" s="2" t="s">
        <v>569</v>
      </c>
      <c r="D1500" s="2" t="str">
        <f t="shared" si="22"/>
        <v>Error?</v>
      </c>
    </row>
    <row r="1501" spans="1:4" x14ac:dyDescent="0.2">
      <c r="A1501" s="5">
        <v>1440</v>
      </c>
      <c r="B1501" s="1814">
        <f>'Expenditures 15-22'!K272</f>
        <v>0</v>
      </c>
      <c r="C1501" s="2" t="s">
        <v>569</v>
      </c>
      <c r="D1501" s="2" t="str">
        <f t="shared" si="22"/>
        <v>Error?</v>
      </c>
    </row>
    <row r="1502" spans="1:4" x14ac:dyDescent="0.2">
      <c r="A1502" s="5">
        <v>1441</v>
      </c>
      <c r="B1502" s="1814">
        <f>'Expenditures 15-22'!K273</f>
        <v>0</v>
      </c>
      <c r="C1502" s="2" t="s">
        <v>569</v>
      </c>
      <c r="D1502" s="2" t="str">
        <f t="shared" si="22"/>
        <v>Error?</v>
      </c>
    </row>
    <row r="1503" spans="1:4" x14ac:dyDescent="0.2">
      <c r="A1503" s="5">
        <v>1442</v>
      </c>
      <c r="B1503" s="1814">
        <f>'Expenditures 15-22'!K274</f>
        <v>0</v>
      </c>
      <c r="C1503" s="2" t="s">
        <v>569</v>
      </c>
      <c r="D1503" s="2" t="str">
        <f t="shared" si="22"/>
        <v>Error?</v>
      </c>
    </row>
    <row r="1504" spans="1:4" x14ac:dyDescent="0.2">
      <c r="A1504" s="5">
        <v>1443</v>
      </c>
      <c r="B1504" s="1814">
        <f>'Expenditures 15-22'!K275</f>
        <v>0</v>
      </c>
      <c r="C1504" s="2" t="s">
        <v>569</v>
      </c>
      <c r="D1504" s="2" t="str">
        <f t="shared" si="22"/>
        <v>Error?</v>
      </c>
    </row>
    <row r="1505" spans="1:4" x14ac:dyDescent="0.2">
      <c r="A1505" s="10">
        <v>1444</v>
      </c>
      <c r="B1505" s="1814"/>
      <c r="D1505" s="2" t="str">
        <f t="shared" si="22"/>
        <v>OK</v>
      </c>
    </row>
    <row r="1506" spans="1:4" x14ac:dyDescent="0.2">
      <c r="A1506" s="5">
        <v>1445</v>
      </c>
      <c r="B1506" s="1814">
        <f>'Expenditures 15-22'!K276</f>
        <v>7109</v>
      </c>
      <c r="C1506" s="2" t="s">
        <v>569</v>
      </c>
      <c r="D1506" s="2" t="str">
        <f t="shared" si="22"/>
        <v>Error?</v>
      </c>
    </row>
    <row r="1507" spans="1:4" x14ac:dyDescent="0.2">
      <c r="A1507" s="10">
        <v>1446</v>
      </c>
      <c r="B1507" s="1814"/>
      <c r="D1507" s="2" t="str">
        <f t="shared" si="22"/>
        <v>OK</v>
      </c>
    </row>
    <row r="1508" spans="1:4" x14ac:dyDescent="0.2">
      <c r="A1508" s="5">
        <v>1447</v>
      </c>
      <c r="B1508" s="1814">
        <f>'Expenditures 15-22'!K277</f>
        <v>7109</v>
      </c>
      <c r="C1508" s="2" t="s">
        <v>569</v>
      </c>
      <c r="D1508" s="2" t="str">
        <f t="shared" si="22"/>
        <v>Error?</v>
      </c>
    </row>
    <row r="1509" spans="1:4" x14ac:dyDescent="0.2">
      <c r="A1509" s="5">
        <v>1448</v>
      </c>
      <c r="B1509" s="1814">
        <f>'Expenditures 15-22'!K278</f>
        <v>0</v>
      </c>
      <c r="C1509" s="2" t="s">
        <v>569</v>
      </c>
      <c r="D1509" s="2" t="str">
        <f t="shared" si="22"/>
        <v>Error?</v>
      </c>
    </row>
    <row r="1510" spans="1:4" x14ac:dyDescent="0.2">
      <c r="A1510" s="5">
        <v>1449</v>
      </c>
      <c r="B1510" s="1814">
        <f>'Expenditures 15-22'!K279</f>
        <v>735776</v>
      </c>
      <c r="C1510" s="2" t="s">
        <v>569</v>
      </c>
      <c r="D1510" s="2" t="str">
        <f t="shared" si="22"/>
        <v>Error?</v>
      </c>
    </row>
    <row r="1511" spans="1:4" x14ac:dyDescent="0.2">
      <c r="A1511" s="5">
        <v>1450</v>
      </c>
      <c r="B1511" s="1814">
        <f>'Expenditures 15-22'!K280</f>
        <v>0</v>
      </c>
      <c r="C1511" s="2" t="s">
        <v>569</v>
      </c>
      <c r="D1511" s="2" t="str">
        <f t="shared" si="22"/>
        <v>Error?</v>
      </c>
    </row>
    <row r="1512" spans="1:4" x14ac:dyDescent="0.2">
      <c r="A1512" s="5">
        <v>1451</v>
      </c>
      <c r="B1512" s="1814">
        <f>'Expenditures 15-22'!K288</f>
        <v>0</v>
      </c>
      <c r="C1512" s="2" t="s">
        <v>569</v>
      </c>
      <c r="D1512" s="2" t="str">
        <f t="shared" si="22"/>
        <v>Error?</v>
      </c>
    </row>
    <row r="1513" spans="1:4" x14ac:dyDescent="0.2">
      <c r="A1513" s="5">
        <v>1452</v>
      </c>
      <c r="B1513" s="1814">
        <f>'Expenditures 15-22'!K289</f>
        <v>0</v>
      </c>
      <c r="C1513" s="2" t="s">
        <v>569</v>
      </c>
      <c r="D1513" s="2" t="str">
        <f t="shared" si="22"/>
        <v>Error?</v>
      </c>
    </row>
    <row r="1514" spans="1:4" x14ac:dyDescent="0.2">
      <c r="A1514" s="5">
        <v>1453</v>
      </c>
      <c r="B1514" s="1814">
        <f>'Expenditures 15-22'!K292</f>
        <v>0</v>
      </c>
      <c r="C1514" s="2" t="s">
        <v>569</v>
      </c>
      <c r="D1514" s="2" t="str">
        <f t="shared" si="22"/>
        <v>Error?</v>
      </c>
    </row>
    <row r="1515" spans="1:4" x14ac:dyDescent="0.2">
      <c r="A1515" s="5">
        <v>1454</v>
      </c>
      <c r="B1515" s="1814">
        <f>'Expenditures 15-22'!K293</f>
        <v>0</v>
      </c>
      <c r="C1515" s="2" t="s">
        <v>569</v>
      </c>
      <c r="D1515" s="2" t="str">
        <f t="shared" si="22"/>
        <v>Error?</v>
      </c>
    </row>
    <row r="1516" spans="1:4" x14ac:dyDescent="0.2">
      <c r="A1516" s="10">
        <v>1455</v>
      </c>
      <c r="B1516" s="1814"/>
      <c r="D1516" s="2" t="str">
        <f t="shared" si="22"/>
        <v>OK</v>
      </c>
    </row>
    <row r="1517" spans="1:4" x14ac:dyDescent="0.2">
      <c r="A1517" s="5">
        <v>1456</v>
      </c>
      <c r="B1517" s="1814">
        <f>'Expenditures 15-22'!K295</f>
        <v>1399718</v>
      </c>
      <c r="C1517" s="2" t="s">
        <v>569</v>
      </c>
      <c r="D1517" s="2" t="str">
        <f t="shared" si="22"/>
        <v>Error?</v>
      </c>
    </row>
    <row r="1518" spans="1:4" x14ac:dyDescent="0.2">
      <c r="A1518" s="5">
        <v>1457</v>
      </c>
      <c r="B1518" s="1814">
        <f>'Expenditures 15-22'!K296</f>
        <v>43894</v>
      </c>
      <c r="C1518" s="2" t="s">
        <v>569</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569</v>
      </c>
      <c r="D1523" s="2" t="str">
        <f t="shared" si="22"/>
        <v>Error?</v>
      </c>
    </row>
    <row r="1524" spans="1:4" x14ac:dyDescent="0.2">
      <c r="A1524" s="5">
        <v>1463</v>
      </c>
      <c r="B1524" s="1814">
        <f>'Expenditures 15-22'!C312</f>
        <v>0</v>
      </c>
      <c r="C1524" s="2" t="s">
        <v>569</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569</v>
      </c>
      <c r="D1529" s="2" t="str">
        <f t="shared" si="22"/>
        <v>Error?</v>
      </c>
    </row>
    <row r="1530" spans="1:4" x14ac:dyDescent="0.2">
      <c r="A1530" s="5">
        <v>1469</v>
      </c>
      <c r="B1530" s="1814">
        <f>'Expenditures 15-22'!D312</f>
        <v>0</v>
      </c>
      <c r="C1530" s="2" t="s">
        <v>569</v>
      </c>
      <c r="D1530" s="2" t="str">
        <f t="shared" si="22"/>
        <v>Error?</v>
      </c>
    </row>
    <row r="1531" spans="1:4" x14ac:dyDescent="0.2">
      <c r="A1531" s="5">
        <v>1470</v>
      </c>
      <c r="B1531" s="1814">
        <f>'Expenditures 15-22'!E301</f>
        <v>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0</v>
      </c>
      <c r="C1535" s="2" t="s">
        <v>569</v>
      </c>
      <c r="D1535" s="2" t="str">
        <f t="shared" ref="D1535:D1598" si="23">IF(ISBLANK(B1535),"OK",IF(A1535-B1535=0,"OK","Error?"))</f>
        <v>Error?</v>
      </c>
    </row>
    <row r="1536" spans="1:4" x14ac:dyDescent="0.2">
      <c r="A1536" s="5">
        <v>1475</v>
      </c>
      <c r="B1536" s="1814">
        <f>'Expenditures 15-22'!E312</f>
        <v>0</v>
      </c>
      <c r="C1536" s="2" t="s">
        <v>569</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569</v>
      </c>
      <c r="D1541" s="2" t="str">
        <f t="shared" si="23"/>
        <v>Error?</v>
      </c>
    </row>
    <row r="1542" spans="1:4" x14ac:dyDescent="0.2">
      <c r="A1542" s="5">
        <v>1481</v>
      </c>
      <c r="B1542" s="1814">
        <f>'Expenditures 15-22'!F312</f>
        <v>0</v>
      </c>
      <c r="C1542" s="2" t="s">
        <v>569</v>
      </c>
      <c r="D1542" s="2" t="str">
        <f t="shared" si="23"/>
        <v>Error?</v>
      </c>
    </row>
    <row r="1543" spans="1:4" x14ac:dyDescent="0.2">
      <c r="A1543" s="5">
        <v>1482</v>
      </c>
      <c r="B1543" s="1814">
        <f>'Expenditures 15-22'!G301</f>
        <v>0</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0</v>
      </c>
      <c r="C1547" s="2" t="s">
        <v>569</v>
      </c>
      <c r="D1547" s="2" t="str">
        <f t="shared" si="23"/>
        <v>Error?</v>
      </c>
    </row>
    <row r="1548" spans="1:4" x14ac:dyDescent="0.2">
      <c r="A1548" s="5">
        <v>1487</v>
      </c>
      <c r="B1548" s="1814">
        <f>'Expenditures 15-22'!G312</f>
        <v>0</v>
      </c>
      <c r="C1548" s="2" t="s">
        <v>569</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569</v>
      </c>
      <c r="D1553" s="2" t="str">
        <f t="shared" si="23"/>
        <v>Error?</v>
      </c>
    </row>
    <row r="1554" spans="1:4" x14ac:dyDescent="0.2">
      <c r="A1554" s="5">
        <v>1493</v>
      </c>
      <c r="B1554" s="1814">
        <f>'Expenditures 15-22'!H312</f>
        <v>0</v>
      </c>
      <c r="C1554" s="2" t="s">
        <v>569</v>
      </c>
      <c r="D1554" s="2" t="str">
        <f t="shared" si="23"/>
        <v>Error?</v>
      </c>
    </row>
    <row r="1555" spans="1:4" x14ac:dyDescent="0.2">
      <c r="A1555" s="5">
        <v>1494</v>
      </c>
      <c r="B1555" s="1814">
        <f>'Expenditures 15-22'!K301</f>
        <v>0</v>
      </c>
      <c r="C1555" s="2" t="s">
        <v>569</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569</v>
      </c>
      <c r="D1558" s="2" t="str">
        <f t="shared" si="23"/>
        <v>Error?</v>
      </c>
    </row>
    <row r="1559" spans="1:4" x14ac:dyDescent="0.2">
      <c r="A1559" s="5">
        <v>1498</v>
      </c>
      <c r="B1559" s="1814">
        <f>'Expenditures 15-22'!K303</f>
        <v>0</v>
      </c>
      <c r="C1559" s="2" t="s">
        <v>569</v>
      </c>
      <c r="D1559" s="2" t="str">
        <f t="shared" si="23"/>
        <v>Error?</v>
      </c>
    </row>
    <row r="1560" spans="1:4" x14ac:dyDescent="0.2">
      <c r="A1560" s="5">
        <v>1499</v>
      </c>
      <c r="B1560" s="1814">
        <f>'Expenditures 15-22'!K312</f>
        <v>0</v>
      </c>
      <c r="C1560" s="2" t="s">
        <v>569</v>
      </c>
      <c r="D1560" s="2" t="str">
        <f t="shared" si="23"/>
        <v>Error?</v>
      </c>
    </row>
    <row r="1561" spans="1:4" x14ac:dyDescent="0.2">
      <c r="A1561" s="5">
        <v>1500</v>
      </c>
      <c r="B1561" s="1814">
        <f>'Expenditures 15-22'!K313</f>
        <v>0</v>
      </c>
      <c r="C1561" s="2" t="s">
        <v>569</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569</v>
      </c>
      <c r="D1569" s="2" t="str">
        <f t="shared" si="23"/>
        <v>OK</v>
      </c>
    </row>
    <row r="1570" spans="1:4" x14ac:dyDescent="0.2">
      <c r="A1570" s="10">
        <v>1509</v>
      </c>
      <c r="B1570" s="1814"/>
      <c r="C1570" s="2" t="s">
        <v>569</v>
      </c>
      <c r="D1570" s="2" t="str">
        <f t="shared" si="23"/>
        <v>OK</v>
      </c>
    </row>
    <row r="1571" spans="1:4" x14ac:dyDescent="0.2">
      <c r="A1571" s="10">
        <v>1510</v>
      </c>
      <c r="B1571" s="1814"/>
      <c r="D1571" s="2" t="str">
        <f t="shared" si="23"/>
        <v>OK</v>
      </c>
    </row>
    <row r="1572" spans="1:4" x14ac:dyDescent="0.2">
      <c r="A1572" s="10">
        <v>1511</v>
      </c>
      <c r="B1572" s="1814"/>
      <c r="C1572" s="2" t="s">
        <v>569</v>
      </c>
      <c r="D1572" s="2" t="str">
        <f t="shared" si="23"/>
        <v>OK</v>
      </c>
    </row>
    <row r="1573" spans="1:4" x14ac:dyDescent="0.2">
      <c r="A1573" s="10">
        <v>1512</v>
      </c>
      <c r="B1573" s="1814"/>
      <c r="C1573" s="2" t="s">
        <v>569</v>
      </c>
      <c r="D1573" s="2" t="str">
        <f t="shared" si="23"/>
        <v>OK</v>
      </c>
    </row>
    <row r="1574" spans="1:4" x14ac:dyDescent="0.2">
      <c r="A1574" s="10">
        <v>1513</v>
      </c>
      <c r="B1574" s="1814"/>
      <c r="C1574" s="2" t="s">
        <v>569</v>
      </c>
      <c r="D1574" s="2" t="str">
        <f t="shared" si="23"/>
        <v>OK</v>
      </c>
    </row>
    <row r="1575" spans="1:4" x14ac:dyDescent="0.2">
      <c r="A1575" s="10">
        <v>1514</v>
      </c>
      <c r="B1575" s="1814"/>
      <c r="C1575" s="2" t="s">
        <v>569</v>
      </c>
      <c r="D1575" s="2" t="str">
        <f t="shared" si="23"/>
        <v>OK</v>
      </c>
    </row>
    <row r="1576" spans="1:4" x14ac:dyDescent="0.2">
      <c r="A1576" s="10">
        <v>1515</v>
      </c>
      <c r="B1576" s="1814"/>
      <c r="C1576" s="2" t="s">
        <v>569</v>
      </c>
      <c r="D1576" s="2" t="str">
        <f t="shared" si="23"/>
        <v>OK</v>
      </c>
    </row>
    <row r="1577" spans="1:4" x14ac:dyDescent="0.2">
      <c r="A1577" s="10">
        <v>1516</v>
      </c>
      <c r="B1577" s="1814"/>
      <c r="C1577" s="2" t="s">
        <v>569</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15242812</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13827610</v>
      </c>
      <c r="C1630" s="2" t="s">
        <v>569</v>
      </c>
      <c r="D1630" s="2" t="str">
        <f t="shared" si="24"/>
        <v>Error?</v>
      </c>
    </row>
    <row r="1631" spans="1:4" x14ac:dyDescent="0.2">
      <c r="A1631" s="5">
        <v>1570</v>
      </c>
      <c r="B1631" s="1814">
        <f>'Acct Summary 7-8'!D79</f>
        <v>2621091</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2703692</v>
      </c>
      <c r="C1644" s="2" t="s">
        <v>569</v>
      </c>
      <c r="D1644" s="2" t="str">
        <f t="shared" si="24"/>
        <v>Error?</v>
      </c>
    </row>
    <row r="1645" spans="1:4" x14ac:dyDescent="0.2">
      <c r="A1645" s="5">
        <v>1584</v>
      </c>
      <c r="B1645" s="1814">
        <f>'Acct Summary 7-8'!E79</f>
        <v>172498</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176042</v>
      </c>
      <c r="C1658" s="2" t="s">
        <v>569</v>
      </c>
      <c r="D1658" s="2" t="str">
        <f t="shared" si="24"/>
        <v>Error?</v>
      </c>
    </row>
    <row r="1659" spans="1:4" x14ac:dyDescent="0.2">
      <c r="A1659" s="5">
        <v>1598</v>
      </c>
      <c r="B1659" s="1814">
        <f>'Acct Summary 7-8'!F79</f>
        <v>401238</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582383</v>
      </c>
      <c r="C1672" s="2" t="s">
        <v>569</v>
      </c>
      <c r="D1672" s="2" t="str">
        <f t="shared" si="25"/>
        <v>Error?</v>
      </c>
    </row>
    <row r="1673" spans="1:4" x14ac:dyDescent="0.2">
      <c r="A1673" s="5">
        <v>1612</v>
      </c>
      <c r="B1673" s="1814">
        <f>'Acct Summary 7-8'!G79</f>
        <v>1714752</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1758646</v>
      </c>
      <c r="C1686" s="2" t="s">
        <v>569</v>
      </c>
      <c r="D1686" s="2" t="str">
        <f t="shared" si="25"/>
        <v>Error?</v>
      </c>
    </row>
    <row r="1687" spans="1:4" x14ac:dyDescent="0.2">
      <c r="A1687" s="5">
        <v>1626</v>
      </c>
      <c r="B1687" s="1814">
        <f>'Acct Summary 7-8'!H79</f>
        <v>0</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0</v>
      </c>
      <c r="C1700" s="2" t="s">
        <v>569</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569</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0</v>
      </c>
      <c r="C1744" s="2" t="s">
        <v>569</v>
      </c>
      <c r="D1744" s="2" t="str">
        <f t="shared" si="26"/>
        <v>Error?</v>
      </c>
    </row>
    <row r="1745" spans="1:5" x14ac:dyDescent="0.2">
      <c r="A1745" s="5">
        <v>1684</v>
      </c>
      <c r="B1745" s="1814">
        <f>'Tax Sched 23'!B5</f>
        <v>0</v>
      </c>
      <c r="C1745" s="2" t="s">
        <v>569</v>
      </c>
      <c r="D1745" s="2" t="str">
        <f t="shared" si="26"/>
        <v>Error?</v>
      </c>
    </row>
    <row r="1746" spans="1:5" x14ac:dyDescent="0.2">
      <c r="A1746" s="5">
        <v>1685</v>
      </c>
      <c r="B1746" s="1814">
        <f>'Tax Sched 23'!B6</f>
        <v>0</v>
      </c>
      <c r="C1746" s="2" t="s">
        <v>569</v>
      </c>
      <c r="D1746" s="2" t="str">
        <f t="shared" si="26"/>
        <v>Error?</v>
      </c>
    </row>
    <row r="1747" spans="1:5" x14ac:dyDescent="0.2">
      <c r="A1747" s="5">
        <v>1686</v>
      </c>
      <c r="B1747" s="1814">
        <f>'Tax Sched 23'!B7</f>
        <v>0</v>
      </c>
      <c r="C1747" s="2" t="s">
        <v>569</v>
      </c>
      <c r="D1747" s="2" t="str">
        <f t="shared" si="26"/>
        <v>Error?</v>
      </c>
    </row>
    <row r="1748" spans="1:5" x14ac:dyDescent="0.2">
      <c r="A1748" s="5">
        <v>1687</v>
      </c>
      <c r="B1748" s="1814">
        <f>'Tax Sched 23'!B8</f>
        <v>0</v>
      </c>
      <c r="C1748" s="2" t="s">
        <v>569</v>
      </c>
      <c r="D1748" s="2" t="str">
        <f t="shared" si="26"/>
        <v>Error?</v>
      </c>
    </row>
    <row r="1749" spans="1:5" x14ac:dyDescent="0.2">
      <c r="A1749" s="5">
        <v>1688</v>
      </c>
      <c r="B1749" s="1814">
        <f>'Tax Sched 23'!B10</f>
        <v>0</v>
      </c>
      <c r="C1749" s="2" t="s">
        <v>569</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569</v>
      </c>
      <c r="D1751" s="2" t="str">
        <f t="shared" si="26"/>
        <v>Error?</v>
      </c>
    </row>
    <row r="1752" spans="1:5" x14ac:dyDescent="0.2">
      <c r="A1752" s="5">
        <v>1691</v>
      </c>
      <c r="B1752" s="1814">
        <f>'Tax Sched 23'!B11</f>
        <v>0</v>
      </c>
      <c r="C1752" s="2" t="s">
        <v>569</v>
      </c>
      <c r="D1752" s="2" t="str">
        <f t="shared" si="26"/>
        <v>Error?</v>
      </c>
    </row>
    <row r="1753" spans="1:5" x14ac:dyDescent="0.2">
      <c r="A1753" s="5">
        <v>1692</v>
      </c>
      <c r="B1753" s="1814">
        <f>'Tax Sched 23'!B12</f>
        <v>0</v>
      </c>
      <c r="C1753" s="2" t="s">
        <v>569</v>
      </c>
      <c r="D1753" s="2" t="str">
        <f t="shared" si="26"/>
        <v>Error?</v>
      </c>
    </row>
    <row r="1754" spans="1:5" x14ac:dyDescent="0.2">
      <c r="A1754" s="5">
        <v>1693</v>
      </c>
      <c r="B1754" s="1814">
        <f>'Tax Sched 23'!B14</f>
        <v>0</v>
      </c>
      <c r="C1754" s="2" t="s">
        <v>569</v>
      </c>
      <c r="D1754" s="2" t="str">
        <f t="shared" si="26"/>
        <v>Error?</v>
      </c>
    </row>
    <row r="1755" spans="1:5" x14ac:dyDescent="0.2">
      <c r="A1755" s="10">
        <v>1694</v>
      </c>
      <c r="B1755" s="1814"/>
      <c r="D1755" s="2" t="str">
        <f t="shared" si="26"/>
        <v>OK</v>
      </c>
    </row>
    <row r="1756" spans="1:5" x14ac:dyDescent="0.2">
      <c r="A1756" s="5">
        <v>1695</v>
      </c>
      <c r="B1756" s="1814">
        <f>'Tax Sched 23'!B15</f>
        <v>0</v>
      </c>
      <c r="C1756" s="2" t="s">
        <v>569</v>
      </c>
      <c r="D1756" s="2" t="str">
        <f t="shared" si="26"/>
        <v>Error?</v>
      </c>
    </row>
    <row r="1757" spans="1:5" x14ac:dyDescent="0.2">
      <c r="A1757" s="10">
        <v>1696</v>
      </c>
      <c r="B1757" s="1814"/>
      <c r="C1757" s="2" t="s">
        <v>569</v>
      </c>
      <c r="D1757" s="2" t="str">
        <f t="shared" si="26"/>
        <v>OK</v>
      </c>
    </row>
    <row r="1758" spans="1:5" x14ac:dyDescent="0.2">
      <c r="A1758" s="10">
        <v>1697</v>
      </c>
      <c r="B1758" s="1814"/>
      <c r="C1758" s="2" t="s">
        <v>569</v>
      </c>
      <c r="D1758" s="2" t="str">
        <f t="shared" si="26"/>
        <v>OK</v>
      </c>
    </row>
    <row r="1759" spans="1:5" x14ac:dyDescent="0.2">
      <c r="A1759" s="5">
        <v>1698</v>
      </c>
      <c r="B1759" s="1814">
        <f>'Tax Sched 23'!B19</f>
        <v>0</v>
      </c>
      <c r="C1759" s="2" t="s">
        <v>569</v>
      </c>
      <c r="D1759" s="2" t="str">
        <f t="shared" si="26"/>
        <v>Error?</v>
      </c>
    </row>
    <row r="1760" spans="1:5" x14ac:dyDescent="0.2">
      <c r="A1760" s="5">
        <v>1699</v>
      </c>
      <c r="B1760" s="1814">
        <f>'Tax Sched 23'!D4</f>
        <v>0</v>
      </c>
      <c r="C1760" s="2" t="s">
        <v>569</v>
      </c>
      <c r="D1760" s="2" t="str">
        <f t="shared" si="26"/>
        <v>Error?</v>
      </c>
    </row>
    <row r="1761" spans="1:7" x14ac:dyDescent="0.2">
      <c r="A1761" s="5">
        <v>1700</v>
      </c>
      <c r="B1761" s="1814">
        <f>'Tax Sched 23'!D5</f>
        <v>0</v>
      </c>
      <c r="C1761" s="2" t="s">
        <v>569</v>
      </c>
      <c r="D1761" s="2" t="str">
        <f t="shared" si="26"/>
        <v>Error?</v>
      </c>
    </row>
    <row r="1762" spans="1:7" s="8" customFormat="1" x14ac:dyDescent="0.2">
      <c r="A1762" s="5">
        <v>1701</v>
      </c>
      <c r="B1762" s="1814">
        <f>'Tax Sched 23'!D6</f>
        <v>0</v>
      </c>
      <c r="C1762" s="2" t="s">
        <v>569</v>
      </c>
      <c r="D1762" s="2" t="str">
        <f t="shared" si="26"/>
        <v>Error?</v>
      </c>
      <c r="E1762" s="9"/>
      <c r="G1762"/>
    </row>
    <row r="1763" spans="1:7" x14ac:dyDescent="0.2">
      <c r="A1763" s="5">
        <v>1702</v>
      </c>
      <c r="B1763" s="1814">
        <f>'Tax Sched 23'!D7</f>
        <v>0</v>
      </c>
      <c r="C1763" s="2" t="s">
        <v>569</v>
      </c>
      <c r="D1763" s="2" t="str">
        <f t="shared" si="26"/>
        <v>Error?</v>
      </c>
    </row>
    <row r="1764" spans="1:7" x14ac:dyDescent="0.2">
      <c r="A1764" s="5">
        <v>1703</v>
      </c>
      <c r="B1764" s="1814">
        <f>'Tax Sched 23'!D8</f>
        <v>0</v>
      </c>
      <c r="C1764" s="2" t="s">
        <v>569</v>
      </c>
      <c r="D1764" s="2" t="str">
        <f t="shared" si="26"/>
        <v>Error?</v>
      </c>
    </row>
    <row r="1765" spans="1:7" x14ac:dyDescent="0.2">
      <c r="A1765" s="5">
        <v>1704</v>
      </c>
      <c r="B1765" s="1814">
        <f>'Tax Sched 23'!D10</f>
        <v>0</v>
      </c>
      <c r="C1765" s="2" t="s">
        <v>569</v>
      </c>
      <c r="D1765" s="2" t="str">
        <f t="shared" si="26"/>
        <v>Error?</v>
      </c>
    </row>
    <row r="1766" spans="1:7" x14ac:dyDescent="0.2">
      <c r="A1766" s="10">
        <v>1705</v>
      </c>
      <c r="B1766" s="1814"/>
      <c r="C1766" s="2" t="s">
        <v>569</v>
      </c>
      <c r="D1766" s="2" t="str">
        <f t="shared" si="26"/>
        <v>OK</v>
      </c>
    </row>
    <row r="1767" spans="1:7" x14ac:dyDescent="0.2">
      <c r="A1767" s="5">
        <v>1706</v>
      </c>
      <c r="B1767" s="1814">
        <f>'Tax Sched 23'!D9</f>
        <v>0</v>
      </c>
      <c r="C1767" s="2" t="s">
        <v>569</v>
      </c>
      <c r="D1767" s="2" t="str">
        <f t="shared" si="26"/>
        <v>Error?</v>
      </c>
    </row>
    <row r="1768" spans="1:7" x14ac:dyDescent="0.2">
      <c r="A1768" s="5">
        <v>1707</v>
      </c>
      <c r="B1768" s="1814">
        <f>'Tax Sched 23'!D11</f>
        <v>0</v>
      </c>
      <c r="C1768" s="2" t="s">
        <v>569</v>
      </c>
      <c r="D1768" s="2" t="str">
        <f t="shared" si="26"/>
        <v>Error?</v>
      </c>
    </row>
    <row r="1769" spans="1:7" x14ac:dyDescent="0.2">
      <c r="A1769" s="5">
        <v>1708</v>
      </c>
      <c r="B1769" s="1814">
        <f>'Tax Sched 23'!D12</f>
        <v>0</v>
      </c>
      <c r="C1769" s="2" t="s">
        <v>569</v>
      </c>
      <c r="D1769" s="2" t="str">
        <f t="shared" si="26"/>
        <v>Error?</v>
      </c>
    </row>
    <row r="1770" spans="1:7" x14ac:dyDescent="0.2">
      <c r="A1770" s="5">
        <v>1709</v>
      </c>
      <c r="B1770" s="1814">
        <f>'Tax Sched 23'!D14</f>
        <v>0</v>
      </c>
      <c r="C1770" s="2" t="s">
        <v>569</v>
      </c>
      <c r="D1770" s="2" t="str">
        <f t="shared" si="26"/>
        <v>Error?</v>
      </c>
    </row>
    <row r="1771" spans="1:7" x14ac:dyDescent="0.2">
      <c r="A1771" s="10">
        <v>1710</v>
      </c>
      <c r="B1771" s="1814"/>
      <c r="D1771" s="2" t="str">
        <f t="shared" si="26"/>
        <v>OK</v>
      </c>
    </row>
    <row r="1772" spans="1:7" x14ac:dyDescent="0.2">
      <c r="A1772" s="5">
        <v>1711</v>
      </c>
      <c r="B1772" s="1814">
        <f>'Tax Sched 23'!D15</f>
        <v>0</v>
      </c>
      <c r="C1772" s="2" t="s">
        <v>569</v>
      </c>
      <c r="D1772" s="2" t="str">
        <f t="shared" si="26"/>
        <v>Error?</v>
      </c>
    </row>
    <row r="1773" spans="1:7" x14ac:dyDescent="0.2">
      <c r="A1773" s="10">
        <v>1712</v>
      </c>
      <c r="B1773" s="1814"/>
      <c r="C1773" s="2" t="s">
        <v>569</v>
      </c>
      <c r="D1773" s="2" t="str">
        <f t="shared" si="26"/>
        <v>OK</v>
      </c>
    </row>
    <row r="1774" spans="1:7" x14ac:dyDescent="0.2">
      <c r="A1774" s="10">
        <v>1713</v>
      </c>
      <c r="B1774" s="1814"/>
      <c r="C1774" s="2" t="s">
        <v>569</v>
      </c>
      <c r="D1774" s="2" t="str">
        <f t="shared" si="26"/>
        <v>OK</v>
      </c>
      <c r="G1774" s="8"/>
    </row>
    <row r="1775" spans="1:7" x14ac:dyDescent="0.2">
      <c r="A1775" s="5">
        <v>1714</v>
      </c>
      <c r="B1775" s="1814">
        <f>'Tax Sched 23'!D19</f>
        <v>0</v>
      </c>
      <c r="C1775" s="2" t="s">
        <v>569</v>
      </c>
      <c r="D1775" s="2" t="str">
        <f t="shared" si="26"/>
        <v>Error?</v>
      </c>
    </row>
    <row r="1776" spans="1:7" x14ac:dyDescent="0.2">
      <c r="A1776" s="5">
        <v>1715</v>
      </c>
      <c r="B1776" s="1814">
        <f>'Tax Sched 23'!C4</f>
        <v>0</v>
      </c>
      <c r="D1776" s="2" t="str">
        <f t="shared" si="26"/>
        <v>Error?</v>
      </c>
    </row>
    <row r="1777" spans="1:4" x14ac:dyDescent="0.2">
      <c r="A1777" s="5">
        <v>1716</v>
      </c>
      <c r="B1777" s="1814">
        <f>'Tax Sched 23'!C5</f>
        <v>0</v>
      </c>
      <c r="D1777" s="2" t="str">
        <f t="shared" si="26"/>
        <v>Error?</v>
      </c>
    </row>
    <row r="1778" spans="1:4" x14ac:dyDescent="0.2">
      <c r="A1778" s="5">
        <v>1717</v>
      </c>
      <c r="B1778" s="1814">
        <f>'Tax Sched 23'!C6</f>
        <v>0</v>
      </c>
      <c r="D1778" s="2" t="str">
        <f t="shared" si="26"/>
        <v>Error?</v>
      </c>
    </row>
    <row r="1779" spans="1:4" x14ac:dyDescent="0.2">
      <c r="A1779" s="5">
        <v>1718</v>
      </c>
      <c r="B1779" s="1814">
        <f>'Tax Sched 23'!C7</f>
        <v>0</v>
      </c>
      <c r="D1779" s="2" t="str">
        <f t="shared" si="26"/>
        <v>Error?</v>
      </c>
    </row>
    <row r="1780" spans="1:4" x14ac:dyDescent="0.2">
      <c r="A1780" s="5">
        <v>1719</v>
      </c>
      <c r="B1780" s="1814">
        <f>'Tax Sched 23'!C8</f>
        <v>0</v>
      </c>
      <c r="D1780" s="2" t="str">
        <f t="shared" si="26"/>
        <v>Error?</v>
      </c>
    </row>
    <row r="1781" spans="1:4" x14ac:dyDescent="0.2">
      <c r="A1781" s="5">
        <v>1720</v>
      </c>
      <c r="B1781" s="1814">
        <f>'Tax Sched 23'!C10</f>
        <v>0</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0</v>
      </c>
      <c r="D1784" s="2" t="str">
        <f t="shared" si="26"/>
        <v>Error?</v>
      </c>
    </row>
    <row r="1785" spans="1:4" x14ac:dyDescent="0.2">
      <c r="A1785" s="5">
        <v>1724</v>
      </c>
      <c r="B1785" s="1814">
        <f>'Tax Sched 23'!C12</f>
        <v>0</v>
      </c>
      <c r="D1785" s="2" t="str">
        <f t="shared" si="26"/>
        <v>Error?</v>
      </c>
    </row>
    <row r="1786" spans="1:4" x14ac:dyDescent="0.2">
      <c r="A1786" s="5">
        <v>1725</v>
      </c>
      <c r="B1786" s="1814">
        <f>'Tax Sched 23'!C14</f>
        <v>0</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0</v>
      </c>
      <c r="C1791" s="2" t="s">
        <v>569</v>
      </c>
      <c r="D1791" s="2" t="str">
        <f t="shared" ref="D1791:D1854" si="27">IF(ISBLANK(B1791),"OK",IF(A1791-B1791=0,"OK","Error?"))</f>
        <v>Error?</v>
      </c>
    </row>
    <row r="1792" spans="1:4" x14ac:dyDescent="0.2">
      <c r="A1792" s="5">
        <v>1731</v>
      </c>
      <c r="B1792" s="1814">
        <f>'Tax Sched 23'!F4</f>
        <v>0</v>
      </c>
      <c r="C1792" s="2" t="s">
        <v>569</v>
      </c>
      <c r="D1792" s="2" t="str">
        <f t="shared" si="27"/>
        <v>Error?</v>
      </c>
    </row>
    <row r="1793" spans="1:4" x14ac:dyDescent="0.2">
      <c r="A1793" s="5">
        <v>1732</v>
      </c>
      <c r="B1793" s="1814">
        <f>'Tax Sched 23'!F5</f>
        <v>0</v>
      </c>
      <c r="C1793" s="2" t="s">
        <v>569</v>
      </c>
      <c r="D1793" s="2" t="str">
        <f t="shared" si="27"/>
        <v>Error?</v>
      </c>
    </row>
    <row r="1794" spans="1:4" x14ac:dyDescent="0.2">
      <c r="A1794" s="5">
        <v>1733</v>
      </c>
      <c r="B1794" s="1814">
        <f>'Tax Sched 23'!F6</f>
        <v>0</v>
      </c>
      <c r="C1794" s="2" t="s">
        <v>569</v>
      </c>
      <c r="D1794" s="2" t="str">
        <f t="shared" si="27"/>
        <v>Error?</v>
      </c>
    </row>
    <row r="1795" spans="1:4" x14ac:dyDescent="0.2">
      <c r="A1795" s="5">
        <v>1734</v>
      </c>
      <c r="B1795" s="1814">
        <f>'Tax Sched 23'!F7</f>
        <v>0</v>
      </c>
      <c r="C1795" s="2" t="s">
        <v>569</v>
      </c>
      <c r="D1795" s="2" t="str">
        <f t="shared" si="27"/>
        <v>Error?</v>
      </c>
    </row>
    <row r="1796" spans="1:4" x14ac:dyDescent="0.2">
      <c r="A1796" s="5">
        <v>1735</v>
      </c>
      <c r="B1796" s="1814">
        <f>'Tax Sched 23'!F8</f>
        <v>0</v>
      </c>
      <c r="C1796" s="2" t="s">
        <v>569</v>
      </c>
      <c r="D1796" s="2" t="str">
        <f t="shared" si="27"/>
        <v>Error?</v>
      </c>
    </row>
    <row r="1797" spans="1:4" x14ac:dyDescent="0.2">
      <c r="A1797" s="5">
        <v>1736</v>
      </c>
      <c r="B1797" s="1814">
        <f>'Tax Sched 23'!F10</f>
        <v>0</v>
      </c>
      <c r="C1797" s="2" t="s">
        <v>569</v>
      </c>
      <c r="D1797" s="2" t="str">
        <f t="shared" si="27"/>
        <v>Error?</v>
      </c>
    </row>
    <row r="1798" spans="1:4" x14ac:dyDescent="0.2">
      <c r="A1798" s="10">
        <v>1737</v>
      </c>
      <c r="B1798" s="1814"/>
      <c r="C1798" s="2" t="s">
        <v>569</v>
      </c>
      <c r="D1798" s="2" t="str">
        <f t="shared" si="27"/>
        <v>OK</v>
      </c>
    </row>
    <row r="1799" spans="1:4" x14ac:dyDescent="0.2">
      <c r="A1799" s="5">
        <v>1738</v>
      </c>
      <c r="B1799" s="1814">
        <f>'Tax Sched 23'!F9</f>
        <v>0</v>
      </c>
      <c r="C1799" s="2" t="s">
        <v>569</v>
      </c>
      <c r="D1799" s="2" t="str">
        <f t="shared" si="27"/>
        <v>Error?</v>
      </c>
    </row>
    <row r="1800" spans="1:4" x14ac:dyDescent="0.2">
      <c r="A1800" s="5">
        <v>1739</v>
      </c>
      <c r="B1800" s="1814">
        <f>'Tax Sched 23'!F11</f>
        <v>0</v>
      </c>
      <c r="C1800" s="2" t="s">
        <v>569</v>
      </c>
      <c r="D1800" s="2" t="str">
        <f t="shared" si="27"/>
        <v>Error?</v>
      </c>
    </row>
    <row r="1801" spans="1:4" x14ac:dyDescent="0.2">
      <c r="A1801" s="5">
        <v>1740</v>
      </c>
      <c r="B1801" s="1814">
        <f>'Tax Sched 23'!F12</f>
        <v>0</v>
      </c>
      <c r="C1801" s="2" t="s">
        <v>569</v>
      </c>
      <c r="D1801" s="2" t="str">
        <f t="shared" si="27"/>
        <v>Error?</v>
      </c>
    </row>
    <row r="1802" spans="1:4" x14ac:dyDescent="0.2">
      <c r="A1802" s="5">
        <v>1741</v>
      </c>
      <c r="B1802" s="1814">
        <f>'Tax Sched 23'!F14</f>
        <v>0</v>
      </c>
      <c r="C1802" s="2" t="s">
        <v>569</v>
      </c>
      <c r="D1802" s="2" t="str">
        <f t="shared" si="27"/>
        <v>Error?</v>
      </c>
    </row>
    <row r="1803" spans="1:4" x14ac:dyDescent="0.2">
      <c r="A1803" s="10">
        <v>1742</v>
      </c>
      <c r="B1803" s="1814"/>
      <c r="D1803" s="2" t="str">
        <f t="shared" si="27"/>
        <v>OK</v>
      </c>
    </row>
    <row r="1804" spans="1:4" x14ac:dyDescent="0.2">
      <c r="A1804" s="5">
        <v>1743</v>
      </c>
      <c r="B1804" s="1814">
        <f>'Tax Sched 23'!F15</f>
        <v>0</v>
      </c>
      <c r="C1804" s="2" t="s">
        <v>569</v>
      </c>
      <c r="D1804" s="2" t="str">
        <f t="shared" si="27"/>
        <v>Error?</v>
      </c>
    </row>
    <row r="1805" spans="1:4" x14ac:dyDescent="0.2">
      <c r="A1805" s="10">
        <v>1744</v>
      </c>
      <c r="B1805" s="1814"/>
      <c r="C1805" s="2" t="s">
        <v>569</v>
      </c>
      <c r="D1805" s="2" t="str">
        <f t="shared" si="27"/>
        <v>OK</v>
      </c>
    </row>
    <row r="1806" spans="1:4" x14ac:dyDescent="0.2">
      <c r="A1806" s="10">
        <v>1745</v>
      </c>
      <c r="B1806" s="1814"/>
      <c r="C1806" s="2" t="s">
        <v>569</v>
      </c>
      <c r="D1806" s="2" t="str">
        <f t="shared" si="27"/>
        <v>OK</v>
      </c>
    </row>
    <row r="1807" spans="1:4" x14ac:dyDescent="0.2">
      <c r="A1807" s="12">
        <v>1746</v>
      </c>
      <c r="B1807" s="1814">
        <f>'Tax Sched 23'!F19</f>
        <v>0</v>
      </c>
      <c r="C1807" s="2" t="s">
        <v>569</v>
      </c>
      <c r="D1807" s="2" t="str">
        <f t="shared" si="27"/>
        <v>Error?</v>
      </c>
    </row>
    <row r="1808" spans="1:4" x14ac:dyDescent="0.2">
      <c r="A1808" s="5">
        <v>1747</v>
      </c>
      <c r="B1808" s="1814">
        <f>'Tax Sched 23'!E4</f>
        <v>0</v>
      </c>
      <c r="D1808" s="2" t="str">
        <f t="shared" si="27"/>
        <v>Error?</v>
      </c>
    </row>
    <row r="1809" spans="1:4" x14ac:dyDescent="0.2">
      <c r="A1809" s="5">
        <v>1748</v>
      </c>
      <c r="B1809" s="1814">
        <f>'Tax Sched 23'!E5</f>
        <v>0</v>
      </c>
      <c r="D1809" s="2" t="str">
        <f t="shared" si="27"/>
        <v>Error?</v>
      </c>
    </row>
    <row r="1810" spans="1:4" x14ac:dyDescent="0.2">
      <c r="A1810" s="5">
        <v>1749</v>
      </c>
      <c r="B1810" s="1814">
        <f>'Tax Sched 23'!E6</f>
        <v>0</v>
      </c>
      <c r="D1810" s="2" t="str">
        <f t="shared" si="27"/>
        <v>Error?</v>
      </c>
    </row>
    <row r="1811" spans="1:4" x14ac:dyDescent="0.2">
      <c r="A1811" s="5">
        <v>1750</v>
      </c>
      <c r="B1811" s="1814">
        <f>'Tax Sched 23'!E7</f>
        <v>0</v>
      </c>
      <c r="D1811" s="2" t="str">
        <f t="shared" si="27"/>
        <v>Error?</v>
      </c>
    </row>
    <row r="1812" spans="1:4" x14ac:dyDescent="0.2">
      <c r="A1812" s="5">
        <v>1751</v>
      </c>
      <c r="B1812" s="1814">
        <f>'Tax Sched 23'!E8</f>
        <v>0</v>
      </c>
      <c r="D1812" s="2" t="str">
        <f t="shared" si="27"/>
        <v>Error?</v>
      </c>
    </row>
    <row r="1813" spans="1:4" x14ac:dyDescent="0.2">
      <c r="A1813" s="5">
        <v>1752</v>
      </c>
      <c r="B1813" s="1814">
        <f>'Tax Sched 23'!E10</f>
        <v>0</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0</v>
      </c>
      <c r="D1816" s="2" t="str">
        <f t="shared" si="27"/>
        <v>Error?</v>
      </c>
    </row>
    <row r="1817" spans="1:4" x14ac:dyDescent="0.2">
      <c r="A1817" s="5">
        <v>1756</v>
      </c>
      <c r="B1817" s="1814">
        <f>'Tax Sched 23'!E12</f>
        <v>0</v>
      </c>
      <c r="D1817" s="2" t="str">
        <f t="shared" si="27"/>
        <v>Error?</v>
      </c>
    </row>
    <row r="1818" spans="1:4" x14ac:dyDescent="0.2">
      <c r="A1818" s="5">
        <v>1757</v>
      </c>
      <c r="B1818" s="1814">
        <f>'Tax Sched 23'!E14</f>
        <v>0</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0</v>
      </c>
      <c r="C1823" s="2" t="s">
        <v>569</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569</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569</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569</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569</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569</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569</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569</v>
      </c>
      <c r="D1867" s="2" t="str">
        <f t="shared" si="28"/>
        <v>Error?</v>
      </c>
    </row>
    <row r="1868" spans="1:4" x14ac:dyDescent="0.2">
      <c r="A1868" s="5">
        <v>1807</v>
      </c>
      <c r="B1868" s="1814">
        <f>'Short-Term Long-Term Debt 24'!F7</f>
        <v>0</v>
      </c>
      <c r="C1868" s="2" t="s">
        <v>569</v>
      </c>
      <c r="D1868" s="2" t="str">
        <f t="shared" si="28"/>
        <v>Error?</v>
      </c>
    </row>
    <row r="1869" spans="1:4" x14ac:dyDescent="0.2">
      <c r="A1869" s="5">
        <v>1808</v>
      </c>
      <c r="B1869" s="1814">
        <f>'Short-Term Long-Term Debt 24'!F12</f>
        <v>0</v>
      </c>
      <c r="C1869" s="2" t="s">
        <v>569</v>
      </c>
      <c r="D1869" s="2" t="str">
        <f t="shared" si="28"/>
        <v>Error?</v>
      </c>
    </row>
    <row r="1870" spans="1:4" x14ac:dyDescent="0.2">
      <c r="A1870" s="5">
        <v>1809</v>
      </c>
      <c r="B1870" s="1814">
        <f>'Short-Term Long-Term Debt 24'!F11</f>
        <v>0</v>
      </c>
      <c r="C1870" s="2" t="s">
        <v>569</v>
      </c>
      <c r="D1870" s="2" t="str">
        <f t="shared" si="28"/>
        <v>Error?</v>
      </c>
    </row>
    <row r="1871" spans="1:4" x14ac:dyDescent="0.2">
      <c r="A1871" s="5">
        <v>1810</v>
      </c>
      <c r="B1871" s="1814">
        <f>'Short-Term Long-Term Debt 24'!F8</f>
        <v>0</v>
      </c>
      <c r="C1871" s="2" t="s">
        <v>569</v>
      </c>
      <c r="D1871" s="2" t="str">
        <f t="shared" si="28"/>
        <v>Error?</v>
      </c>
    </row>
    <row r="1872" spans="1:4" x14ac:dyDescent="0.2">
      <c r="A1872" s="5">
        <v>1811</v>
      </c>
      <c r="B1872" s="1814">
        <f>'Short-Term Long-Term Debt 24'!F9</f>
        <v>0</v>
      </c>
      <c r="C1872" s="2" t="s">
        <v>569</v>
      </c>
      <c r="D1872" s="2" t="str">
        <f t="shared" si="28"/>
        <v>Error?</v>
      </c>
    </row>
    <row r="1873" spans="1:4" x14ac:dyDescent="0.2">
      <c r="A1873" s="5">
        <v>1812</v>
      </c>
      <c r="B1873" s="1814">
        <f>'Short-Term Long-Term Debt 24'!F10</f>
        <v>0</v>
      </c>
      <c r="C1873" s="2" t="s">
        <v>569</v>
      </c>
      <c r="D1873" s="2" t="str">
        <f t="shared" si="28"/>
        <v>Error?</v>
      </c>
    </row>
    <row r="1874" spans="1:4" x14ac:dyDescent="0.2">
      <c r="A1874" s="5">
        <v>1813</v>
      </c>
      <c r="B1874" s="1814">
        <f>'Short-Term Long-Term Debt 24'!F14</f>
        <v>0</v>
      </c>
      <c r="C1874" s="2" t="s">
        <v>569</v>
      </c>
      <c r="D1874" s="2" t="str">
        <f t="shared" si="28"/>
        <v>Error?</v>
      </c>
    </row>
    <row r="1875" spans="1:4" x14ac:dyDescent="0.2">
      <c r="A1875" s="5">
        <v>1814</v>
      </c>
      <c r="B1875" s="1814">
        <f>'Short-Term Long-Term Debt 24'!F15</f>
        <v>0</v>
      </c>
      <c r="C1875" s="2" t="s">
        <v>569</v>
      </c>
      <c r="D1875" s="2" t="str">
        <f t="shared" si="28"/>
        <v>Error?</v>
      </c>
    </row>
    <row r="1876" spans="1:4" x14ac:dyDescent="0.2">
      <c r="A1876" s="5">
        <v>1815</v>
      </c>
      <c r="B1876" s="1814">
        <f>'Short-Term Long-Term Debt 24'!F17</f>
        <v>0</v>
      </c>
      <c r="C1876" s="2" t="s">
        <v>569</v>
      </c>
      <c r="D1876" s="2" t="str">
        <f t="shared" si="28"/>
        <v>Error?</v>
      </c>
    </row>
    <row r="1877" spans="1:4" x14ac:dyDescent="0.2">
      <c r="A1877" s="5">
        <v>1816</v>
      </c>
      <c r="B1877" s="1814">
        <f>'Short-Term Long-Term Debt 24'!F18</f>
        <v>0</v>
      </c>
      <c r="C1877" s="2" t="s">
        <v>569</v>
      </c>
      <c r="D1877" s="2" t="str">
        <f t="shared" si="28"/>
        <v>Error?</v>
      </c>
    </row>
    <row r="1878" spans="1:4" x14ac:dyDescent="0.2">
      <c r="A1878" s="5">
        <v>1817</v>
      </c>
      <c r="B1878" s="1814">
        <f>'Short-Term Long-Term Debt 24'!F20</f>
        <v>0</v>
      </c>
      <c r="C1878" s="2" t="s">
        <v>569</v>
      </c>
      <c r="D1878" s="2" t="str">
        <f t="shared" si="28"/>
        <v>Error?</v>
      </c>
    </row>
    <row r="1879" spans="1:4" x14ac:dyDescent="0.2">
      <c r="A1879" s="5">
        <v>1818</v>
      </c>
      <c r="B1879" s="1814">
        <f>'Short-Term Long-Term Debt 24'!F21</f>
        <v>0</v>
      </c>
      <c r="C1879" s="2" t="s">
        <v>569</v>
      </c>
      <c r="D1879" s="2" t="str">
        <f t="shared" si="28"/>
        <v>Error?</v>
      </c>
    </row>
    <row r="1880" spans="1:4" x14ac:dyDescent="0.2">
      <c r="A1880" s="5">
        <v>1819</v>
      </c>
      <c r="B1880" s="1814">
        <f>'Short-Term Long-Term Debt 24'!F23</f>
        <v>0</v>
      </c>
      <c r="C1880" s="2" t="s">
        <v>569</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2775000</v>
      </c>
      <c r="C1939" s="2" t="s">
        <v>569</v>
      </c>
      <c r="D1939" s="2" t="str">
        <f t="shared" si="29"/>
        <v>Error?</v>
      </c>
    </row>
    <row r="1940" spans="1:5" x14ac:dyDescent="0.2">
      <c r="A1940" s="5">
        <v>1879</v>
      </c>
      <c r="B1940" s="1814">
        <f>'Short-Term Long-Term Debt 24'!F49</f>
        <v>0</v>
      </c>
      <c r="C1940" s="2" t="s">
        <v>569</v>
      </c>
      <c r="D1940" s="2" t="str">
        <f t="shared" si="29"/>
        <v>Error?</v>
      </c>
    </row>
    <row r="1941" spans="1:5" x14ac:dyDescent="0.2">
      <c r="A1941" s="10">
        <v>1880</v>
      </c>
      <c r="B1941" s="1814"/>
      <c r="C1941" s="2" t="s">
        <v>569</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569</v>
      </c>
      <c r="D1953" s="2" t="str">
        <f t="shared" si="29"/>
        <v>Error?</v>
      </c>
    </row>
    <row r="1954" spans="1:5" x14ac:dyDescent="0.2">
      <c r="A1954" s="10">
        <v>1893</v>
      </c>
      <c r="B1954" s="1814"/>
      <c r="C1954" s="2" t="s">
        <v>569</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569</v>
      </c>
      <c r="D1957" s="2" t="str">
        <f t="shared" si="29"/>
        <v>Error?</v>
      </c>
    </row>
    <row r="1958" spans="1:5" x14ac:dyDescent="0.2">
      <c r="A1958" s="5">
        <v>1897</v>
      </c>
      <c r="B1958" s="1814">
        <f>'Rest Tax Levies-Tort Im 25'!G24</f>
        <v>0</v>
      </c>
      <c r="C1958" s="2" t="s">
        <v>569</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0</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0</v>
      </c>
      <c r="C1977" s="2" t="s">
        <v>569</v>
      </c>
      <c r="D1977" s="2" t="str">
        <f t="shared" si="29"/>
        <v>Error?</v>
      </c>
    </row>
    <row r="1978" spans="1:5" x14ac:dyDescent="0.2">
      <c r="A1978" s="10">
        <v>1917</v>
      </c>
      <c r="B1978" s="1814"/>
      <c r="C1978" s="2" t="s">
        <v>569</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0</v>
      </c>
      <c r="C1982" s="2" t="s">
        <v>569</v>
      </c>
      <c r="D1982" s="2" t="str">
        <f t="shared" si="29"/>
        <v>Error?</v>
      </c>
    </row>
    <row r="1983" spans="1:5" x14ac:dyDescent="0.2">
      <c r="A1983" s="5">
        <v>1922</v>
      </c>
      <c r="B1983" s="1814">
        <f>'Rest Tax Levies-Tort Im 25'!H24</f>
        <v>0</v>
      </c>
      <c r="C1983" s="2" t="s">
        <v>569</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569</v>
      </c>
      <c r="D1990" s="2" t="str">
        <f t="shared" si="30"/>
        <v>Error?</v>
      </c>
    </row>
    <row r="1991" spans="1:5" x14ac:dyDescent="0.2">
      <c r="A1991" s="10">
        <v>1930</v>
      </c>
      <c r="B1991" s="1814"/>
      <c r="C1991" s="2" t="s">
        <v>569</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569</v>
      </c>
      <c r="D1995" s="2" t="str">
        <f t="shared" si="30"/>
        <v>Error?</v>
      </c>
    </row>
    <row r="1996" spans="1:5" x14ac:dyDescent="0.2">
      <c r="A1996" s="5">
        <v>1935</v>
      </c>
      <c r="B1996" s="1814">
        <f>'Rest Tax Levies-Tort Im 25'!I24</f>
        <v>0</v>
      </c>
      <c r="C1996" s="2" t="s">
        <v>569</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1260625</v>
      </c>
      <c r="D2008" s="2" t="str">
        <f t="shared" si="30"/>
        <v>Error?</v>
      </c>
    </row>
    <row r="2009" spans="1:4" x14ac:dyDescent="0.2">
      <c r="A2009" s="5">
        <v>1948</v>
      </c>
      <c r="B2009" s="1814">
        <f>'Cap Outlay Deprec 26'!C8</f>
        <v>42917715</v>
      </c>
      <c r="D2009" s="2" t="str">
        <f t="shared" si="30"/>
        <v>Error?</v>
      </c>
    </row>
    <row r="2010" spans="1:4" x14ac:dyDescent="0.2">
      <c r="A2010" s="5">
        <v>1949</v>
      </c>
      <c r="B2010" s="1814">
        <f>'Cap Outlay Deprec 26'!C10</f>
        <v>6671607</v>
      </c>
      <c r="D2010" s="2" t="str">
        <f t="shared" si="30"/>
        <v>Error?</v>
      </c>
    </row>
    <row r="2011" spans="1:4" x14ac:dyDescent="0.2">
      <c r="A2011" s="5">
        <v>1950</v>
      </c>
      <c r="B2011" s="1814">
        <f>'Cap Outlay Deprec 26'!C12</f>
        <v>255468</v>
      </c>
      <c r="D2011" s="2" t="str">
        <f t="shared" si="30"/>
        <v>Error?</v>
      </c>
    </row>
    <row r="2012" spans="1:4" x14ac:dyDescent="0.2">
      <c r="A2012" s="5">
        <v>1951</v>
      </c>
      <c r="B2012" s="1814">
        <f>'Cap Outlay Deprec 26'!C13</f>
        <v>3187786</v>
      </c>
      <c r="D2012" s="2" t="str">
        <f t="shared" si="30"/>
        <v>Error?</v>
      </c>
    </row>
    <row r="2013" spans="1:4" x14ac:dyDescent="0.2">
      <c r="A2013" s="5">
        <v>1952</v>
      </c>
      <c r="B2013" s="1814">
        <f>'Cap Outlay Deprec 26'!C16</f>
        <v>54352504</v>
      </c>
      <c r="C2013" s="2" t="s">
        <v>569</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400989</v>
      </c>
      <c r="D2015" s="2" t="str">
        <f t="shared" si="30"/>
        <v>Error?</v>
      </c>
    </row>
    <row r="2016" spans="1:4" x14ac:dyDescent="0.2">
      <c r="A2016" s="5">
        <v>1955</v>
      </c>
      <c r="B2016" s="1814">
        <f>'Cap Outlay Deprec 26'!D10</f>
        <v>0</v>
      </c>
      <c r="D2016" s="2" t="str">
        <f t="shared" si="30"/>
        <v>Error?</v>
      </c>
    </row>
    <row r="2017" spans="1:4" x14ac:dyDescent="0.2">
      <c r="A2017" s="5">
        <v>1956</v>
      </c>
      <c r="B2017" s="1814">
        <f>'Cap Outlay Deprec 26'!D12</f>
        <v>27712</v>
      </c>
      <c r="D2017" s="2" t="str">
        <f t="shared" si="30"/>
        <v>Error?</v>
      </c>
    </row>
    <row r="2018" spans="1:4" x14ac:dyDescent="0.2">
      <c r="A2018" s="5">
        <v>1957</v>
      </c>
      <c r="B2018" s="1814">
        <f>'Cap Outlay Deprec 26'!D13</f>
        <v>173626</v>
      </c>
      <c r="D2018" s="2" t="str">
        <f t="shared" si="30"/>
        <v>Error?</v>
      </c>
    </row>
    <row r="2019" spans="1:4" x14ac:dyDescent="0.2">
      <c r="A2019" s="5">
        <v>1958</v>
      </c>
      <c r="B2019" s="1814">
        <f>'Cap Outlay Deprec 26'!D16</f>
        <v>5044178</v>
      </c>
      <c r="C2019" s="2" t="s">
        <v>569</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33860</v>
      </c>
      <c r="D2022" s="2" t="str">
        <f t="shared" si="30"/>
        <v>Error?</v>
      </c>
    </row>
    <row r="2023" spans="1:4" x14ac:dyDescent="0.2">
      <c r="A2023" s="5">
        <v>1962</v>
      </c>
      <c r="B2023" s="1814">
        <f>'Cap Outlay Deprec 26'!E12</f>
        <v>56303</v>
      </c>
      <c r="D2023" s="2" t="str">
        <f t="shared" si="30"/>
        <v>Error?</v>
      </c>
    </row>
    <row r="2024" spans="1:4" x14ac:dyDescent="0.2">
      <c r="A2024" s="5">
        <v>1963</v>
      </c>
      <c r="B2024" s="1814">
        <f>'Cap Outlay Deprec 26'!E13</f>
        <v>908143</v>
      </c>
      <c r="D2024" s="2" t="str">
        <f t="shared" si="30"/>
        <v>Error?</v>
      </c>
    </row>
    <row r="2025" spans="1:4" x14ac:dyDescent="0.2">
      <c r="A2025" s="5">
        <v>1964</v>
      </c>
      <c r="B2025" s="1814">
        <f>'Cap Outlay Deprec 26'!E16</f>
        <v>1393477</v>
      </c>
      <c r="C2025" s="2" t="s">
        <v>569</v>
      </c>
      <c r="D2025" s="2" t="str">
        <f t="shared" si="30"/>
        <v>Error?</v>
      </c>
    </row>
    <row r="2026" spans="1:4" x14ac:dyDescent="0.2">
      <c r="A2026" s="5">
        <v>1965</v>
      </c>
      <c r="B2026" s="1814">
        <f>'Cap Outlay Deprec 26'!F5</f>
        <v>1260625</v>
      </c>
      <c r="C2026" s="2" t="s">
        <v>569</v>
      </c>
      <c r="D2026" s="2" t="str">
        <f t="shared" si="30"/>
        <v>Error?</v>
      </c>
    </row>
    <row r="2027" spans="1:4" x14ac:dyDescent="0.2">
      <c r="A2027" s="5">
        <v>1966</v>
      </c>
      <c r="B2027" s="1814">
        <f>'Cap Outlay Deprec 26'!F8</f>
        <v>43318704</v>
      </c>
      <c r="C2027" s="2" t="s">
        <v>569</v>
      </c>
      <c r="D2027" s="2" t="str">
        <f t="shared" si="30"/>
        <v>Error?</v>
      </c>
    </row>
    <row r="2028" spans="1:4" x14ac:dyDescent="0.2">
      <c r="A2028" s="5">
        <v>1967</v>
      </c>
      <c r="B2028" s="1814">
        <f>'Cap Outlay Deprec 26'!F10</f>
        <v>6637747</v>
      </c>
      <c r="C2028" s="2" t="s">
        <v>569</v>
      </c>
      <c r="D2028" s="2" t="str">
        <f t="shared" si="30"/>
        <v>Error?</v>
      </c>
    </row>
    <row r="2029" spans="1:4" x14ac:dyDescent="0.2">
      <c r="A2029" s="5">
        <v>1968</v>
      </c>
      <c r="B2029" s="1814">
        <f>'Cap Outlay Deprec 26'!F12</f>
        <v>226877</v>
      </c>
      <c r="C2029" s="2" t="s">
        <v>569</v>
      </c>
      <c r="D2029" s="2" t="str">
        <f t="shared" si="30"/>
        <v>Error?</v>
      </c>
    </row>
    <row r="2030" spans="1:4" x14ac:dyDescent="0.2">
      <c r="A2030" s="5">
        <v>1969</v>
      </c>
      <c r="B2030" s="1814">
        <f>'Cap Outlay Deprec 26'!F13</f>
        <v>2453269</v>
      </c>
      <c r="C2030" s="2" t="s">
        <v>569</v>
      </c>
      <c r="D2030" s="2" t="str">
        <f t="shared" si="30"/>
        <v>Error?</v>
      </c>
    </row>
    <row r="2031" spans="1:4" x14ac:dyDescent="0.2">
      <c r="A2031" s="5">
        <v>1970</v>
      </c>
      <c r="B2031" s="1814">
        <f>'Cap Outlay Deprec 26'!F16</f>
        <v>58003205</v>
      </c>
      <c r="C2031" s="2" t="s">
        <v>569</v>
      </c>
      <c r="D2031" s="2" t="str">
        <f t="shared" si="30"/>
        <v>Error?</v>
      </c>
    </row>
    <row r="2032" spans="1:4" x14ac:dyDescent="0.2">
      <c r="A2032" s="10">
        <v>1971</v>
      </c>
      <c r="B2032" s="1814"/>
      <c r="D2032" s="2" t="str">
        <f t="shared" si="30"/>
        <v>OK</v>
      </c>
    </row>
    <row r="2033" spans="1:4" x14ac:dyDescent="0.2">
      <c r="A2033" s="5">
        <v>1972</v>
      </c>
      <c r="B2033" s="1814">
        <f>'Cap Outlay Deprec 26'!H8</f>
        <v>13939649</v>
      </c>
      <c r="D2033" s="2" t="str">
        <f t="shared" si="30"/>
        <v>Error?</v>
      </c>
    </row>
    <row r="2034" spans="1:4" x14ac:dyDescent="0.2">
      <c r="A2034" s="5">
        <v>1973</v>
      </c>
      <c r="B2034" s="1814">
        <f>'Cap Outlay Deprec 26'!H10</f>
        <v>1412985</v>
      </c>
      <c r="D2034" s="2" t="str">
        <f t="shared" si="30"/>
        <v>Error?</v>
      </c>
    </row>
    <row r="2035" spans="1:4" x14ac:dyDescent="0.2">
      <c r="A2035" s="5">
        <v>1974</v>
      </c>
      <c r="B2035" s="1814">
        <f>'Cap Outlay Deprec 26'!H12</f>
        <v>94789</v>
      </c>
      <c r="D2035" s="2" t="str">
        <f t="shared" si="30"/>
        <v>Error?</v>
      </c>
    </row>
    <row r="2036" spans="1:4" x14ac:dyDescent="0.2">
      <c r="A2036" s="5">
        <v>1975</v>
      </c>
      <c r="B2036" s="1814">
        <f>'Cap Outlay Deprec 26'!H13</f>
        <v>2859134</v>
      </c>
      <c r="D2036" s="2" t="str">
        <f t="shared" si="30"/>
        <v>Error?</v>
      </c>
    </row>
    <row r="2037" spans="1:4" x14ac:dyDescent="0.2">
      <c r="A2037" s="5">
        <v>1976</v>
      </c>
      <c r="B2037" s="1814">
        <f>'Cap Outlay Deprec 26'!H16</f>
        <v>18306557</v>
      </c>
      <c r="C2037" s="2" t="s">
        <v>569</v>
      </c>
      <c r="D2037" s="2" t="str">
        <f t="shared" si="30"/>
        <v>Error?</v>
      </c>
    </row>
    <row r="2038" spans="1:4" x14ac:dyDescent="0.2">
      <c r="A2038" s="10">
        <v>1977</v>
      </c>
      <c r="B2038" s="1814"/>
      <c r="D2038" s="2" t="str">
        <f t="shared" si="30"/>
        <v>OK</v>
      </c>
    </row>
    <row r="2039" spans="1:4" x14ac:dyDescent="0.2">
      <c r="A2039" s="5">
        <v>1978</v>
      </c>
      <c r="B2039" s="1814">
        <f>'Cap Outlay Deprec 26'!I8</f>
        <v>892738</v>
      </c>
      <c r="D2039" s="2" t="str">
        <f t="shared" si="30"/>
        <v>Error?</v>
      </c>
    </row>
    <row r="2040" spans="1:4" x14ac:dyDescent="0.2">
      <c r="A2040" s="5">
        <v>1979</v>
      </c>
      <c r="B2040" s="1814">
        <f>'Cap Outlay Deprec 26'!I10</f>
        <v>313253</v>
      </c>
      <c r="D2040" s="2" t="str">
        <f t="shared" si="30"/>
        <v>Error?</v>
      </c>
    </row>
    <row r="2041" spans="1:4" x14ac:dyDescent="0.2">
      <c r="A2041" s="5">
        <v>1980</v>
      </c>
      <c r="B2041" s="1814">
        <f>'Cap Outlay Deprec 26'!I12</f>
        <v>10355</v>
      </c>
      <c r="D2041" s="2" t="str">
        <f t="shared" si="30"/>
        <v>Error?</v>
      </c>
    </row>
    <row r="2042" spans="1:4" x14ac:dyDescent="0.2">
      <c r="A2042" s="5">
        <v>1981</v>
      </c>
      <c r="B2042" s="1814">
        <f>'Cap Outlay Deprec 26'!I13</f>
        <v>95042</v>
      </c>
      <c r="D2042" s="2" t="str">
        <f t="shared" si="30"/>
        <v>Error?</v>
      </c>
    </row>
    <row r="2043" spans="1:4" x14ac:dyDescent="0.2">
      <c r="A2043" s="5">
        <v>1982</v>
      </c>
      <c r="B2043" s="1814">
        <f>'Cap Outlay Deprec 26'!I16</f>
        <v>1311388</v>
      </c>
      <c r="C2043" s="2" t="s">
        <v>569</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56303</v>
      </c>
      <c r="D2047" s="2" t="str">
        <f t="shared" ref="D2047:D2110" si="31">IF(ISBLANK(B2047),"OK",IF(A2047-B2047=0,"OK","Error?"))</f>
        <v>Error?</v>
      </c>
    </row>
    <row r="2048" spans="1:4" x14ac:dyDescent="0.2">
      <c r="A2048" s="5">
        <v>1987</v>
      </c>
      <c r="B2048" s="1814">
        <f>'Cap Outlay Deprec 26'!J13</f>
        <v>908142</v>
      </c>
      <c r="D2048" s="2" t="str">
        <f t="shared" si="31"/>
        <v>Error?</v>
      </c>
    </row>
    <row r="2049" spans="1:4" x14ac:dyDescent="0.2">
      <c r="A2049" s="5">
        <v>1988</v>
      </c>
      <c r="B2049" s="1814">
        <f>'Cap Outlay Deprec 26'!J16</f>
        <v>964445</v>
      </c>
      <c r="C2049" s="2" t="s">
        <v>569</v>
      </c>
      <c r="D2049" s="2" t="str">
        <f t="shared" si="31"/>
        <v>Error?</v>
      </c>
    </row>
    <row r="2050" spans="1:4" x14ac:dyDescent="0.2">
      <c r="A2050" s="10">
        <v>1989</v>
      </c>
      <c r="B2050" s="1814"/>
      <c r="D2050" s="2" t="str">
        <f t="shared" si="31"/>
        <v>OK</v>
      </c>
    </row>
    <row r="2051" spans="1:4" x14ac:dyDescent="0.2">
      <c r="A2051" s="5">
        <v>1990</v>
      </c>
      <c r="B2051" s="1814">
        <f>'Cap Outlay Deprec 26'!K8</f>
        <v>14832387</v>
      </c>
      <c r="C2051" s="2" t="s">
        <v>569</v>
      </c>
      <c r="D2051" s="2" t="str">
        <f t="shared" si="31"/>
        <v>Error?</v>
      </c>
    </row>
    <row r="2052" spans="1:4" x14ac:dyDescent="0.2">
      <c r="A2052" s="5">
        <v>1991</v>
      </c>
      <c r="B2052" s="1814">
        <f>'Cap Outlay Deprec 26'!K10</f>
        <v>1726238</v>
      </c>
      <c r="C2052" s="2" t="s">
        <v>569</v>
      </c>
      <c r="D2052" s="2" t="str">
        <f t="shared" si="31"/>
        <v>Error?</v>
      </c>
    </row>
    <row r="2053" spans="1:4" x14ac:dyDescent="0.2">
      <c r="A2053" s="5">
        <v>1992</v>
      </c>
      <c r="B2053" s="1814">
        <f>'Cap Outlay Deprec 26'!K12</f>
        <v>48841</v>
      </c>
      <c r="C2053" s="2" t="s">
        <v>569</v>
      </c>
      <c r="D2053" s="2" t="str">
        <f t="shared" si="31"/>
        <v>Error?</v>
      </c>
    </row>
    <row r="2054" spans="1:4" x14ac:dyDescent="0.2">
      <c r="A2054" s="5">
        <v>1993</v>
      </c>
      <c r="B2054" s="1814">
        <f>'Cap Outlay Deprec 26'!K13</f>
        <v>2046034</v>
      </c>
      <c r="C2054" s="2" t="s">
        <v>569</v>
      </c>
      <c r="D2054" s="2" t="str">
        <f t="shared" si="31"/>
        <v>Error?</v>
      </c>
    </row>
    <row r="2055" spans="1:4" x14ac:dyDescent="0.2">
      <c r="A2055" s="5">
        <v>1994</v>
      </c>
      <c r="B2055" s="1814">
        <f>'Cap Outlay Deprec 26'!K16</f>
        <v>18653500</v>
      </c>
      <c r="C2055" s="2" t="s">
        <v>569</v>
      </c>
      <c r="D2055" s="2" t="str">
        <f t="shared" si="31"/>
        <v>Error?</v>
      </c>
    </row>
    <row r="2056" spans="1:4" x14ac:dyDescent="0.2">
      <c r="A2056" s="5">
        <v>1995</v>
      </c>
      <c r="B2056" s="1814">
        <f>'Cap Outlay Deprec 26'!L5</f>
        <v>1260625</v>
      </c>
      <c r="C2056" s="2" t="s">
        <v>569</v>
      </c>
      <c r="D2056" s="2" t="str">
        <f t="shared" si="31"/>
        <v>Error?</v>
      </c>
    </row>
    <row r="2057" spans="1:4" x14ac:dyDescent="0.2">
      <c r="A2057" s="5">
        <v>1996</v>
      </c>
      <c r="B2057" s="1814">
        <f>'Cap Outlay Deprec 26'!L8</f>
        <v>28486317</v>
      </c>
      <c r="C2057" s="2" t="s">
        <v>569</v>
      </c>
      <c r="D2057" s="2" t="str">
        <f t="shared" si="31"/>
        <v>Error?</v>
      </c>
    </row>
    <row r="2058" spans="1:4" x14ac:dyDescent="0.2">
      <c r="A2058" s="5">
        <v>1997</v>
      </c>
      <c r="B2058" s="1814">
        <f>'Cap Outlay Deprec 26'!L10</f>
        <v>4911509</v>
      </c>
      <c r="C2058" s="2" t="s">
        <v>569</v>
      </c>
      <c r="D2058" s="2" t="str">
        <f t="shared" si="31"/>
        <v>Error?</v>
      </c>
    </row>
    <row r="2059" spans="1:4" x14ac:dyDescent="0.2">
      <c r="A2059" s="5">
        <v>1998</v>
      </c>
      <c r="B2059" s="1814">
        <f>'Cap Outlay Deprec 26'!L12</f>
        <v>178036</v>
      </c>
      <c r="C2059" s="2" t="s">
        <v>569</v>
      </c>
      <c r="D2059" s="2" t="str">
        <f t="shared" si="31"/>
        <v>Error?</v>
      </c>
    </row>
    <row r="2060" spans="1:4" x14ac:dyDescent="0.2">
      <c r="A2060" s="5">
        <v>1999</v>
      </c>
      <c r="B2060" s="1814">
        <f>'Cap Outlay Deprec 26'!L13</f>
        <v>407235</v>
      </c>
      <c r="C2060" s="2" t="s">
        <v>569</v>
      </c>
      <c r="D2060" s="2" t="str">
        <f t="shared" si="31"/>
        <v>Error?</v>
      </c>
    </row>
    <row r="2061" spans="1:4" x14ac:dyDescent="0.2">
      <c r="A2061" s="5">
        <v>2000</v>
      </c>
      <c r="B2061" s="1814">
        <f>'Cap Outlay Deprec 26'!L16</f>
        <v>39349705</v>
      </c>
      <c r="C2061" s="2" t="s">
        <v>569</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569</v>
      </c>
      <c r="D2077" s="2" t="str">
        <f t="shared" si="31"/>
        <v>OK</v>
      </c>
    </row>
    <row r="2078" spans="1:4" x14ac:dyDescent="0.2">
      <c r="A2078" s="10">
        <v>2017</v>
      </c>
      <c r="B2078" s="1814"/>
      <c r="C2078" s="2" t="s">
        <v>569</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10619525</v>
      </c>
      <c r="C2081" s="2" t="s">
        <v>569</v>
      </c>
      <c r="D2081" s="2" t="str">
        <f t="shared" si="31"/>
        <v>Error?</v>
      </c>
    </row>
    <row r="2082" spans="1:4" x14ac:dyDescent="0.2">
      <c r="A2082" s="10">
        <v>2021</v>
      </c>
      <c r="B2082" s="1814"/>
      <c r="C2082" s="2" t="s">
        <v>569</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569</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10788584</v>
      </c>
      <c r="C2088" s="2" t="s">
        <v>569</v>
      </c>
      <c r="D2088" s="2" t="str">
        <f t="shared" si="31"/>
        <v>Error?</v>
      </c>
    </row>
    <row r="2089" spans="1:4" x14ac:dyDescent="0.2">
      <c r="A2089" s="5">
        <v>2028</v>
      </c>
      <c r="B2089" s="1814">
        <f>'Expenditures 15-22'!K92</f>
        <v>0</v>
      </c>
      <c r="C2089" s="2" t="s">
        <v>569</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569</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569</v>
      </c>
      <c r="D2093" s="2" t="str">
        <f t="shared" si="31"/>
        <v>Error?</v>
      </c>
    </row>
    <row r="2094" spans="1:4" x14ac:dyDescent="0.2">
      <c r="A2094" s="5">
        <v>2033</v>
      </c>
      <c r="B2094" s="1814">
        <f>'Expenditures 15-22'!K138</f>
        <v>0</v>
      </c>
      <c r="C2094" s="2" t="s">
        <v>569</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569</v>
      </c>
      <c r="D2099" s="2" t="str">
        <f t="shared" si="31"/>
        <v>OK</v>
      </c>
    </row>
    <row r="2100" spans="1:4" x14ac:dyDescent="0.2">
      <c r="A2100" s="10">
        <v>2039</v>
      </c>
      <c r="B2100" s="1814"/>
      <c r="D2100" s="2" t="str">
        <f t="shared" si="31"/>
        <v>OK</v>
      </c>
    </row>
    <row r="2101" spans="1:4" x14ac:dyDescent="0.2">
      <c r="A2101" s="10">
        <v>2040</v>
      </c>
      <c r="B2101" s="1814"/>
      <c r="C2101" s="2" t="s">
        <v>569</v>
      </c>
      <c r="D2101" s="2" t="str">
        <f t="shared" si="31"/>
        <v>OK</v>
      </c>
    </row>
    <row r="2102" spans="1:4" x14ac:dyDescent="0.2">
      <c r="A2102" s="5">
        <v>2041</v>
      </c>
      <c r="B2102" s="1814">
        <f>'Expenditures 15-22'!K310</f>
        <v>0</v>
      </c>
      <c r="C2102" s="2" t="s">
        <v>569</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0</v>
      </c>
      <c r="C2105" s="2" t="s">
        <v>569</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569</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992679</v>
      </c>
      <c r="D2435" s="2" t="str">
        <f t="shared" si="37"/>
        <v>Error?</v>
      </c>
    </row>
    <row r="2436" spans="1:4" x14ac:dyDescent="0.2">
      <c r="A2436" s="10">
        <v>2375</v>
      </c>
      <c r="B2436" s="1814"/>
      <c r="D2436" s="2" t="str">
        <f t="shared" si="37"/>
        <v>OK</v>
      </c>
    </row>
    <row r="2437" spans="1:4" x14ac:dyDescent="0.2">
      <c r="A2437" s="5">
        <v>2376</v>
      </c>
      <c r="B2437" s="1814">
        <f>'Assets-Liab 5-6'!D38</f>
        <v>50000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37708551</v>
      </c>
      <c r="C2551" s="2" t="s">
        <v>569</v>
      </c>
      <c r="D2551" s="2" t="str">
        <f t="shared" si="38"/>
        <v>Error?</v>
      </c>
    </row>
    <row r="2552" spans="1:4" x14ac:dyDescent="0.2">
      <c r="A2552" s="10">
        <v>2491</v>
      </c>
      <c r="B2552" s="1814"/>
      <c r="D2552" s="2" t="str">
        <f t="shared" si="38"/>
        <v>OK</v>
      </c>
    </row>
    <row r="2553" spans="1:4" x14ac:dyDescent="0.2">
      <c r="A2553" s="5">
        <v>2492</v>
      </c>
      <c r="B2553" s="1814">
        <f>'Acct Summary 7-8'!C6</f>
        <v>4155857</v>
      </c>
      <c r="C2553" s="2" t="s">
        <v>569</v>
      </c>
      <c r="D2553" s="2" t="str">
        <f t="shared" si="38"/>
        <v>Error?</v>
      </c>
    </row>
    <row r="2554" spans="1:4" x14ac:dyDescent="0.2">
      <c r="A2554" s="5">
        <v>2493</v>
      </c>
      <c r="B2554" s="1814">
        <f>'Acct Summary 7-8'!C7</f>
        <v>8409223</v>
      </c>
      <c r="C2554" s="2" t="s">
        <v>569</v>
      </c>
      <c r="D2554" s="2" t="str">
        <f t="shared" si="38"/>
        <v>Error?</v>
      </c>
    </row>
    <row r="2555" spans="1:4" x14ac:dyDescent="0.2">
      <c r="A2555" s="5">
        <v>2494</v>
      </c>
      <c r="B2555" s="1814">
        <f>'Acct Summary 7-8'!C8</f>
        <v>60914784</v>
      </c>
      <c r="C2555" s="2" t="s">
        <v>569</v>
      </c>
      <c r="D2555" s="2" t="str">
        <f t="shared" si="38"/>
        <v>Error?</v>
      </c>
    </row>
    <row r="2556" spans="1:4" x14ac:dyDescent="0.2">
      <c r="A2556" s="5">
        <v>2495</v>
      </c>
      <c r="B2556" s="1814">
        <f>'Acct Summary 7-8'!C12</f>
        <v>26665301</v>
      </c>
      <c r="C2556" s="2" t="s">
        <v>569</v>
      </c>
      <c r="D2556" s="2" t="str">
        <f t="shared" si="38"/>
        <v>Error?</v>
      </c>
    </row>
    <row r="2557" spans="1:4" x14ac:dyDescent="0.2">
      <c r="A2557" s="5">
        <v>2496</v>
      </c>
      <c r="B2557" s="1814">
        <f>'Acct Summary 7-8'!C13</f>
        <v>20425650</v>
      </c>
      <c r="C2557" s="2" t="s">
        <v>569</v>
      </c>
      <c r="D2557" s="2" t="str">
        <f t="shared" si="38"/>
        <v>Error?</v>
      </c>
    </row>
    <row r="2558" spans="1:4" x14ac:dyDescent="0.2">
      <c r="A2558" s="5">
        <v>2497</v>
      </c>
      <c r="B2558" s="1814">
        <f>'Acct Summary 7-8'!C14</f>
        <v>451</v>
      </c>
      <c r="C2558" s="2" t="s">
        <v>569</v>
      </c>
      <c r="D2558" s="2" t="str">
        <f t="shared" si="38"/>
        <v>Error?</v>
      </c>
    </row>
    <row r="2559" spans="1:4" x14ac:dyDescent="0.2">
      <c r="A2559" s="5">
        <v>2498</v>
      </c>
      <c r="B2559" s="1814">
        <f>'Acct Summary 7-8'!C15</f>
        <v>10788584</v>
      </c>
      <c r="C2559" s="2" t="s">
        <v>569</v>
      </c>
      <c r="D2559" s="2" t="str">
        <f t="shared" ref="D2559:D2622" si="39">IF(ISBLANK(B2559),"OK",IF(A2559-B2559=0,"OK","Error?"))</f>
        <v>Error?</v>
      </c>
    </row>
    <row r="2560" spans="1:4" x14ac:dyDescent="0.2">
      <c r="A2560" s="5">
        <v>2499</v>
      </c>
      <c r="B2560" s="1814">
        <f>'Acct Summary 7-8'!C16</f>
        <v>0</v>
      </c>
      <c r="C2560" s="2" t="s">
        <v>569</v>
      </c>
      <c r="D2560" s="2" t="str">
        <f t="shared" si="39"/>
        <v>Error?</v>
      </c>
    </row>
    <row r="2561" spans="1:4" x14ac:dyDescent="0.2">
      <c r="A2561" s="5">
        <v>2500</v>
      </c>
      <c r="B2561" s="1814">
        <f>'Acct Summary 7-8'!C17</f>
        <v>57879986</v>
      </c>
      <c r="C2561" s="2" t="s">
        <v>569</v>
      </c>
      <c r="D2561" s="2" t="str">
        <f t="shared" si="39"/>
        <v>Error?</v>
      </c>
    </row>
    <row r="2562" spans="1:4" x14ac:dyDescent="0.2">
      <c r="A2562" s="5">
        <v>2501</v>
      </c>
      <c r="B2562" s="1814">
        <f>'Acct Summary 7-8'!C20</f>
        <v>3034798</v>
      </c>
      <c r="C2562" s="2" t="s">
        <v>569</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2859520</v>
      </c>
      <c r="C2564" s="2" t="s">
        <v>569</v>
      </c>
      <c r="D2564" s="2" t="str">
        <f t="shared" si="39"/>
        <v>Error?</v>
      </c>
    </row>
    <row r="2565" spans="1:4" x14ac:dyDescent="0.2">
      <c r="A2565" s="10">
        <v>2504</v>
      </c>
      <c r="B2565" s="1814"/>
      <c r="D2565" s="2" t="str">
        <f t="shared" si="39"/>
        <v>OK</v>
      </c>
    </row>
    <row r="2566" spans="1:4" x14ac:dyDescent="0.2">
      <c r="A2566" s="5">
        <v>2505</v>
      </c>
      <c r="B2566" s="1814">
        <f>'Acct Summary 7-8'!D6</f>
        <v>50000</v>
      </c>
      <c r="C2566" s="2" t="s">
        <v>569</v>
      </c>
      <c r="D2566" s="2" t="str">
        <f t="shared" si="39"/>
        <v>Error?</v>
      </c>
    </row>
    <row r="2567" spans="1:4" x14ac:dyDescent="0.2">
      <c r="A2567" s="5">
        <v>2506</v>
      </c>
      <c r="B2567" s="1814">
        <f>'Acct Summary 7-8'!D7</f>
        <v>0</v>
      </c>
      <c r="C2567" s="2" t="s">
        <v>569</v>
      </c>
      <c r="D2567" s="2" t="str">
        <f t="shared" si="39"/>
        <v>Error?</v>
      </c>
    </row>
    <row r="2568" spans="1:4" x14ac:dyDescent="0.2">
      <c r="A2568" s="5">
        <v>2507</v>
      </c>
      <c r="B2568" s="1814">
        <f>'Acct Summary 7-8'!D8</f>
        <v>2909520</v>
      </c>
      <c r="C2568" s="2" t="s">
        <v>569</v>
      </c>
      <c r="D2568" s="2" t="str">
        <f t="shared" si="39"/>
        <v>Error?</v>
      </c>
    </row>
    <row r="2569" spans="1:4" x14ac:dyDescent="0.2">
      <c r="A2569" s="5">
        <v>2508</v>
      </c>
      <c r="B2569" s="1814">
        <f>'Acct Summary 7-8'!D13</f>
        <v>6826919</v>
      </c>
      <c r="C2569" s="2" t="s">
        <v>569</v>
      </c>
      <c r="D2569" s="2" t="str">
        <f t="shared" si="39"/>
        <v>Error?</v>
      </c>
    </row>
    <row r="2570" spans="1:4" x14ac:dyDescent="0.2">
      <c r="A2570" s="5">
        <v>2509</v>
      </c>
      <c r="B2570" s="1814">
        <f>'Acct Summary 7-8'!D14</f>
        <v>0</v>
      </c>
      <c r="C2570" s="2" t="s">
        <v>569</v>
      </c>
      <c r="D2570" s="2" t="str">
        <f t="shared" si="39"/>
        <v>Error?</v>
      </c>
    </row>
    <row r="2571" spans="1:4" x14ac:dyDescent="0.2">
      <c r="A2571" s="5">
        <v>2510</v>
      </c>
      <c r="B2571" s="1814">
        <f>'Acct Summary 7-8'!D15</f>
        <v>0</v>
      </c>
      <c r="C2571" s="2" t="s">
        <v>569</v>
      </c>
      <c r="D2571" s="2" t="str">
        <f t="shared" si="39"/>
        <v>Error?</v>
      </c>
    </row>
    <row r="2572" spans="1:4" x14ac:dyDescent="0.2">
      <c r="A2572" s="5">
        <v>2511</v>
      </c>
      <c r="B2572" s="1814">
        <f>'Acct Summary 7-8'!D16</f>
        <v>0</v>
      </c>
      <c r="C2572" s="2" t="s">
        <v>569</v>
      </c>
      <c r="D2572" s="2" t="str">
        <f t="shared" si="39"/>
        <v>Error?</v>
      </c>
    </row>
    <row r="2573" spans="1:4" x14ac:dyDescent="0.2">
      <c r="A2573" s="5">
        <v>2512</v>
      </c>
      <c r="B2573" s="1814">
        <f>'Acct Summary 7-8'!D17</f>
        <v>6826919</v>
      </c>
      <c r="C2573" s="2" t="s">
        <v>569</v>
      </c>
      <c r="D2573" s="2" t="str">
        <f t="shared" si="39"/>
        <v>Error?</v>
      </c>
    </row>
    <row r="2574" spans="1:4" x14ac:dyDescent="0.2">
      <c r="A2574" s="5">
        <v>2513</v>
      </c>
      <c r="B2574" s="1814">
        <f>'Acct Summary 7-8'!D20</f>
        <v>-3917399</v>
      </c>
      <c r="C2574" s="2" t="s">
        <v>569</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2974</v>
      </c>
      <c r="C2591" s="2" t="s">
        <v>569</v>
      </c>
      <c r="D2591" s="2" t="str">
        <f t="shared" si="39"/>
        <v>Error?</v>
      </c>
    </row>
    <row r="2592" spans="1:4" x14ac:dyDescent="0.2">
      <c r="A2592" s="10">
        <v>2531</v>
      </c>
      <c r="B2592" s="1814"/>
      <c r="D2592" s="2" t="str">
        <f t="shared" si="39"/>
        <v>OK</v>
      </c>
    </row>
    <row r="2593" spans="1:4" x14ac:dyDescent="0.2">
      <c r="A2593" s="5">
        <v>2532</v>
      </c>
      <c r="B2593" s="1814">
        <f>'Acct Summary 7-8'!F6</f>
        <v>785311</v>
      </c>
      <c r="C2593" s="2" t="s">
        <v>569</v>
      </c>
      <c r="D2593" s="2" t="str">
        <f t="shared" si="39"/>
        <v>Error?</v>
      </c>
    </row>
    <row r="2594" spans="1:4" x14ac:dyDescent="0.2">
      <c r="A2594" s="5">
        <v>2533</v>
      </c>
      <c r="B2594" s="1814">
        <f>'Acct Summary 7-8'!F7</f>
        <v>0</v>
      </c>
      <c r="C2594" s="2" t="s">
        <v>569</v>
      </c>
      <c r="D2594" s="2" t="str">
        <f t="shared" si="39"/>
        <v>Error?</v>
      </c>
    </row>
    <row r="2595" spans="1:4" x14ac:dyDescent="0.2">
      <c r="A2595" s="5">
        <v>2534</v>
      </c>
      <c r="B2595" s="1814">
        <f>'Acct Summary 7-8'!F8</f>
        <v>788285</v>
      </c>
      <c r="C2595" s="2" t="s">
        <v>569</v>
      </c>
      <c r="D2595" s="2" t="str">
        <f t="shared" si="39"/>
        <v>Error?</v>
      </c>
    </row>
    <row r="2596" spans="1:4" x14ac:dyDescent="0.2">
      <c r="A2596" s="5">
        <v>2535</v>
      </c>
      <c r="B2596" s="1814">
        <f>'Acct Summary 7-8'!F13</f>
        <v>1057140</v>
      </c>
      <c r="C2596" s="2" t="s">
        <v>569</v>
      </c>
      <c r="D2596" s="2" t="str">
        <f t="shared" si="39"/>
        <v>Error?</v>
      </c>
    </row>
    <row r="2597" spans="1:4" x14ac:dyDescent="0.2">
      <c r="A2597" s="5">
        <v>2536</v>
      </c>
      <c r="B2597" s="1814">
        <f>'Acct Summary 7-8'!F14</f>
        <v>0</v>
      </c>
      <c r="C2597" s="2" t="s">
        <v>569</v>
      </c>
      <c r="D2597" s="2" t="str">
        <f t="shared" si="39"/>
        <v>Error?</v>
      </c>
    </row>
    <row r="2598" spans="1:4" x14ac:dyDescent="0.2">
      <c r="A2598" s="5">
        <v>2537</v>
      </c>
      <c r="B2598" s="1814">
        <f>'Acct Summary 7-8'!F15</f>
        <v>0</v>
      </c>
      <c r="C2598" s="2" t="s">
        <v>569</v>
      </c>
      <c r="D2598" s="2" t="str">
        <f t="shared" si="39"/>
        <v>Error?</v>
      </c>
    </row>
    <row r="2599" spans="1:4" x14ac:dyDescent="0.2">
      <c r="A2599" s="5">
        <v>2538</v>
      </c>
      <c r="B2599" s="1814">
        <f>'Acct Summary 7-8'!F16</f>
        <v>0</v>
      </c>
      <c r="C2599" s="2" t="s">
        <v>569</v>
      </c>
      <c r="D2599" s="2" t="str">
        <f t="shared" si="39"/>
        <v>Error?</v>
      </c>
    </row>
    <row r="2600" spans="1:4" x14ac:dyDescent="0.2">
      <c r="A2600" s="5">
        <v>2539</v>
      </c>
      <c r="B2600" s="1814">
        <f>'Acct Summary 7-8'!F17</f>
        <v>1057140</v>
      </c>
      <c r="C2600" s="2" t="s">
        <v>569</v>
      </c>
      <c r="D2600" s="2" t="str">
        <f t="shared" si="39"/>
        <v>Error?</v>
      </c>
    </row>
    <row r="2601" spans="1:4" x14ac:dyDescent="0.2">
      <c r="A2601" s="5">
        <v>2540</v>
      </c>
      <c r="B2601" s="1814">
        <f>'Acct Summary 7-8'!F20</f>
        <v>-268855</v>
      </c>
      <c r="C2601" s="2" t="s">
        <v>569</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1443612</v>
      </c>
      <c r="C2603" s="2" t="s">
        <v>569</v>
      </c>
      <c r="D2603" s="2" t="str">
        <f t="shared" si="39"/>
        <v>Error?</v>
      </c>
    </row>
    <row r="2604" spans="1:4" x14ac:dyDescent="0.2">
      <c r="A2604" s="5">
        <v>2543</v>
      </c>
      <c r="B2604" s="1814">
        <f>'Acct Summary 7-8'!G6</f>
        <v>0</v>
      </c>
      <c r="C2604" s="2" t="s">
        <v>569</v>
      </c>
      <c r="D2604" s="2" t="str">
        <f t="shared" si="39"/>
        <v>Error?</v>
      </c>
    </row>
    <row r="2605" spans="1:4" x14ac:dyDescent="0.2">
      <c r="A2605" s="5">
        <v>2544</v>
      </c>
      <c r="B2605" s="1814">
        <f>'Acct Summary 7-8'!G7</f>
        <v>0</v>
      </c>
      <c r="C2605" s="2" t="s">
        <v>569</v>
      </c>
      <c r="D2605" s="2" t="str">
        <f t="shared" si="39"/>
        <v>Error?</v>
      </c>
    </row>
    <row r="2606" spans="1:4" x14ac:dyDescent="0.2">
      <c r="A2606" s="5">
        <v>2545</v>
      </c>
      <c r="B2606" s="1814">
        <f>'Acct Summary 7-8'!G8</f>
        <v>1443612</v>
      </c>
      <c r="C2606" s="2" t="s">
        <v>569</v>
      </c>
      <c r="D2606" s="2" t="str">
        <f t="shared" si="39"/>
        <v>Error?</v>
      </c>
    </row>
    <row r="2607" spans="1:4" x14ac:dyDescent="0.2">
      <c r="A2607" s="5">
        <v>2546</v>
      </c>
      <c r="B2607" s="1814">
        <f>'Acct Summary 7-8'!G12</f>
        <v>663942</v>
      </c>
      <c r="C2607" s="2" t="s">
        <v>569</v>
      </c>
      <c r="D2607" s="2" t="str">
        <f t="shared" si="39"/>
        <v>Error?</v>
      </c>
    </row>
    <row r="2608" spans="1:4" x14ac:dyDescent="0.2">
      <c r="A2608" s="5">
        <v>2547</v>
      </c>
      <c r="B2608" s="1814">
        <f>'Acct Summary 7-8'!G13</f>
        <v>735776</v>
      </c>
      <c r="C2608" s="2" t="s">
        <v>569</v>
      </c>
      <c r="D2608" s="2" t="str">
        <f t="shared" si="39"/>
        <v>Error?</v>
      </c>
    </row>
    <row r="2609" spans="1:4" x14ac:dyDescent="0.2">
      <c r="A2609" s="5">
        <v>2548</v>
      </c>
      <c r="B2609" s="1814">
        <f>'Acct Summary 7-8'!G14</f>
        <v>0</v>
      </c>
      <c r="C2609" s="2" t="s">
        <v>569</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569</v>
      </c>
      <c r="D2611" s="2" t="str">
        <f t="shared" si="39"/>
        <v>Error?</v>
      </c>
    </row>
    <row r="2612" spans="1:4" x14ac:dyDescent="0.2">
      <c r="A2612" s="5">
        <v>2551</v>
      </c>
      <c r="B2612" s="1814">
        <f>'Acct Summary 7-8'!G17</f>
        <v>1399718</v>
      </c>
      <c r="C2612" s="2" t="s">
        <v>569</v>
      </c>
      <c r="D2612" s="2" t="str">
        <f t="shared" si="39"/>
        <v>Error?</v>
      </c>
    </row>
    <row r="2613" spans="1:4" x14ac:dyDescent="0.2">
      <c r="A2613" s="5">
        <v>2552</v>
      </c>
      <c r="B2613" s="1814">
        <f>'Acct Summary 7-8'!G20</f>
        <v>43894</v>
      </c>
      <c r="C2613" s="2" t="s">
        <v>569</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470794</v>
      </c>
      <c r="C2630" s="2" t="s">
        <v>569</v>
      </c>
      <c r="D2630" s="2" t="str">
        <f t="shared" si="40"/>
        <v>Error?</v>
      </c>
    </row>
    <row r="2631" spans="1:4" x14ac:dyDescent="0.2">
      <c r="A2631" s="5">
        <v>2570</v>
      </c>
      <c r="B2631" s="1814">
        <f>'Acct Summary 7-8'!E6</f>
        <v>0</v>
      </c>
      <c r="C2631" s="2" t="s">
        <v>569</v>
      </c>
      <c r="D2631" s="2" t="str">
        <f t="shared" si="40"/>
        <v>Error?</v>
      </c>
    </row>
    <row r="2632" spans="1:4" x14ac:dyDescent="0.2">
      <c r="A2632" s="5">
        <v>2571</v>
      </c>
      <c r="B2632" s="1814">
        <f>'Acct Summary 7-8'!E8</f>
        <v>470794</v>
      </c>
      <c r="C2632" s="2" t="s">
        <v>569</v>
      </c>
      <c r="D2632" s="2" t="str">
        <f t="shared" si="40"/>
        <v>Error?</v>
      </c>
    </row>
    <row r="2633" spans="1:4" x14ac:dyDescent="0.2">
      <c r="A2633" s="5">
        <v>2572</v>
      </c>
      <c r="B2633" s="1814">
        <f>'Acct Summary 7-8'!E15</f>
        <v>0</v>
      </c>
      <c r="C2633" s="2" t="s">
        <v>569</v>
      </c>
      <c r="D2633" s="2" t="str">
        <f t="shared" si="40"/>
        <v>Error?</v>
      </c>
    </row>
    <row r="2634" spans="1:4" x14ac:dyDescent="0.2">
      <c r="A2634" s="5">
        <v>2573</v>
      </c>
      <c r="B2634" s="1814">
        <f>'Acct Summary 7-8'!E16</f>
        <v>467250</v>
      </c>
      <c r="C2634" s="2" t="s">
        <v>569</v>
      </c>
      <c r="D2634" s="2" t="str">
        <f t="shared" si="40"/>
        <v>Error?</v>
      </c>
    </row>
    <row r="2635" spans="1:4" x14ac:dyDescent="0.2">
      <c r="A2635" s="5">
        <v>2574</v>
      </c>
      <c r="B2635" s="1814">
        <f>'Acct Summary 7-8'!E17</f>
        <v>467250</v>
      </c>
      <c r="C2635" s="2" t="s">
        <v>569</v>
      </c>
      <c r="D2635" s="2" t="str">
        <f t="shared" si="40"/>
        <v>Error?</v>
      </c>
    </row>
    <row r="2636" spans="1:4" x14ac:dyDescent="0.2">
      <c r="A2636" s="5">
        <v>2575</v>
      </c>
      <c r="B2636" s="1814">
        <f>'Acct Summary 7-8'!E20</f>
        <v>3544</v>
      </c>
      <c r="C2636" s="2" t="s">
        <v>569</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569</v>
      </c>
      <c r="D2638" s="2" t="str">
        <f t="shared" si="40"/>
        <v>OK</v>
      </c>
    </row>
    <row r="2639" spans="1:4" x14ac:dyDescent="0.2">
      <c r="A2639" s="10">
        <v>2578</v>
      </c>
      <c r="B2639" s="1814"/>
      <c r="C2639" s="2" t="s">
        <v>569</v>
      </c>
      <c r="D2639" s="2" t="str">
        <f t="shared" si="40"/>
        <v>OK</v>
      </c>
    </row>
    <row r="2640" spans="1:4" x14ac:dyDescent="0.2">
      <c r="A2640" s="10">
        <v>2579</v>
      </c>
      <c r="B2640" s="1814"/>
      <c r="C2640" s="2" t="s">
        <v>569</v>
      </c>
      <c r="D2640" s="2" t="str">
        <f t="shared" si="40"/>
        <v>OK</v>
      </c>
    </row>
    <row r="2641" spans="1:4" x14ac:dyDescent="0.2">
      <c r="A2641" s="10">
        <v>2580</v>
      </c>
      <c r="B2641" s="1814"/>
      <c r="C2641" s="2" t="s">
        <v>569</v>
      </c>
      <c r="D2641" s="2" t="str">
        <f t="shared" si="40"/>
        <v>OK</v>
      </c>
    </row>
    <row r="2642" spans="1:4" x14ac:dyDescent="0.2">
      <c r="A2642" s="10">
        <v>2581</v>
      </c>
      <c r="B2642" s="1814"/>
      <c r="C2642" s="2" t="s">
        <v>569</v>
      </c>
      <c r="D2642" s="2" t="str">
        <f t="shared" si="40"/>
        <v>OK</v>
      </c>
    </row>
    <row r="2643" spans="1:4" x14ac:dyDescent="0.2">
      <c r="A2643" s="10">
        <v>2582</v>
      </c>
      <c r="B2643" s="1814"/>
      <c r="C2643" s="2" t="s">
        <v>569</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0</v>
      </c>
      <c r="C2655" s="2" t="s">
        <v>569</v>
      </c>
      <c r="D2655" s="2" t="str">
        <f t="shared" si="40"/>
        <v>Error?</v>
      </c>
    </row>
    <row r="2656" spans="1:4" x14ac:dyDescent="0.2">
      <c r="A2656" s="5">
        <v>2595</v>
      </c>
      <c r="B2656" s="1814">
        <f>'Acct Summary 7-8'!H6</f>
        <v>0</v>
      </c>
      <c r="C2656" s="2" t="s">
        <v>569</v>
      </c>
      <c r="D2656" s="2" t="str">
        <f t="shared" si="40"/>
        <v>Error?</v>
      </c>
    </row>
    <row r="2657" spans="1:4" x14ac:dyDescent="0.2">
      <c r="A2657" s="5">
        <v>2596</v>
      </c>
      <c r="B2657" s="1814">
        <f>'Acct Summary 7-8'!H7</f>
        <v>0</v>
      </c>
      <c r="C2657" s="2" t="s">
        <v>569</v>
      </c>
      <c r="D2657" s="2" t="str">
        <f t="shared" si="40"/>
        <v>Error?</v>
      </c>
    </row>
    <row r="2658" spans="1:4" x14ac:dyDescent="0.2">
      <c r="A2658" s="5">
        <v>2597</v>
      </c>
      <c r="B2658" s="1814">
        <f>'Acct Summary 7-8'!H8</f>
        <v>0</v>
      </c>
      <c r="C2658" s="2" t="s">
        <v>569</v>
      </c>
      <c r="D2658" s="2" t="str">
        <f t="shared" si="40"/>
        <v>Error?</v>
      </c>
    </row>
    <row r="2659" spans="1:4" x14ac:dyDescent="0.2">
      <c r="A2659" s="5">
        <v>2598</v>
      </c>
      <c r="B2659" s="1814">
        <f>'Acct Summary 7-8'!H13</f>
        <v>0</v>
      </c>
      <c r="C2659" s="2" t="s">
        <v>569</v>
      </c>
      <c r="D2659" s="2" t="str">
        <f t="shared" si="40"/>
        <v>Error?</v>
      </c>
    </row>
    <row r="2660" spans="1:4" x14ac:dyDescent="0.2">
      <c r="A2660" s="5">
        <v>2599</v>
      </c>
      <c r="B2660" s="1814">
        <f>'Acct Summary 7-8'!H15</f>
        <v>0</v>
      </c>
      <c r="C2660" s="2" t="s">
        <v>569</v>
      </c>
      <c r="D2660" s="2" t="str">
        <f t="shared" si="40"/>
        <v>Error?</v>
      </c>
    </row>
    <row r="2661" spans="1:4" x14ac:dyDescent="0.2">
      <c r="A2661" s="5">
        <v>2600</v>
      </c>
      <c r="B2661" s="1814">
        <f>'Acct Summary 7-8'!H17</f>
        <v>0</v>
      </c>
      <c r="C2661" s="2" t="s">
        <v>569</v>
      </c>
      <c r="D2661" s="2" t="str">
        <f t="shared" si="40"/>
        <v>Error?</v>
      </c>
    </row>
    <row r="2662" spans="1:4" x14ac:dyDescent="0.2">
      <c r="A2662" s="5">
        <v>2601</v>
      </c>
      <c r="B2662" s="1814">
        <f>'Acct Summary 7-8'!H20</f>
        <v>0</v>
      </c>
      <c r="C2662" s="2" t="s">
        <v>569</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0</v>
      </c>
      <c r="D2718" s="2" t="str">
        <f t="shared" si="41"/>
        <v>Error?</v>
      </c>
    </row>
    <row r="2719" spans="1:4" x14ac:dyDescent="0.2">
      <c r="A2719" s="5">
        <v>2658</v>
      </c>
      <c r="B2719" s="1814">
        <f>'Expenditures 15-22'!D51</f>
        <v>0</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0</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0</v>
      </c>
      <c r="C2724" s="2" t="s">
        <v>569</v>
      </c>
      <c r="D2724" s="2" t="str">
        <f t="shared" si="41"/>
        <v>Error?</v>
      </c>
    </row>
    <row r="2725" spans="1:4" x14ac:dyDescent="0.2">
      <c r="A2725" s="5">
        <v>2664</v>
      </c>
      <c r="B2725" s="1814">
        <f>'Expenditures 15-22'!D247</f>
        <v>0</v>
      </c>
      <c r="D2725" s="2" t="str">
        <f t="shared" si="41"/>
        <v>Error?</v>
      </c>
    </row>
    <row r="2726" spans="1:4" x14ac:dyDescent="0.2">
      <c r="A2726" s="5">
        <v>2665</v>
      </c>
      <c r="B2726" s="1814">
        <f>'Expenditures 15-22'!K247</f>
        <v>0</v>
      </c>
      <c r="C2726" s="2" t="s">
        <v>569</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569</v>
      </c>
      <c r="D2733" s="2" t="str">
        <f t="shared" si="41"/>
        <v>Error?</v>
      </c>
    </row>
    <row r="2734" spans="1:4" x14ac:dyDescent="0.2">
      <c r="A2734" s="5">
        <v>2673</v>
      </c>
      <c r="B2734" s="1814">
        <f>'Short-Term Long-Term Debt 24'!F25</f>
        <v>0</v>
      </c>
      <c r="C2734" s="2" t="s">
        <v>569</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1991</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169059</v>
      </c>
      <c r="C2789" s="2" t="s">
        <v>569</v>
      </c>
      <c r="D2789" s="2" t="str">
        <f t="shared" si="42"/>
        <v>Error?</v>
      </c>
    </row>
    <row r="2790" spans="1:4" x14ac:dyDescent="0.2">
      <c r="A2790" s="5">
        <v>2729</v>
      </c>
      <c r="B2790" s="1814">
        <f>'Expenditures 15-22'!E102</f>
        <v>169059</v>
      </c>
      <c r="C2790" s="2" t="s">
        <v>569</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569</v>
      </c>
      <c r="D2795" s="2" t="str">
        <f t="shared" si="42"/>
        <v>Error?</v>
      </c>
    </row>
    <row r="2796" spans="1:4" x14ac:dyDescent="0.2">
      <c r="A2796" s="5">
        <v>2735</v>
      </c>
      <c r="B2796" s="1814">
        <f>'Expenditures 15-22'!K108</f>
        <v>0</v>
      </c>
      <c r="C2796" s="2" t="s">
        <v>569</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569</v>
      </c>
      <c r="D2804" s="2" t="str">
        <f t="shared" si="42"/>
        <v>OK</v>
      </c>
    </row>
    <row r="2805" spans="1:4" x14ac:dyDescent="0.2">
      <c r="A2805" s="5">
        <v>2744</v>
      </c>
      <c r="B2805" s="1814">
        <f>'Expenditures 15-22'!K130</f>
        <v>0</v>
      </c>
      <c r="C2805" s="2" t="s">
        <v>569</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569</v>
      </c>
      <c r="D2809" s="2" t="str">
        <f t="shared" si="42"/>
        <v>OK</v>
      </c>
    </row>
    <row r="2810" spans="1:4" x14ac:dyDescent="0.2">
      <c r="A2810" s="5">
        <v>2749</v>
      </c>
      <c r="B2810" s="1814">
        <f>'Expenditures 15-22'!K144</f>
        <v>0</v>
      </c>
      <c r="C2810" s="2" t="s">
        <v>569</v>
      </c>
      <c r="D2810" s="2" t="str">
        <f t="shared" si="42"/>
        <v>Error?</v>
      </c>
    </row>
    <row r="2811" spans="1:4" x14ac:dyDescent="0.2">
      <c r="A2811" s="5">
        <v>2750</v>
      </c>
      <c r="B2811" s="1814">
        <f>'Expenditures 15-22'!K145</f>
        <v>0</v>
      </c>
      <c r="C2811" s="2" t="s">
        <v>569</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569</v>
      </c>
      <c r="D2816" s="2" t="str">
        <f t="shared" si="43"/>
        <v>OK</v>
      </c>
    </row>
    <row r="2817" spans="1:4" x14ac:dyDescent="0.2">
      <c r="A2817" s="5">
        <v>2756</v>
      </c>
      <c r="B2817" s="1814">
        <f>'Acct Summary 7-8'!E50</f>
        <v>0</v>
      </c>
      <c r="D2817" s="2" t="str">
        <f t="shared" si="43"/>
        <v>Error?</v>
      </c>
    </row>
    <row r="2818" spans="1:4" x14ac:dyDescent="0.2">
      <c r="A2818" s="5">
        <v>2757</v>
      </c>
      <c r="B2818" s="1814">
        <f>'Expenditures 15-22'!K165</f>
        <v>0</v>
      </c>
      <c r="C2818" s="2" t="s">
        <v>569</v>
      </c>
      <c r="D2818" s="2" t="str">
        <f t="shared" si="43"/>
        <v>Error?</v>
      </c>
    </row>
    <row r="2819" spans="1:4" x14ac:dyDescent="0.2">
      <c r="A2819" s="5">
        <v>2758</v>
      </c>
      <c r="B2819" s="1814">
        <f>'Expenditures 15-22'!K166</f>
        <v>0</v>
      </c>
      <c r="C2819" s="2" t="s">
        <v>569</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569</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569</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569</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569</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569</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569</v>
      </c>
      <c r="D2841" s="2" t="str">
        <f t="shared" si="43"/>
        <v>Error?</v>
      </c>
    </row>
    <row r="2842" spans="1:5" x14ac:dyDescent="0.2">
      <c r="A2842" s="5">
        <v>2781</v>
      </c>
      <c r="B2842" s="1814">
        <f>'Expenditures 15-22'!K202</f>
        <v>0</v>
      </c>
      <c r="C2842" s="2" t="s">
        <v>569</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569</v>
      </c>
      <c r="D2845" s="2" t="str">
        <f t="shared" si="43"/>
        <v>Error?</v>
      </c>
    </row>
    <row r="2846" spans="1:5" x14ac:dyDescent="0.2">
      <c r="A2846" s="5">
        <v>2785</v>
      </c>
      <c r="B2846" s="1814">
        <f>'Expenditures 15-22'!K291</f>
        <v>0</v>
      </c>
      <c r="C2846" s="2" t="s">
        <v>569</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438700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88919</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4105983</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0</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0</v>
      </c>
      <c r="C2888" s="2" t="s">
        <v>569</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0</v>
      </c>
      <c r="C2895" s="2" t="s">
        <v>569</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0</v>
      </c>
      <c r="D2908" s="2" t="str">
        <f t="shared" si="44"/>
        <v>Error?</v>
      </c>
    </row>
    <row r="2909" spans="1:4" x14ac:dyDescent="0.2">
      <c r="A2909" s="10">
        <v>2848</v>
      </c>
      <c r="B2909" s="1814"/>
      <c r="D2909" s="2" t="str">
        <f t="shared" si="44"/>
        <v>OK</v>
      </c>
    </row>
    <row r="2910" spans="1:4" x14ac:dyDescent="0.2">
      <c r="A2910" s="5">
        <v>2849</v>
      </c>
      <c r="B2910" s="1814">
        <f>'Assets-Liab 5-6'!I34</f>
        <v>0</v>
      </c>
      <c r="C2910" s="2" t="s">
        <v>569</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0</v>
      </c>
      <c r="D2912" s="2" t="str">
        <f t="shared" si="44"/>
        <v>Error?</v>
      </c>
    </row>
    <row r="2913" spans="1:4" x14ac:dyDescent="0.2">
      <c r="A2913" s="5">
        <v>2852</v>
      </c>
      <c r="B2913" s="1814">
        <f>'Assets-Liab 5-6'!I41</f>
        <v>0</v>
      </c>
      <c r="C2913" s="2" t="s">
        <v>569</v>
      </c>
      <c r="D2913" s="2" t="str">
        <f t="shared" si="44"/>
        <v>Error?</v>
      </c>
    </row>
    <row r="2914" spans="1:4" x14ac:dyDescent="0.2">
      <c r="A2914" s="5">
        <v>2853</v>
      </c>
      <c r="B2914" s="1814">
        <f>'Assets-Liab 5-6'!L33</f>
        <v>0</v>
      </c>
      <c r="D2914" s="2" t="str">
        <f t="shared" si="44"/>
        <v>Error?</v>
      </c>
    </row>
    <row r="2915" spans="1:4" x14ac:dyDescent="0.2">
      <c r="A2915" s="10">
        <v>2854</v>
      </c>
      <c r="B2915" s="1814"/>
      <c r="D2915" s="2" t="str">
        <f t="shared" si="44"/>
        <v>OK</v>
      </c>
    </row>
    <row r="2916" spans="1:4" x14ac:dyDescent="0.2">
      <c r="A2916" s="5">
        <v>2855</v>
      </c>
      <c r="B2916" s="1814">
        <f>'Assets-Liab 5-6'!L34</f>
        <v>0</v>
      </c>
      <c r="C2916" s="2" t="s">
        <v>569</v>
      </c>
      <c r="D2916" s="2" t="str">
        <f t="shared" si="44"/>
        <v>Error?</v>
      </c>
    </row>
    <row r="2917" spans="1:4" x14ac:dyDescent="0.2">
      <c r="A2917" s="5">
        <v>2856</v>
      </c>
      <c r="B2917" s="1814">
        <f>'Assets-Liab 5-6'!L41</f>
        <v>0</v>
      </c>
      <c r="C2917" s="2" t="s">
        <v>569</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169059</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0</v>
      </c>
      <c r="D2954" s="2" t="str">
        <f t="shared" si="45"/>
        <v>Error?</v>
      </c>
    </row>
    <row r="2955" spans="1:4" x14ac:dyDescent="0.2">
      <c r="A2955" s="5">
        <v>2894</v>
      </c>
      <c r="B2955" s="1814">
        <f>'Expenditures 15-22'!H78</f>
        <v>0</v>
      </c>
      <c r="D2955" s="2" t="str">
        <f t="shared" si="45"/>
        <v>Error?</v>
      </c>
    </row>
    <row r="2956" spans="1:4" x14ac:dyDescent="0.2">
      <c r="A2956" s="5">
        <v>2895</v>
      </c>
      <c r="B2956" s="1814">
        <f>'Expenditures 15-22'!H79</f>
        <v>10619525</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0</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0</v>
      </c>
      <c r="C2973" s="2" t="s">
        <v>569</v>
      </c>
      <c r="D2973" s="2" t="str">
        <f t="shared" si="45"/>
        <v>Error?</v>
      </c>
    </row>
    <row r="2974" spans="1:4" x14ac:dyDescent="0.2">
      <c r="A2974" s="5">
        <v>2913</v>
      </c>
      <c r="B2974" s="1814">
        <f>'Expenditures 15-22'!K79</f>
        <v>10788584</v>
      </c>
      <c r="C2974" s="2" t="s">
        <v>569</v>
      </c>
      <c r="D2974" s="2" t="str">
        <f t="shared" si="45"/>
        <v>Error?</v>
      </c>
    </row>
    <row r="2975" spans="1:4" x14ac:dyDescent="0.2">
      <c r="A2975" s="5">
        <v>2914</v>
      </c>
      <c r="B2975" s="1814">
        <f>'Expenditures 15-22'!K80</f>
        <v>0</v>
      </c>
      <c r="C2975" s="2" t="s">
        <v>569</v>
      </c>
      <c r="D2975" s="2" t="str">
        <f t="shared" si="45"/>
        <v>Error?</v>
      </c>
    </row>
    <row r="2976" spans="1:4" x14ac:dyDescent="0.2">
      <c r="A2976" s="5">
        <v>2915</v>
      </c>
      <c r="B2976" s="1814">
        <f>'Expenditures 15-22'!K81</f>
        <v>0</v>
      </c>
      <c r="C2976" s="2" t="s">
        <v>569</v>
      </c>
      <c r="D2976" s="2" t="str">
        <f t="shared" si="45"/>
        <v>Error?</v>
      </c>
    </row>
    <row r="2977" spans="1:4" x14ac:dyDescent="0.2">
      <c r="A2977" s="5">
        <v>2916</v>
      </c>
      <c r="B2977" s="1814">
        <f>'Expenditures 15-22'!K82</f>
        <v>0</v>
      </c>
      <c r="C2977" s="2" t="s">
        <v>569</v>
      </c>
      <c r="D2977" s="2" t="str">
        <f t="shared" si="45"/>
        <v>Error?</v>
      </c>
    </row>
    <row r="2978" spans="1:4" x14ac:dyDescent="0.2">
      <c r="A2978" s="5">
        <v>2917</v>
      </c>
      <c r="B2978" s="1814">
        <f>'Expenditures 15-22'!K83</f>
        <v>0</v>
      </c>
      <c r="C2978" s="2" t="s">
        <v>569</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569</v>
      </c>
      <c r="D2985" s="2" t="str">
        <f t="shared" si="45"/>
        <v>OK</v>
      </c>
    </row>
    <row r="2986" spans="1:4" x14ac:dyDescent="0.2">
      <c r="A2986" s="5">
        <v>2925</v>
      </c>
      <c r="B2986" s="1814">
        <f>'Expenditures 15-22'!K134</f>
        <v>0</v>
      </c>
      <c r="C2986" s="2" t="s">
        <v>569</v>
      </c>
      <c r="D2986" s="2" t="str">
        <f t="shared" si="45"/>
        <v>Error?</v>
      </c>
    </row>
    <row r="2987" spans="1:4" x14ac:dyDescent="0.2">
      <c r="A2987" s="5">
        <v>2926</v>
      </c>
      <c r="B2987" s="1814">
        <f>'Expenditures 15-22'!K135</f>
        <v>0</v>
      </c>
      <c r="C2987" s="2" t="s">
        <v>569</v>
      </c>
      <c r="D2987" s="2" t="str">
        <f t="shared" si="45"/>
        <v>Error?</v>
      </c>
    </row>
    <row r="2988" spans="1:4" x14ac:dyDescent="0.2">
      <c r="A2988" s="5">
        <v>2927</v>
      </c>
      <c r="B2988" s="1814">
        <f>'Expenditures 15-22'!K136</f>
        <v>0</v>
      </c>
      <c r="C2988" s="2" t="s">
        <v>569</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569</v>
      </c>
      <c r="D3007" s="2" t="str">
        <f t="shared" ref="D3007:D3070" si="46">IF(ISBLANK(B3007),"OK",IF(A3007-B3007=0,"OK","Error?"))</f>
        <v>Error?</v>
      </c>
    </row>
    <row r="3008" spans="1:4" x14ac:dyDescent="0.2">
      <c r="A3008" s="5">
        <v>2947</v>
      </c>
      <c r="B3008" s="1814">
        <f>'Expenditures 15-22'!K189</f>
        <v>0</v>
      </c>
      <c r="C3008" s="2" t="s">
        <v>569</v>
      </c>
      <c r="D3008" s="2" t="str">
        <f t="shared" si="46"/>
        <v>Error?</v>
      </c>
    </row>
    <row r="3009" spans="1:5" x14ac:dyDescent="0.2">
      <c r="A3009" s="5">
        <v>2948</v>
      </c>
      <c r="B3009" s="1814">
        <f>'Expenditures 15-22'!K190</f>
        <v>0</v>
      </c>
      <c r="C3009" s="2" t="s">
        <v>569</v>
      </c>
      <c r="D3009" s="2" t="str">
        <f t="shared" si="46"/>
        <v>Error?</v>
      </c>
    </row>
    <row r="3010" spans="1:5" x14ac:dyDescent="0.2">
      <c r="A3010" s="5">
        <v>2949</v>
      </c>
      <c r="B3010" s="1814">
        <f>'Expenditures 15-22'!K191</f>
        <v>0</v>
      </c>
      <c r="C3010" s="2" t="s">
        <v>569</v>
      </c>
      <c r="D3010" s="2" t="str">
        <f t="shared" si="46"/>
        <v>Error?</v>
      </c>
    </row>
    <row r="3011" spans="1:5" x14ac:dyDescent="0.2">
      <c r="A3011" s="5">
        <v>2950</v>
      </c>
      <c r="B3011" s="1814">
        <f>'Expenditures 15-22'!K192</f>
        <v>0</v>
      </c>
      <c r="C3011" s="2" t="s">
        <v>569</v>
      </c>
      <c r="D3011" s="2" t="str">
        <f t="shared" si="46"/>
        <v>Error?</v>
      </c>
    </row>
    <row r="3012" spans="1:5" x14ac:dyDescent="0.2">
      <c r="A3012" s="5">
        <v>2951</v>
      </c>
      <c r="B3012" s="1814">
        <f>'Expenditures 15-22'!K193</f>
        <v>0</v>
      </c>
      <c r="C3012" s="2" t="s">
        <v>569</v>
      </c>
      <c r="D3012" s="2" t="str">
        <f t="shared" si="46"/>
        <v>Error?</v>
      </c>
    </row>
    <row r="3013" spans="1:5" x14ac:dyDescent="0.2">
      <c r="A3013" s="10">
        <v>2952</v>
      </c>
      <c r="B3013" s="1814"/>
      <c r="D3013" s="4" t="s">
        <v>1991</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0</v>
      </c>
      <c r="D3055" s="2" t="str">
        <f t="shared" si="46"/>
        <v>Error?</v>
      </c>
    </row>
    <row r="3056" spans="1:4" x14ac:dyDescent="0.2">
      <c r="A3056" s="5">
        <v>2995</v>
      </c>
      <c r="B3056" s="1814">
        <f>'Expenditures 15-22'!D10</f>
        <v>0</v>
      </c>
      <c r="D3056" s="2" t="str">
        <f t="shared" si="46"/>
        <v>Error?</v>
      </c>
    </row>
    <row r="3057" spans="1:4" x14ac:dyDescent="0.2">
      <c r="A3057" s="5">
        <v>2996</v>
      </c>
      <c r="B3057" s="1814">
        <f>'Expenditures 15-22'!E10</f>
        <v>0</v>
      </c>
      <c r="D3057" s="2" t="str">
        <f t="shared" si="46"/>
        <v>Error?</v>
      </c>
    </row>
    <row r="3058" spans="1:4" x14ac:dyDescent="0.2">
      <c r="A3058" s="5">
        <v>2997</v>
      </c>
      <c r="B3058" s="1814">
        <f>'Expenditures 15-22'!F10</f>
        <v>0</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0</v>
      </c>
      <c r="C3062" s="2" t="s">
        <v>569</v>
      </c>
      <c r="D3062" s="2" t="str">
        <f t="shared" si="46"/>
        <v>Error?</v>
      </c>
    </row>
    <row r="3063" spans="1:4" x14ac:dyDescent="0.2">
      <c r="A3063" s="10">
        <v>3002</v>
      </c>
      <c r="B3063" s="1814"/>
      <c r="D3063" s="2" t="str">
        <f t="shared" si="46"/>
        <v>OK</v>
      </c>
    </row>
    <row r="3064" spans="1:4" x14ac:dyDescent="0.2">
      <c r="A3064" s="5">
        <v>3003</v>
      </c>
      <c r="B3064" s="1814">
        <f>'Expenditures 15-22'!D219</f>
        <v>0</v>
      </c>
      <c r="D3064" s="2" t="str">
        <f t="shared" si="46"/>
        <v>Error?</v>
      </c>
    </row>
    <row r="3065" spans="1:4" x14ac:dyDescent="0.2">
      <c r="A3065" s="5">
        <v>3004</v>
      </c>
      <c r="B3065" s="1814">
        <f>'Expenditures 15-22'!K219</f>
        <v>0</v>
      </c>
      <c r="C3065" s="2" t="s">
        <v>569</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569</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0</v>
      </c>
      <c r="C3225" s="2" t="s">
        <v>569</v>
      </c>
      <c r="D3225" s="2" t="str">
        <f t="shared" si="49"/>
        <v>Error?</v>
      </c>
    </row>
    <row r="3226" spans="1:4" x14ac:dyDescent="0.2">
      <c r="A3226" s="5">
        <v>3165</v>
      </c>
      <c r="B3226" s="1814">
        <f>'Acct Summary 7-8'!I8</f>
        <v>0</v>
      </c>
      <c r="C3226" s="2" t="s">
        <v>569</v>
      </c>
      <c r="D3226" s="2" t="str">
        <f t="shared" si="49"/>
        <v>Error?</v>
      </c>
    </row>
    <row r="3227" spans="1:4" x14ac:dyDescent="0.2">
      <c r="A3227" s="5">
        <v>3166</v>
      </c>
      <c r="B3227" s="1814">
        <f>'Acct Summary 7-8'!I20</f>
        <v>0</v>
      </c>
      <c r="C3227" s="2" t="s">
        <v>569</v>
      </c>
      <c r="D3227" s="2" t="str">
        <f t="shared" si="49"/>
        <v>Error?</v>
      </c>
    </row>
    <row r="3228" spans="1:4" x14ac:dyDescent="0.2">
      <c r="A3228" s="5">
        <v>3167</v>
      </c>
      <c r="B3228" s="1814">
        <f>'Acct Summary 7-8'!C43</f>
        <v>0</v>
      </c>
      <c r="D3228" s="2" t="str">
        <f t="shared" si="49"/>
        <v>Error?</v>
      </c>
    </row>
    <row r="3229" spans="1:4" x14ac:dyDescent="0.2">
      <c r="A3229" s="5">
        <v>3168</v>
      </c>
      <c r="B3229" s="1814">
        <f>'Acct Summary 7-8'!C44</f>
        <v>0</v>
      </c>
      <c r="C3229" s="2" t="s">
        <v>569</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4450000</v>
      </c>
      <c r="C3231" s="2" t="s">
        <v>569</v>
      </c>
      <c r="D3231" s="2" t="str">
        <f t="shared" si="49"/>
        <v>Error?</v>
      </c>
    </row>
    <row r="3232" spans="1:4" x14ac:dyDescent="0.2">
      <c r="A3232" s="5">
        <v>3171</v>
      </c>
      <c r="B3232" s="1814">
        <f>'Acct Summary 7-8'!C77</f>
        <v>-4450000</v>
      </c>
      <c r="C3232" s="2" t="s">
        <v>569</v>
      </c>
      <c r="D3232" s="2" t="str">
        <f t="shared" si="49"/>
        <v>Error?</v>
      </c>
    </row>
    <row r="3233" spans="1:4" x14ac:dyDescent="0.2">
      <c r="A3233" s="5">
        <v>3172</v>
      </c>
      <c r="B3233" s="1814">
        <f>'Acct Summary 7-8'!C78</f>
        <v>-1415202</v>
      </c>
      <c r="C3233" s="2" t="s">
        <v>569</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4000000</v>
      </c>
      <c r="C3235" s="2" t="s">
        <v>569</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0</v>
      </c>
      <c r="C3237" s="2" t="s">
        <v>569</v>
      </c>
      <c r="D3237" s="2" t="str">
        <f t="shared" si="49"/>
        <v>Error?</v>
      </c>
    </row>
    <row r="3238" spans="1:4" x14ac:dyDescent="0.2">
      <c r="A3238" s="5">
        <v>3177</v>
      </c>
      <c r="B3238" s="1814">
        <f>'Acct Summary 7-8'!D77</f>
        <v>4000000</v>
      </c>
      <c r="C3238" s="2" t="s">
        <v>569</v>
      </c>
      <c r="D3238" s="2" t="str">
        <f t="shared" si="49"/>
        <v>Error?</v>
      </c>
    </row>
    <row r="3239" spans="1:4" x14ac:dyDescent="0.2">
      <c r="A3239" s="5">
        <v>3178</v>
      </c>
      <c r="B3239" s="1814">
        <f>'Acct Summary 7-8'!D78</f>
        <v>82601</v>
      </c>
      <c r="C3239" s="2" t="s">
        <v>569</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450000</v>
      </c>
      <c r="C3252" s="2" t="s">
        <v>569</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569</v>
      </c>
      <c r="D3254" s="2" t="str">
        <f t="shared" si="49"/>
        <v>Error?</v>
      </c>
    </row>
    <row r="3255" spans="1:4" x14ac:dyDescent="0.2">
      <c r="A3255" s="5">
        <v>3194</v>
      </c>
      <c r="B3255" s="1814">
        <f>'Acct Summary 7-8'!F77</f>
        <v>450000</v>
      </c>
      <c r="C3255" s="2" t="s">
        <v>569</v>
      </c>
      <c r="D3255" s="2" t="str">
        <f t="shared" si="49"/>
        <v>Error?</v>
      </c>
    </row>
    <row r="3256" spans="1:4" x14ac:dyDescent="0.2">
      <c r="A3256" s="5">
        <v>3195</v>
      </c>
      <c r="B3256" s="1814">
        <f>'Acct Summary 7-8'!F78</f>
        <v>181145</v>
      </c>
      <c r="C3256" s="2" t="s">
        <v>569</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569</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569</v>
      </c>
      <c r="D3260" s="2" t="str">
        <f t="shared" si="49"/>
        <v>Error?</v>
      </c>
    </row>
    <row r="3261" spans="1:4" x14ac:dyDescent="0.2">
      <c r="A3261" s="5">
        <v>3200</v>
      </c>
      <c r="B3261" s="1814">
        <f>'Acct Summary 7-8'!G77</f>
        <v>0</v>
      </c>
      <c r="C3261" s="2" t="s">
        <v>569</v>
      </c>
      <c r="D3261" s="2" t="str">
        <f t="shared" si="49"/>
        <v>Error?</v>
      </c>
    </row>
    <row r="3262" spans="1:4" x14ac:dyDescent="0.2">
      <c r="A3262" s="5">
        <v>3201</v>
      </c>
      <c r="B3262" s="1814">
        <f>'Acct Summary 7-8'!G78</f>
        <v>43894</v>
      </c>
      <c r="C3262" s="2" t="s">
        <v>569</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0</v>
      </c>
      <c r="C3274" s="2" t="s">
        <v>569</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0</v>
      </c>
      <c r="C3276" s="2" t="s">
        <v>569</v>
      </c>
      <c r="D3276" s="2" t="str">
        <f t="shared" si="50"/>
        <v>Error?</v>
      </c>
    </row>
    <row r="3277" spans="1:4" x14ac:dyDescent="0.2">
      <c r="A3277" s="5">
        <v>3216</v>
      </c>
      <c r="B3277" s="1814">
        <f>'Acct Summary 7-8'!E77</f>
        <v>0</v>
      </c>
      <c r="C3277" s="2" t="s">
        <v>569</v>
      </c>
      <c r="D3277" s="2" t="str">
        <f t="shared" si="50"/>
        <v>Error?</v>
      </c>
    </row>
    <row r="3278" spans="1:4" x14ac:dyDescent="0.2">
      <c r="A3278" s="5">
        <v>3217</v>
      </c>
      <c r="B3278" s="1814">
        <f>'Acct Summary 7-8'!E78</f>
        <v>3544</v>
      </c>
      <c r="C3278" s="2" t="s">
        <v>569</v>
      </c>
      <c r="D3278" s="2" t="str">
        <f t="shared" si="50"/>
        <v>Error?</v>
      </c>
    </row>
    <row r="3279" spans="1:4" x14ac:dyDescent="0.2">
      <c r="A3279" s="10">
        <v>3218</v>
      </c>
      <c r="B3279" s="1814"/>
      <c r="D3279" s="2" t="str">
        <f t="shared" si="50"/>
        <v>OK</v>
      </c>
    </row>
    <row r="3280" spans="1:4" x14ac:dyDescent="0.2">
      <c r="A3280" s="10">
        <v>3219</v>
      </c>
      <c r="B3280" s="1814"/>
      <c r="C3280" s="2" t="s">
        <v>569</v>
      </c>
      <c r="D3280" s="2" t="str">
        <f t="shared" si="50"/>
        <v>OK</v>
      </c>
    </row>
    <row r="3281" spans="1:4" x14ac:dyDescent="0.2">
      <c r="A3281" s="10">
        <v>3220</v>
      </c>
      <c r="B3281" s="1814"/>
      <c r="D3281" s="2" t="str">
        <f t="shared" si="50"/>
        <v>OK</v>
      </c>
    </row>
    <row r="3282" spans="1:4" x14ac:dyDescent="0.2">
      <c r="A3282" s="10">
        <v>3221</v>
      </c>
      <c r="B3282" s="1814"/>
      <c r="C3282" s="2" t="s">
        <v>569</v>
      </c>
      <c r="D3282" s="2" t="str">
        <f t="shared" si="50"/>
        <v>OK</v>
      </c>
    </row>
    <row r="3283" spans="1:4" x14ac:dyDescent="0.2">
      <c r="A3283" s="10">
        <v>3222</v>
      </c>
      <c r="B3283" s="1814"/>
      <c r="C3283" s="2" t="s">
        <v>569</v>
      </c>
      <c r="D3283" s="2" t="str">
        <f t="shared" si="50"/>
        <v>OK</v>
      </c>
    </row>
    <row r="3284" spans="1:4" x14ac:dyDescent="0.2">
      <c r="A3284" s="10">
        <v>3223</v>
      </c>
      <c r="B3284" s="1814"/>
      <c r="C3284" s="2" t="s">
        <v>569</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0</v>
      </c>
      <c r="C3296" s="2" t="s">
        <v>569</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569</v>
      </c>
      <c r="D3298" s="2" t="str">
        <f t="shared" si="50"/>
        <v>Error?</v>
      </c>
    </row>
    <row r="3299" spans="1:4" x14ac:dyDescent="0.2">
      <c r="A3299" s="5">
        <v>3238</v>
      </c>
      <c r="B3299" s="1814">
        <f>'Acct Summary 7-8'!H77</f>
        <v>0</v>
      </c>
      <c r="C3299" s="2" t="s">
        <v>569</v>
      </c>
      <c r="D3299" s="2" t="str">
        <f t="shared" si="50"/>
        <v>Error?</v>
      </c>
    </row>
    <row r="3300" spans="1:4" x14ac:dyDescent="0.2">
      <c r="A3300" s="5">
        <v>3239</v>
      </c>
      <c r="B3300" s="1814">
        <f>'Acct Summary 7-8'!H78</f>
        <v>0</v>
      </c>
      <c r="C3300" s="2" t="s">
        <v>569</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569</v>
      </c>
      <c r="D3317" s="2" t="str">
        <f t="shared" si="50"/>
        <v>Error?</v>
      </c>
    </row>
    <row r="3318" spans="1:4" x14ac:dyDescent="0.2">
      <c r="A3318" s="5">
        <v>3257</v>
      </c>
      <c r="B3318" s="1814">
        <f>'Acct Summary 7-8'!I76</f>
        <v>0</v>
      </c>
      <c r="C3318" s="2" t="s">
        <v>569</v>
      </c>
      <c r="D3318" s="2" t="str">
        <f t="shared" si="50"/>
        <v>Error?</v>
      </c>
    </row>
    <row r="3319" spans="1:4" x14ac:dyDescent="0.2">
      <c r="A3319" s="5">
        <v>3258</v>
      </c>
      <c r="B3319" s="1814">
        <f>'Acct Summary 7-8'!I77</f>
        <v>0</v>
      </c>
      <c r="C3319" s="2" t="s">
        <v>569</v>
      </c>
      <c r="D3319" s="2" t="str">
        <f t="shared" si="50"/>
        <v>Error?</v>
      </c>
    </row>
    <row r="3320" spans="1:4" x14ac:dyDescent="0.2">
      <c r="A3320" s="5">
        <v>3259</v>
      </c>
      <c r="B3320" s="1814">
        <f>'Acct Summary 7-8'!I78</f>
        <v>0</v>
      </c>
      <c r="C3320" s="2" t="s">
        <v>569</v>
      </c>
      <c r="D3320" s="2" t="str">
        <f t="shared" si="50"/>
        <v>Error?</v>
      </c>
    </row>
    <row r="3321" spans="1:4" x14ac:dyDescent="0.2">
      <c r="A3321" s="5">
        <v>3260</v>
      </c>
      <c r="B3321" s="1814">
        <f>'Acct Summary 7-8'!I79</f>
        <v>0</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0</v>
      </c>
      <c r="C3323" s="2" t="s">
        <v>569</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15837096</v>
      </c>
      <c r="D3366" s="2" t="str">
        <f t="shared" si="51"/>
        <v>Error?</v>
      </c>
    </row>
    <row r="3367" spans="1:4" x14ac:dyDescent="0.2">
      <c r="A3367" s="5">
        <v>3306</v>
      </c>
      <c r="B3367" s="1814">
        <f>'Expenditures 15-22'!C19</f>
        <v>446837</v>
      </c>
      <c r="D3367" s="2" t="str">
        <f t="shared" si="51"/>
        <v>Error?</v>
      </c>
    </row>
    <row r="3368" spans="1:4" x14ac:dyDescent="0.2">
      <c r="A3368" s="5">
        <v>3307</v>
      </c>
      <c r="B3368" s="1814">
        <f>'Expenditures 15-22'!D8</f>
        <v>4186469</v>
      </c>
      <c r="D3368" s="2" t="str">
        <f t="shared" si="51"/>
        <v>Error?</v>
      </c>
    </row>
    <row r="3369" spans="1:4" x14ac:dyDescent="0.2">
      <c r="A3369" s="5">
        <v>3308</v>
      </c>
      <c r="B3369" s="1814">
        <f>'Expenditures 15-22'!D19</f>
        <v>131910</v>
      </c>
      <c r="D3369" s="2" t="str">
        <f t="shared" si="51"/>
        <v>Error?</v>
      </c>
    </row>
    <row r="3370" spans="1:4" x14ac:dyDescent="0.2">
      <c r="A3370" s="5">
        <v>3309</v>
      </c>
      <c r="B3370" s="1814">
        <f>'Expenditures 15-22'!E8</f>
        <v>2152630</v>
      </c>
      <c r="D3370" s="2" t="str">
        <f t="shared" si="51"/>
        <v>Error?</v>
      </c>
    </row>
    <row r="3371" spans="1:4" x14ac:dyDescent="0.2">
      <c r="A3371" s="5">
        <v>3310</v>
      </c>
      <c r="B3371" s="1814">
        <f>'Expenditures 15-22'!E19</f>
        <v>92707</v>
      </c>
      <c r="D3371" s="2" t="str">
        <f t="shared" si="51"/>
        <v>Error?</v>
      </c>
    </row>
    <row r="3372" spans="1:4" x14ac:dyDescent="0.2">
      <c r="A3372" s="5">
        <v>3311</v>
      </c>
      <c r="B3372" s="1814">
        <f>'Expenditures 15-22'!F8</f>
        <v>236526</v>
      </c>
      <c r="D3372" s="2" t="str">
        <f t="shared" si="51"/>
        <v>Error?</v>
      </c>
    </row>
    <row r="3373" spans="1:4" x14ac:dyDescent="0.2">
      <c r="A3373" s="5">
        <v>3312</v>
      </c>
      <c r="B3373" s="1814">
        <f>'Expenditures 15-22'!F19</f>
        <v>15010</v>
      </c>
      <c r="D3373" s="2" t="str">
        <f t="shared" si="51"/>
        <v>Error?</v>
      </c>
    </row>
    <row r="3374" spans="1:4" x14ac:dyDescent="0.2">
      <c r="A3374" s="5">
        <v>3313</v>
      </c>
      <c r="B3374" s="1814">
        <f>'Expenditures 15-22'!G8</f>
        <v>32657</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7364</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22536348</v>
      </c>
      <c r="C3380" s="2" t="s">
        <v>569</v>
      </c>
      <c r="D3380" s="2" t="str">
        <f t="shared" si="51"/>
        <v>Error?</v>
      </c>
    </row>
    <row r="3381" spans="1:4" x14ac:dyDescent="0.2">
      <c r="A3381" s="5">
        <v>3320</v>
      </c>
      <c r="B3381" s="1814">
        <f>'Expenditures 15-22'!K19</f>
        <v>693328</v>
      </c>
      <c r="C3381" s="2" t="s">
        <v>569</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0</v>
      </c>
      <c r="D3387" s="2" t="str">
        <f t="shared" si="51"/>
        <v>Error?</v>
      </c>
    </row>
    <row r="3388" spans="1:4" x14ac:dyDescent="0.2">
      <c r="A3388" s="5">
        <v>3327</v>
      </c>
      <c r="B3388" s="1814">
        <f>'Expenditures 15-22'!D217</f>
        <v>517034</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0</v>
      </c>
      <c r="C3390" s="2" t="s">
        <v>569</v>
      </c>
      <c r="D3390" s="2" t="str">
        <f t="shared" si="51"/>
        <v>Error?</v>
      </c>
    </row>
    <row r="3391" spans="1:4" x14ac:dyDescent="0.2">
      <c r="A3391" s="5">
        <v>3330</v>
      </c>
      <c r="B3391" s="1814">
        <f>'Expenditures 15-22'!K217</f>
        <v>517034</v>
      </c>
      <c r="C3391" s="2" t="s">
        <v>569</v>
      </c>
      <c r="D3391" s="2" t="str">
        <f t="shared" ref="D3391:D3454" si="52">IF(ISBLANK(B3391),"OK",IF(A3391-B3391=0,"OK","Error?"))</f>
        <v>Error?</v>
      </c>
    </row>
    <row r="3392" spans="1:4" x14ac:dyDescent="0.2">
      <c r="A3392" s="5">
        <v>3331</v>
      </c>
      <c r="B3392" s="1814">
        <f>'Expenditures 15-22'!K228</f>
        <v>0</v>
      </c>
      <c r="C3392" s="2" t="s">
        <v>569</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10641153</v>
      </c>
      <c r="C3405" s="2" t="s">
        <v>569</v>
      </c>
      <c r="D3405" s="2" t="str">
        <f t="shared" si="52"/>
        <v>Error?</v>
      </c>
    </row>
    <row r="3406" spans="1:4" x14ac:dyDescent="0.2">
      <c r="A3406" s="5">
        <v>3345</v>
      </c>
      <c r="B3406" s="1814">
        <f>'Acct Summary 7-8'!D5</f>
        <v>0</v>
      </c>
      <c r="C3406" s="2" t="s">
        <v>569</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569</v>
      </c>
      <c r="D3408" s="2" t="str">
        <f t="shared" si="52"/>
        <v>Error?</v>
      </c>
    </row>
    <row r="3409" spans="1:4" x14ac:dyDescent="0.2">
      <c r="A3409" s="5">
        <v>3348</v>
      </c>
      <c r="B3409" s="1814">
        <f>'Acct Summary 7-8'!G5</f>
        <v>0</v>
      </c>
      <c r="C3409" s="2" t="s">
        <v>569</v>
      </c>
      <c r="D3409" s="2" t="str">
        <f t="shared" si="52"/>
        <v>Error?</v>
      </c>
    </row>
    <row r="3410" spans="1:4" x14ac:dyDescent="0.2">
      <c r="A3410" s="10">
        <v>3349</v>
      </c>
      <c r="B3410" s="1814"/>
      <c r="D3410" s="2" t="str">
        <f t="shared" si="52"/>
        <v>OK</v>
      </c>
    </row>
    <row r="3411" spans="1:4" x14ac:dyDescent="0.2">
      <c r="A3411" s="5">
        <v>3350</v>
      </c>
      <c r="B3411" s="1814">
        <f>'Assets-Liab 5-6'!C4</f>
        <v>5576218</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3982130</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176042</v>
      </c>
      <c r="D3417" s="2" t="str">
        <f t="shared" si="52"/>
        <v>Error?</v>
      </c>
    </row>
    <row r="3418" spans="1:4" x14ac:dyDescent="0.2">
      <c r="A3418" s="10">
        <v>3357</v>
      </c>
      <c r="B3418" s="1814"/>
      <c r="D3418" s="2" t="str">
        <f t="shared" si="52"/>
        <v>OK</v>
      </c>
    </row>
    <row r="3419" spans="1:4" x14ac:dyDescent="0.2">
      <c r="A3419" s="5">
        <v>3358</v>
      </c>
      <c r="B3419" s="1814">
        <f>'Assets-Liab 5-6'!F4</f>
        <v>398339</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1926835</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0</v>
      </c>
      <c r="D3425" s="2" t="str">
        <f t="shared" si="52"/>
        <v>Error?</v>
      </c>
    </row>
    <row r="3426" spans="1:4" x14ac:dyDescent="0.2">
      <c r="A3426" s="10">
        <v>3365</v>
      </c>
      <c r="B3426" s="1814"/>
      <c r="D3426" s="2" t="str">
        <f t="shared" si="52"/>
        <v>OK</v>
      </c>
    </row>
    <row r="3427" spans="1:4" x14ac:dyDescent="0.2">
      <c r="A3427" s="5">
        <v>3366</v>
      </c>
      <c r="B3427" s="1814">
        <f>'Assets-Liab 5-6'!I4</f>
        <v>0</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0</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569</v>
      </c>
      <c r="D3444" s="2" t="str">
        <f t="shared" si="52"/>
        <v>OK</v>
      </c>
    </row>
    <row r="3445" spans="1:4" x14ac:dyDescent="0.2">
      <c r="A3445" s="10">
        <v>3384</v>
      </c>
      <c r="B3445" s="1814"/>
      <c r="C3445" s="2" t="s">
        <v>569</v>
      </c>
      <c r="D3445" s="2" t="str">
        <f t="shared" si="52"/>
        <v>OK</v>
      </c>
    </row>
    <row r="3446" spans="1:4" x14ac:dyDescent="0.2">
      <c r="A3446" s="5">
        <v>3385</v>
      </c>
      <c r="B3446" s="1814">
        <f>'Tax Sched 23'!B16</f>
        <v>0</v>
      </c>
      <c r="C3446" s="2" t="s">
        <v>569</v>
      </c>
      <c r="D3446" s="2" t="str">
        <f t="shared" si="52"/>
        <v>Error?</v>
      </c>
    </row>
    <row r="3447" spans="1:4" x14ac:dyDescent="0.2">
      <c r="A3447" s="5">
        <v>3386</v>
      </c>
      <c r="B3447" s="1814">
        <f>'Tax Sched 23'!D16</f>
        <v>0</v>
      </c>
      <c r="C3447" s="2" t="s">
        <v>569</v>
      </c>
      <c r="D3447" s="2" t="str">
        <f t="shared" si="52"/>
        <v>Error?</v>
      </c>
    </row>
    <row r="3448" spans="1:4" x14ac:dyDescent="0.2">
      <c r="A3448" s="5">
        <v>3387</v>
      </c>
      <c r="B3448" s="1814">
        <f>'Tax Sched 23'!C16</f>
        <v>0</v>
      </c>
      <c r="D3448" s="2" t="str">
        <f t="shared" si="52"/>
        <v>Error?</v>
      </c>
    </row>
    <row r="3449" spans="1:4" x14ac:dyDescent="0.2">
      <c r="A3449" s="5">
        <v>3388</v>
      </c>
      <c r="B3449" s="1814">
        <f>'Tax Sched 23'!F16</f>
        <v>0</v>
      </c>
      <c r="C3449" s="2" t="s">
        <v>569</v>
      </c>
      <c r="D3449" s="2" t="str">
        <f t="shared" si="52"/>
        <v>Error?</v>
      </c>
    </row>
    <row r="3450" spans="1:4" x14ac:dyDescent="0.2">
      <c r="A3450" s="5">
        <v>3389</v>
      </c>
      <c r="B3450" s="1814">
        <f>'Tax Sched 23'!E16</f>
        <v>0</v>
      </c>
      <c r="D3450" s="2" t="str">
        <f t="shared" si="52"/>
        <v>Error?</v>
      </c>
    </row>
    <row r="3451" spans="1:4" x14ac:dyDescent="0.2">
      <c r="A3451" s="5">
        <v>3390</v>
      </c>
      <c r="B3451" s="1814">
        <f>'Cap Outlay Deprec 26'!C15</f>
        <v>59303</v>
      </c>
      <c r="D3451" s="2" t="str">
        <f t="shared" si="52"/>
        <v>Error?</v>
      </c>
    </row>
    <row r="3452" spans="1:4" x14ac:dyDescent="0.2">
      <c r="A3452" s="5">
        <v>3391</v>
      </c>
      <c r="B3452" s="1814">
        <f>'Cap Outlay Deprec 26'!D15</f>
        <v>4441851</v>
      </c>
      <c r="D3452" s="2" t="str">
        <f t="shared" si="52"/>
        <v>Error?</v>
      </c>
    </row>
    <row r="3453" spans="1:4" x14ac:dyDescent="0.2">
      <c r="A3453" s="5">
        <v>3392</v>
      </c>
      <c r="B3453" s="1814">
        <f>'Cap Outlay Deprec 26'!E15</f>
        <v>395171</v>
      </c>
      <c r="D3453" s="2" t="str">
        <f t="shared" si="52"/>
        <v>Error?</v>
      </c>
    </row>
    <row r="3454" spans="1:4" x14ac:dyDescent="0.2">
      <c r="A3454" s="5">
        <v>3393</v>
      </c>
      <c r="B3454" s="1814">
        <f>'Cap Outlay Deprec 26'!F15</f>
        <v>4105983</v>
      </c>
      <c r="C3454" s="2" t="s">
        <v>569</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4105983</v>
      </c>
      <c r="C3459" s="2" t="s">
        <v>569</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569</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1991</v>
      </c>
      <c r="E3521" s="4" t="s">
        <v>134</v>
      </c>
    </row>
    <row r="3522" spans="1:5" x14ac:dyDescent="0.2">
      <c r="A3522" s="10">
        <v>3461</v>
      </c>
      <c r="B3522" s="1814"/>
      <c r="D3522" s="4" t="s">
        <v>1991</v>
      </c>
      <c r="E3522" s="4" t="s">
        <v>134</v>
      </c>
    </row>
    <row r="3523" spans="1:5" x14ac:dyDescent="0.2">
      <c r="A3523" s="10">
        <v>3462</v>
      </c>
      <c r="B3523" s="1814"/>
      <c r="D3523" s="4" t="s">
        <v>1991</v>
      </c>
      <c r="E3523" s="4" t="s">
        <v>134</v>
      </c>
    </row>
    <row r="3524" spans="1:5" x14ac:dyDescent="0.2">
      <c r="A3524" s="10">
        <v>3463</v>
      </c>
      <c r="B3524" s="1814"/>
      <c r="D3524" s="4" t="s">
        <v>1991</v>
      </c>
      <c r="E3524" s="4" t="s">
        <v>134</v>
      </c>
    </row>
    <row r="3525" spans="1:5" x14ac:dyDescent="0.2">
      <c r="A3525" s="10">
        <v>3464</v>
      </c>
      <c r="B3525" s="1814"/>
      <c r="D3525" s="4" t="s">
        <v>1991</v>
      </c>
      <c r="E3525" s="4" t="s">
        <v>134</v>
      </c>
    </row>
    <row r="3526" spans="1:5" x14ac:dyDescent="0.2">
      <c r="A3526" s="10">
        <v>3465</v>
      </c>
      <c r="B3526" s="1814"/>
      <c r="D3526" s="4" t="s">
        <v>1991</v>
      </c>
      <c r="E3526" s="4" t="s">
        <v>134</v>
      </c>
    </row>
    <row r="3527" spans="1:5" x14ac:dyDescent="0.2">
      <c r="A3527" s="10">
        <v>3466</v>
      </c>
      <c r="B3527" s="1814"/>
      <c r="D3527" s="4" t="s">
        <v>1991</v>
      </c>
      <c r="E3527" s="4" t="s">
        <v>134</v>
      </c>
    </row>
    <row r="3528" spans="1:5" x14ac:dyDescent="0.2">
      <c r="A3528" s="10">
        <v>3467</v>
      </c>
      <c r="B3528" s="1814"/>
      <c r="D3528" s="4" t="s">
        <v>1991</v>
      </c>
      <c r="E3528" s="4" t="s">
        <v>134</v>
      </c>
    </row>
    <row r="3529" spans="1:5" x14ac:dyDescent="0.2">
      <c r="A3529" s="10">
        <v>3468</v>
      </c>
      <c r="B3529" s="1814"/>
      <c r="D3529" s="4" t="s">
        <v>1991</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0</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0</v>
      </c>
      <c r="C3552" s="2" t="s">
        <v>569</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569</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0</v>
      </c>
      <c r="D3567" s="2" t="str">
        <f t="shared" si="54"/>
        <v>Error?</v>
      </c>
    </row>
    <row r="3568" spans="1:4" x14ac:dyDescent="0.2">
      <c r="A3568" s="5">
        <v>3507</v>
      </c>
      <c r="B3568" s="1814">
        <f>'Assets-Liab 5-6'!K41</f>
        <v>0</v>
      </c>
      <c r="C3568" s="2" t="s">
        <v>569</v>
      </c>
      <c r="D3568" s="2" t="str">
        <f t="shared" si="54"/>
        <v>Error?</v>
      </c>
    </row>
    <row r="3569" spans="1:4" x14ac:dyDescent="0.2">
      <c r="A3569" s="5">
        <v>3508</v>
      </c>
      <c r="B3569" s="1814">
        <f>'Acct Summary 7-8'!K4</f>
        <v>0</v>
      </c>
      <c r="C3569" s="2" t="s">
        <v>569</v>
      </c>
      <c r="D3569" s="2" t="str">
        <f t="shared" si="54"/>
        <v>Error?</v>
      </c>
    </row>
    <row r="3570" spans="1:4" x14ac:dyDescent="0.2">
      <c r="A3570" s="5">
        <v>3509</v>
      </c>
      <c r="B3570" s="1814">
        <f>'Acct Summary 7-8'!K6</f>
        <v>0</v>
      </c>
      <c r="C3570" s="2" t="s">
        <v>569</v>
      </c>
      <c r="D3570" s="2" t="str">
        <f t="shared" si="54"/>
        <v>Error?</v>
      </c>
    </row>
    <row r="3571" spans="1:4" x14ac:dyDescent="0.2">
      <c r="A3571" s="5">
        <v>3510</v>
      </c>
      <c r="B3571" s="1814">
        <f>'Acct Summary 7-8'!K8</f>
        <v>0</v>
      </c>
      <c r="C3571" s="2" t="s">
        <v>569</v>
      </c>
      <c r="D3571" s="2" t="str">
        <f t="shared" si="54"/>
        <v>Error?</v>
      </c>
    </row>
    <row r="3572" spans="1:4" x14ac:dyDescent="0.2">
      <c r="A3572" s="5">
        <v>3511</v>
      </c>
      <c r="B3572" s="1814">
        <f>'Acct Summary 7-8'!K13</f>
        <v>0</v>
      </c>
      <c r="C3572" s="2" t="s">
        <v>569</v>
      </c>
      <c r="D3572" s="2" t="str">
        <f t="shared" si="54"/>
        <v>Error?</v>
      </c>
    </row>
    <row r="3573" spans="1:4" x14ac:dyDescent="0.2">
      <c r="A3573" s="5">
        <v>3512</v>
      </c>
      <c r="B3573" s="1814">
        <f>'Acct Summary 7-8'!K15</f>
        <v>0</v>
      </c>
      <c r="C3573" s="2" t="s">
        <v>569</v>
      </c>
      <c r="D3573" s="2" t="str">
        <f t="shared" si="54"/>
        <v>Error?</v>
      </c>
    </row>
    <row r="3574" spans="1:4" x14ac:dyDescent="0.2">
      <c r="A3574" s="5">
        <v>3513</v>
      </c>
      <c r="B3574" s="1814">
        <f>'Acct Summary 7-8'!K16</f>
        <v>0</v>
      </c>
      <c r="C3574" s="2" t="s">
        <v>569</v>
      </c>
      <c r="D3574" s="2" t="str">
        <f t="shared" si="54"/>
        <v>Error?</v>
      </c>
    </row>
    <row r="3575" spans="1:4" x14ac:dyDescent="0.2">
      <c r="A3575" s="5">
        <v>3514</v>
      </c>
      <c r="B3575" s="1814">
        <f>'Acct Summary 7-8'!K17</f>
        <v>0</v>
      </c>
      <c r="C3575" s="2" t="s">
        <v>569</v>
      </c>
      <c r="D3575" s="2" t="str">
        <f t="shared" si="54"/>
        <v>Error?</v>
      </c>
    </row>
    <row r="3576" spans="1:4" x14ac:dyDescent="0.2">
      <c r="A3576" s="5">
        <v>3515</v>
      </c>
      <c r="B3576" s="1814">
        <f>'Acct Summary 7-8'!K20</f>
        <v>0</v>
      </c>
      <c r="C3576" s="2" t="s">
        <v>569</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569</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569</v>
      </c>
      <c r="D3586" s="2" t="str">
        <f t="shared" si="55"/>
        <v>Error?</v>
      </c>
    </row>
    <row r="3587" spans="1:4" x14ac:dyDescent="0.2">
      <c r="A3587" s="5">
        <v>3526</v>
      </c>
      <c r="B3587" s="1814">
        <f>'Acct Summary 7-8'!K77</f>
        <v>0</v>
      </c>
      <c r="C3587" s="2" t="s">
        <v>569</v>
      </c>
      <c r="D3587" s="2" t="str">
        <f t="shared" si="55"/>
        <v>Error?</v>
      </c>
    </row>
    <row r="3588" spans="1:4" x14ac:dyDescent="0.2">
      <c r="A3588" s="5">
        <v>3527</v>
      </c>
      <c r="B3588" s="1814">
        <f>'Acct Summary 7-8'!K78</f>
        <v>0</v>
      </c>
      <c r="C3588" s="2" t="s">
        <v>569</v>
      </c>
      <c r="D3588" s="2" t="str">
        <f t="shared" si="55"/>
        <v>Error?</v>
      </c>
    </row>
    <row r="3589" spans="1:4" x14ac:dyDescent="0.2">
      <c r="A3589" s="5">
        <v>3528</v>
      </c>
      <c r="B3589" s="1814">
        <f>'Acct Summary 7-8'!K79</f>
        <v>0</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0</v>
      </c>
      <c r="C3591" s="2" t="s">
        <v>569</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569</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569</v>
      </c>
      <c r="D3621" s="2" t="str">
        <f t="shared" si="55"/>
        <v>Error?</v>
      </c>
    </row>
    <row r="3622" spans="1:4" x14ac:dyDescent="0.2">
      <c r="A3622" s="5">
        <v>3561</v>
      </c>
      <c r="B3622" s="1814">
        <f>'Expenditures 15-22'!C367</f>
        <v>0</v>
      </c>
      <c r="C3622" s="2" t="s">
        <v>569</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569</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569</v>
      </c>
      <c r="D3628" s="2" t="str">
        <f t="shared" si="55"/>
        <v>Error?</v>
      </c>
    </row>
    <row r="3629" spans="1:4" x14ac:dyDescent="0.2">
      <c r="A3629" s="5">
        <v>3568</v>
      </c>
      <c r="B3629" s="1814">
        <f>'Expenditures 15-22'!D367</f>
        <v>0</v>
      </c>
      <c r="C3629" s="2" t="s">
        <v>569</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569</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569</v>
      </c>
      <c r="D3635" s="2" t="str">
        <f t="shared" si="55"/>
        <v>Error?</v>
      </c>
    </row>
    <row r="3636" spans="1:4" x14ac:dyDescent="0.2">
      <c r="A3636" s="5">
        <v>3575</v>
      </c>
      <c r="B3636" s="1814">
        <f>'Expenditures 15-22'!E367</f>
        <v>0</v>
      </c>
      <c r="C3636" s="2" t="s">
        <v>569</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569</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569</v>
      </c>
      <c r="D3642" s="2" t="str">
        <f t="shared" si="55"/>
        <v>Error?</v>
      </c>
    </row>
    <row r="3643" spans="1:4" x14ac:dyDescent="0.2">
      <c r="A3643" s="5">
        <v>3582</v>
      </c>
      <c r="B3643" s="1814">
        <f>'Expenditures 15-22'!F367</f>
        <v>0</v>
      </c>
      <c r="C3643" s="2" t="s">
        <v>569</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569</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569</v>
      </c>
      <c r="D3649" s="2" t="str">
        <f t="shared" si="56"/>
        <v>Error?</v>
      </c>
    </row>
    <row r="3650" spans="1:4" x14ac:dyDescent="0.2">
      <c r="A3650" s="5">
        <v>3589</v>
      </c>
      <c r="B3650" s="1814">
        <f>'Expenditures 15-22'!G367</f>
        <v>0</v>
      </c>
      <c r="C3650" s="2" t="s">
        <v>569</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569</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569</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569</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569</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569</v>
      </c>
      <c r="D3668" s="2" t="str">
        <f t="shared" si="56"/>
        <v>Error?</v>
      </c>
    </row>
    <row r="3669" spans="1:4" x14ac:dyDescent="0.2">
      <c r="A3669" s="5">
        <v>3608</v>
      </c>
      <c r="B3669" s="1814">
        <f>'Expenditures 15-22'!K349</f>
        <v>0</v>
      </c>
      <c r="C3669" s="2" t="s">
        <v>569</v>
      </c>
      <c r="D3669" s="2" t="str">
        <f t="shared" si="56"/>
        <v>Error?</v>
      </c>
    </row>
    <row r="3670" spans="1:4" x14ac:dyDescent="0.2">
      <c r="A3670" s="5">
        <v>3609</v>
      </c>
      <c r="B3670" s="1814">
        <f>'Expenditures 15-22'!K350</f>
        <v>0</v>
      </c>
      <c r="C3670" s="2" t="s">
        <v>569</v>
      </c>
      <c r="D3670" s="2" t="str">
        <f t="shared" si="56"/>
        <v>Error?</v>
      </c>
    </row>
    <row r="3671" spans="1:4" x14ac:dyDescent="0.2">
      <c r="A3671" s="5">
        <v>3610</v>
      </c>
      <c r="B3671" s="1814">
        <f>'Expenditures 15-22'!K351</f>
        <v>0</v>
      </c>
      <c r="C3671" s="2" t="s">
        <v>569</v>
      </c>
      <c r="D3671" s="2" t="str">
        <f t="shared" si="56"/>
        <v>Error?</v>
      </c>
    </row>
    <row r="3672" spans="1:4" x14ac:dyDescent="0.2">
      <c r="A3672" s="5">
        <v>3611</v>
      </c>
      <c r="B3672" s="1814">
        <f>'Expenditures 15-22'!K352</f>
        <v>0</v>
      </c>
      <c r="C3672" s="2" t="s">
        <v>569</v>
      </c>
      <c r="D3672" s="2" t="str">
        <f t="shared" si="56"/>
        <v>Error?</v>
      </c>
    </row>
    <row r="3673" spans="1:4" x14ac:dyDescent="0.2">
      <c r="A3673" s="5">
        <v>3612</v>
      </c>
      <c r="B3673" s="1814">
        <f>'Expenditures 15-22'!K356</f>
        <v>0</v>
      </c>
      <c r="C3673" s="2" t="s">
        <v>569</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569</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0</v>
      </c>
      <c r="C3678" s="2" t="s">
        <v>569</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0</v>
      </c>
      <c r="C3681" s="2" t="s">
        <v>569</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569</v>
      </c>
      <c r="D3688" s="2" t="str">
        <f t="shared" si="56"/>
        <v>Error?</v>
      </c>
    </row>
    <row r="3689" spans="1:4" x14ac:dyDescent="0.2">
      <c r="A3689" s="5">
        <v>3628</v>
      </c>
      <c r="B3689" s="1814">
        <f>'Short-Term Long-Term Debt 24'!F19</f>
        <v>0</v>
      </c>
      <c r="C3689" s="2" t="s">
        <v>569</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569</v>
      </c>
      <c r="D3702" s="2" t="str">
        <f t="shared" si="56"/>
        <v>Error?</v>
      </c>
    </row>
    <row r="3703" spans="1:4" x14ac:dyDescent="0.2">
      <c r="A3703" s="5">
        <v>3642</v>
      </c>
      <c r="B3703" s="1814">
        <f>'Acct Summary 7-8'!K53</f>
        <v>0</v>
      </c>
      <c r="C3703" s="2" t="s">
        <v>569</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569</v>
      </c>
      <c r="D3717" s="2" t="str">
        <f t="shared" si="57"/>
        <v>Error?</v>
      </c>
    </row>
    <row r="3718" spans="1:4" x14ac:dyDescent="0.2">
      <c r="A3718" s="5">
        <v>3657</v>
      </c>
      <c r="B3718" s="1814">
        <f>'Acct Summary 7-8'!K7</f>
        <v>0</v>
      </c>
      <c r="C3718" s="2" t="s">
        <v>569</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569</v>
      </c>
      <c r="D3722" s="2" t="str">
        <f t="shared" si="57"/>
        <v>Error?</v>
      </c>
    </row>
    <row r="3723" spans="1:4" x14ac:dyDescent="0.2">
      <c r="A3723" s="5">
        <v>3662</v>
      </c>
      <c r="B3723" s="1814">
        <f>'Expenditures 15-22'!K283</f>
        <v>0</v>
      </c>
      <c r="C3723" s="2" t="s">
        <v>569</v>
      </c>
      <c r="D3723" s="2" t="str">
        <f t="shared" si="57"/>
        <v>Error?</v>
      </c>
    </row>
    <row r="3724" spans="1:4" x14ac:dyDescent="0.2">
      <c r="A3724" s="5">
        <v>3663</v>
      </c>
      <c r="B3724" s="1814">
        <f>'Expenditures 15-22'!K285</f>
        <v>0</v>
      </c>
      <c r="C3724" s="2" t="s">
        <v>569</v>
      </c>
      <c r="D3724" s="2" t="str">
        <f t="shared" si="57"/>
        <v>Error?</v>
      </c>
    </row>
    <row r="3725" spans="1:4" x14ac:dyDescent="0.2">
      <c r="A3725" s="5">
        <v>3664</v>
      </c>
      <c r="B3725" s="1814">
        <f>'Tax Sched 23'!B13</f>
        <v>0</v>
      </c>
      <c r="C3725" s="2" t="s">
        <v>569</v>
      </c>
      <c r="D3725" s="2" t="str">
        <f t="shared" si="57"/>
        <v>Error?</v>
      </c>
    </row>
    <row r="3726" spans="1:4" x14ac:dyDescent="0.2">
      <c r="A3726" s="5">
        <v>3665</v>
      </c>
      <c r="B3726" s="1814">
        <f>'Tax Sched 23'!D13</f>
        <v>0</v>
      </c>
      <c r="C3726" s="2" t="s">
        <v>569</v>
      </c>
      <c r="D3726" s="2" t="str">
        <f t="shared" si="57"/>
        <v>Error?</v>
      </c>
    </row>
    <row r="3727" spans="1:4" x14ac:dyDescent="0.2">
      <c r="A3727" s="5">
        <v>3666</v>
      </c>
      <c r="B3727" s="1814">
        <f>'Tax Sched 23'!C13</f>
        <v>0</v>
      </c>
      <c r="D3727" s="2" t="str">
        <f t="shared" si="57"/>
        <v>Error?</v>
      </c>
    </row>
    <row r="3728" spans="1:4" x14ac:dyDescent="0.2">
      <c r="A3728" s="5">
        <v>3667</v>
      </c>
      <c r="B3728" s="1814">
        <f>'Tax Sched 23'!F13</f>
        <v>0</v>
      </c>
      <c r="C3728" s="2" t="s">
        <v>569</v>
      </c>
      <c r="D3728" s="2" t="str">
        <f t="shared" si="57"/>
        <v>Error?</v>
      </c>
    </row>
    <row r="3729" spans="1:4" x14ac:dyDescent="0.2">
      <c r="A3729" s="5">
        <v>3668</v>
      </c>
      <c r="B3729" s="1814">
        <f>'Tax Sched 23'!E13</f>
        <v>0</v>
      </c>
      <c r="D3729" s="2" t="str">
        <f t="shared" si="57"/>
        <v>Error?</v>
      </c>
    </row>
    <row r="3730" spans="1:4" x14ac:dyDescent="0.2">
      <c r="A3730" s="5">
        <v>3669</v>
      </c>
      <c r="B3730" s="1814">
        <f>'ICR Computation 30'!E10</f>
        <v>177630</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569</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569</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569</v>
      </c>
      <c r="D4098" s="2" t="str">
        <f t="shared" si="63"/>
        <v>OK</v>
      </c>
    </row>
    <row r="4099" spans="1:4" x14ac:dyDescent="0.2">
      <c r="A4099" s="5">
        <v>4038</v>
      </c>
      <c r="B4099" s="1814">
        <f>'Expenditures 15-22'!K307</f>
        <v>0</v>
      </c>
      <c r="C4099" s="2" t="s">
        <v>569</v>
      </c>
      <c r="D4099" s="2" t="str">
        <f t="shared" si="63"/>
        <v>Error?</v>
      </c>
    </row>
    <row r="4100" spans="1:4" x14ac:dyDescent="0.2">
      <c r="A4100" s="5">
        <v>4039</v>
      </c>
      <c r="B4100" s="1814">
        <f>'Expenditures 15-22'!K308</f>
        <v>0</v>
      </c>
      <c r="C4100" s="2" t="s">
        <v>569</v>
      </c>
      <c r="D4100" s="2" t="str">
        <f t="shared" si="63"/>
        <v>Error?</v>
      </c>
    </row>
    <row r="4101" spans="1:4" x14ac:dyDescent="0.2">
      <c r="A4101" s="10">
        <v>4040</v>
      </c>
      <c r="B4101" s="1814"/>
      <c r="C4101" s="2" t="s">
        <v>569</v>
      </c>
      <c r="D4101" s="2" t="str">
        <f t="shared" si="63"/>
        <v>OK</v>
      </c>
    </row>
    <row r="4102" spans="1:4" x14ac:dyDescent="0.2">
      <c r="A4102" s="5">
        <v>4041</v>
      </c>
      <c r="B4102" s="1814">
        <f>'Tax Sched 23'!B17</f>
        <v>0</v>
      </c>
      <c r="C4102" s="2" t="s">
        <v>569</v>
      </c>
      <c r="D4102" s="2" t="str">
        <f t="shared" si="63"/>
        <v>Error?</v>
      </c>
    </row>
    <row r="4103" spans="1:4" x14ac:dyDescent="0.2">
      <c r="A4103" s="5">
        <v>4042</v>
      </c>
      <c r="B4103" s="1814">
        <f>'Tax Sched 23'!B18</f>
        <v>0</v>
      </c>
      <c r="C4103" s="2" t="s">
        <v>569</v>
      </c>
      <c r="D4103" s="2" t="str">
        <f t="shared" si="63"/>
        <v>Error?</v>
      </c>
    </row>
    <row r="4104" spans="1:4" x14ac:dyDescent="0.2">
      <c r="A4104" s="5">
        <v>4043</v>
      </c>
      <c r="B4104" s="1814">
        <f>'Tax Sched 23'!D17</f>
        <v>0</v>
      </c>
      <c r="C4104" s="2" t="s">
        <v>569</v>
      </c>
      <c r="D4104" s="2" t="str">
        <f t="shared" si="63"/>
        <v>Error?</v>
      </c>
    </row>
    <row r="4105" spans="1:4" x14ac:dyDescent="0.2">
      <c r="A4105" s="5">
        <v>4044</v>
      </c>
      <c r="B4105" s="1814">
        <f>'Tax Sched 23'!D18</f>
        <v>0</v>
      </c>
      <c r="C4105" s="2" t="s">
        <v>569</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569</v>
      </c>
      <c r="D4108" s="2" t="str">
        <f t="shared" si="63"/>
        <v>Error?</v>
      </c>
    </row>
    <row r="4109" spans="1:4" x14ac:dyDescent="0.2">
      <c r="A4109" s="5">
        <v>4048</v>
      </c>
      <c r="B4109" s="1814">
        <f>'Tax Sched 23'!F18</f>
        <v>0</v>
      </c>
      <c r="C4109" s="2" t="s">
        <v>569</v>
      </c>
      <c r="D4109" s="2" t="str">
        <f t="shared" si="63"/>
        <v>Error?</v>
      </c>
    </row>
    <row r="4110" spans="1:4" x14ac:dyDescent="0.2">
      <c r="A4110" s="5">
        <v>4049</v>
      </c>
      <c r="B4110" s="1814">
        <f>'Tax Sched 23'!E17</f>
        <v>0</v>
      </c>
      <c r="C4110" s="2" t="s">
        <v>569</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16529582</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77444366</v>
      </c>
      <c r="C4122" s="2" t="s">
        <v>569</v>
      </c>
      <c r="D4122" s="2" t="str">
        <f t="shared" si="63"/>
        <v>Error?</v>
      </c>
    </row>
    <row r="4123" spans="1:4" x14ac:dyDescent="0.2">
      <c r="A4123" s="5">
        <v>4062</v>
      </c>
      <c r="B4123" s="1814">
        <f>'Acct Summary 7-8'!D10</f>
        <v>2909520</v>
      </c>
      <c r="C4123" s="2" t="s">
        <v>569</v>
      </c>
      <c r="D4123" s="2" t="str">
        <f t="shared" si="63"/>
        <v>Error?</v>
      </c>
    </row>
    <row r="4124" spans="1:4" x14ac:dyDescent="0.2">
      <c r="A4124" s="5">
        <v>4063</v>
      </c>
      <c r="B4124" s="1814">
        <f>'Acct Summary 7-8'!E10</f>
        <v>470794</v>
      </c>
      <c r="C4124" s="2" t="s">
        <v>569</v>
      </c>
      <c r="D4124" s="2" t="str">
        <f t="shared" si="63"/>
        <v>Error?</v>
      </c>
    </row>
    <row r="4125" spans="1:4" x14ac:dyDescent="0.2">
      <c r="A4125" s="5">
        <v>4064</v>
      </c>
      <c r="B4125" s="1814">
        <f>'Acct Summary 7-8'!F10</f>
        <v>788285</v>
      </c>
      <c r="C4125" s="2" t="s">
        <v>569</v>
      </c>
      <c r="D4125" s="2" t="str">
        <f t="shared" si="63"/>
        <v>Error?</v>
      </c>
    </row>
    <row r="4126" spans="1:4" x14ac:dyDescent="0.2">
      <c r="A4126" s="5">
        <v>4065</v>
      </c>
      <c r="B4126" s="1814">
        <f>'Acct Summary 7-8'!G10</f>
        <v>1443612</v>
      </c>
      <c r="C4126" s="2" t="s">
        <v>569</v>
      </c>
      <c r="D4126" s="2" t="str">
        <f t="shared" si="63"/>
        <v>Error?</v>
      </c>
    </row>
    <row r="4127" spans="1:4" x14ac:dyDescent="0.2">
      <c r="A4127" s="5">
        <v>4066</v>
      </c>
      <c r="B4127" s="1814">
        <f>'Acct Summary 7-8'!H10</f>
        <v>0</v>
      </c>
      <c r="C4127" s="2" t="s">
        <v>569</v>
      </c>
      <c r="D4127" s="2" t="str">
        <f t="shared" si="63"/>
        <v>Error?</v>
      </c>
    </row>
    <row r="4128" spans="1:4" x14ac:dyDescent="0.2">
      <c r="A4128" s="5">
        <v>4067</v>
      </c>
      <c r="B4128" s="1814">
        <f>'Acct Summary 7-8'!I10</f>
        <v>0</v>
      </c>
      <c r="C4128" s="2" t="s">
        <v>569</v>
      </c>
      <c r="D4128" s="2" t="str">
        <f t="shared" si="63"/>
        <v>Error?</v>
      </c>
    </row>
    <row r="4129" spans="1:4" x14ac:dyDescent="0.2">
      <c r="A4129" s="10">
        <v>4068</v>
      </c>
      <c r="B4129" s="1814"/>
      <c r="C4129" s="2" t="s">
        <v>569</v>
      </c>
      <c r="D4129" s="2" t="str">
        <f t="shared" si="63"/>
        <v>OK</v>
      </c>
    </row>
    <row r="4130" spans="1:4" x14ac:dyDescent="0.2">
      <c r="A4130" s="5">
        <v>4069</v>
      </c>
      <c r="B4130" s="1814">
        <f>'Acct Summary 7-8'!K10</f>
        <v>0</v>
      </c>
      <c r="C4130" s="2" t="s">
        <v>569</v>
      </c>
      <c r="D4130" s="2" t="str">
        <f t="shared" si="63"/>
        <v>Error?</v>
      </c>
    </row>
    <row r="4131" spans="1:4" x14ac:dyDescent="0.2">
      <c r="A4131" s="5">
        <v>4070</v>
      </c>
      <c r="B4131" s="1814">
        <f>'Acct Summary 7-8'!C18</f>
        <v>16529582</v>
      </c>
      <c r="C4131" s="2" t="s">
        <v>569</v>
      </c>
      <c r="D4131" s="2" t="str">
        <f t="shared" si="63"/>
        <v>Error?</v>
      </c>
    </row>
    <row r="4132" spans="1:4" x14ac:dyDescent="0.2">
      <c r="A4132" s="5">
        <v>4071</v>
      </c>
      <c r="B4132" s="1814">
        <f>'Acct Summary 7-8'!D18</f>
        <v>0</v>
      </c>
      <c r="C4132" s="2" t="s">
        <v>569</v>
      </c>
      <c r="D4132" s="2" t="str">
        <f t="shared" si="63"/>
        <v>Error?</v>
      </c>
    </row>
    <row r="4133" spans="1:4" x14ac:dyDescent="0.2">
      <c r="A4133" s="5">
        <v>4072</v>
      </c>
      <c r="B4133" s="1814">
        <f>'Acct Summary 7-8'!F18</f>
        <v>0</v>
      </c>
      <c r="C4133" s="2" t="s">
        <v>569</v>
      </c>
      <c r="D4133" s="2" t="str">
        <f t="shared" si="63"/>
        <v>Error?</v>
      </c>
    </row>
    <row r="4134" spans="1:4" x14ac:dyDescent="0.2">
      <c r="A4134" s="5">
        <v>4073</v>
      </c>
      <c r="B4134" s="1814">
        <f>'Acct Summary 7-8'!H18</f>
        <v>0</v>
      </c>
      <c r="C4134" s="2" t="s">
        <v>569</v>
      </c>
      <c r="D4134" s="2" t="str">
        <f t="shared" si="63"/>
        <v>Error?</v>
      </c>
    </row>
    <row r="4135" spans="1:4" x14ac:dyDescent="0.2">
      <c r="A4135" s="5">
        <v>4074</v>
      </c>
      <c r="B4135" s="1814">
        <f>'Acct Summary 7-8'!K18</f>
        <v>0</v>
      </c>
      <c r="C4135" s="2" t="s">
        <v>569</v>
      </c>
      <c r="D4135" s="2" t="str">
        <f t="shared" si="63"/>
        <v>Error?</v>
      </c>
    </row>
    <row r="4136" spans="1:4" x14ac:dyDescent="0.2">
      <c r="A4136" s="5">
        <v>4075</v>
      </c>
      <c r="B4136" s="1814">
        <f>'Acct Summary 7-8'!C19</f>
        <v>74409568</v>
      </c>
      <c r="C4136" s="2" t="s">
        <v>569</v>
      </c>
      <c r="D4136" s="2" t="str">
        <f t="shared" si="63"/>
        <v>Error?</v>
      </c>
    </row>
    <row r="4137" spans="1:4" x14ac:dyDescent="0.2">
      <c r="A4137" s="5">
        <v>4076</v>
      </c>
      <c r="B4137" s="1814">
        <f>'Acct Summary 7-8'!D19</f>
        <v>6826919</v>
      </c>
      <c r="C4137" s="2" t="s">
        <v>569</v>
      </c>
      <c r="D4137" s="2" t="str">
        <f t="shared" si="63"/>
        <v>Error?</v>
      </c>
    </row>
    <row r="4138" spans="1:4" x14ac:dyDescent="0.2">
      <c r="A4138" s="5">
        <v>4077</v>
      </c>
      <c r="B4138" s="1814">
        <f>'Acct Summary 7-8'!E19</f>
        <v>467250</v>
      </c>
      <c r="C4138" s="2" t="s">
        <v>569</v>
      </c>
      <c r="D4138" s="2" t="str">
        <f t="shared" si="63"/>
        <v>Error?</v>
      </c>
    </row>
    <row r="4139" spans="1:4" x14ac:dyDescent="0.2">
      <c r="A4139" s="5">
        <v>4078</v>
      </c>
      <c r="B4139" s="1814">
        <f>'Acct Summary 7-8'!F19</f>
        <v>1057140</v>
      </c>
      <c r="C4139" s="2" t="s">
        <v>569</v>
      </c>
      <c r="D4139" s="2" t="str">
        <f t="shared" si="63"/>
        <v>Error?</v>
      </c>
    </row>
    <row r="4140" spans="1:4" x14ac:dyDescent="0.2">
      <c r="A4140" s="5">
        <v>4079</v>
      </c>
      <c r="B4140" s="1814">
        <f>'Acct Summary 7-8'!G19</f>
        <v>1399718</v>
      </c>
      <c r="C4140" s="2" t="s">
        <v>569</v>
      </c>
      <c r="D4140" s="2" t="str">
        <f t="shared" si="63"/>
        <v>Error?</v>
      </c>
    </row>
    <row r="4141" spans="1:4" x14ac:dyDescent="0.2">
      <c r="A4141" s="5">
        <v>4080</v>
      </c>
      <c r="B4141" s="1814">
        <f>'Acct Summary 7-8'!H19</f>
        <v>0</v>
      </c>
      <c r="C4141" s="2" t="s">
        <v>569</v>
      </c>
      <c r="D4141" s="2" t="str">
        <f t="shared" si="63"/>
        <v>Error?</v>
      </c>
    </row>
    <row r="4142" spans="1:4" x14ac:dyDescent="0.2">
      <c r="A4142" s="10">
        <v>4081</v>
      </c>
      <c r="B4142" s="1814"/>
      <c r="D4142" s="2" t="str">
        <f t="shared" si="63"/>
        <v>OK</v>
      </c>
    </row>
    <row r="4143" spans="1:4" x14ac:dyDescent="0.2">
      <c r="A4143" s="10">
        <v>4082</v>
      </c>
      <c r="B4143" s="1814"/>
      <c r="C4143" s="2" t="s">
        <v>569</v>
      </c>
      <c r="D4143" s="2" t="str">
        <f t="shared" si="63"/>
        <v>OK</v>
      </c>
    </row>
    <row r="4144" spans="1:4" x14ac:dyDescent="0.2">
      <c r="A4144" s="5">
        <v>4083</v>
      </c>
      <c r="B4144" s="1814">
        <f>'Acct Summary 7-8'!K19</f>
        <v>0</v>
      </c>
      <c r="C4144" s="2" t="s">
        <v>569</v>
      </c>
      <c r="D4144" s="2" t="str">
        <f t="shared" si="63"/>
        <v>Error?</v>
      </c>
    </row>
    <row r="4145" spans="1:4" x14ac:dyDescent="0.2">
      <c r="A4145" s="10">
        <v>4084</v>
      </c>
      <c r="B4145" s="1814"/>
      <c r="C4145" s="2" t="s">
        <v>569</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569</v>
      </c>
      <c r="D4150" s="2" t="str">
        <f t="shared" si="63"/>
        <v>OK</v>
      </c>
    </row>
    <row r="4151" spans="1:4" x14ac:dyDescent="0.2">
      <c r="A4151" s="10">
        <v>4090</v>
      </c>
      <c r="B4151" s="1814"/>
      <c r="C4151" s="2" t="s">
        <v>569</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569</v>
      </c>
      <c r="D4156" s="2" t="str">
        <f t="shared" si="63"/>
        <v>Error?</v>
      </c>
    </row>
    <row r="4157" spans="1:4" x14ac:dyDescent="0.2">
      <c r="A4157" s="5">
        <v>4096</v>
      </c>
      <c r="B4157" s="1814">
        <f>'Expenditures 15-22'!K204</f>
        <v>0</v>
      </c>
      <c r="C4157" s="2" t="s">
        <v>569</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569</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569</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569</v>
      </c>
      <c r="D4170" s="2" t="str">
        <f t="shared" si="64"/>
        <v>OK</v>
      </c>
    </row>
    <row r="4171" spans="1:4" x14ac:dyDescent="0.2">
      <c r="A4171" s="5">
        <v>4110</v>
      </c>
      <c r="B4171" s="1814">
        <f>'Short-Term Long-Term Debt 24'!I49</f>
        <v>2425000</v>
      </c>
      <c r="C4171" s="2" t="s">
        <v>569</v>
      </c>
      <c r="D4171" s="2" t="str">
        <f t="shared" si="64"/>
        <v>Error?</v>
      </c>
    </row>
    <row r="4172" spans="1:4" x14ac:dyDescent="0.2">
      <c r="A4172" s="5">
        <v>4111</v>
      </c>
      <c r="B4172" s="1814">
        <f>'Short-Term Long-Term Debt 24'!J49</f>
        <v>2248958</v>
      </c>
      <c r="C4172" s="2" t="s">
        <v>569</v>
      </c>
      <c r="D4172" s="2" t="str">
        <f t="shared" si="64"/>
        <v>Error?</v>
      </c>
    </row>
    <row r="4173" spans="1:4" x14ac:dyDescent="0.2">
      <c r="A4173" s="5">
        <v>4112</v>
      </c>
      <c r="B4173" s="1814">
        <f>'Short-Term Long-Term Debt 24'!H49</f>
        <v>350000</v>
      </c>
      <c r="C4173" s="2" t="s">
        <v>569</v>
      </c>
      <c r="D4173" s="2" t="str">
        <f t="shared" si="64"/>
        <v>Error?</v>
      </c>
    </row>
    <row r="4174" spans="1:4" x14ac:dyDescent="0.2">
      <c r="A4174" s="10">
        <v>4113</v>
      </c>
      <c r="B4174" s="1814"/>
      <c r="C4174" s="2" t="s">
        <v>569</v>
      </c>
      <c r="D4174" s="2" t="str">
        <f t="shared" si="64"/>
        <v>OK</v>
      </c>
    </row>
    <row r="4175" spans="1:4" x14ac:dyDescent="0.2">
      <c r="A4175" s="5">
        <v>4114</v>
      </c>
      <c r="B4175" s="1814">
        <f>'Acct Summary 7-8'!E18</f>
        <v>0</v>
      </c>
      <c r="C4175" s="2" t="s">
        <v>569</v>
      </c>
      <c r="D4175" s="2" t="str">
        <f t="shared" si="64"/>
        <v>Error?</v>
      </c>
    </row>
    <row r="4176" spans="1:4" x14ac:dyDescent="0.2">
      <c r="A4176" s="5">
        <v>4115</v>
      </c>
      <c r="B4176" s="1814">
        <f>'Acct Summary 7-8'!G18</f>
        <v>0</v>
      </c>
      <c r="C4176" s="2" t="s">
        <v>569</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569</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569</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569</v>
      </c>
      <c r="D4202" s="2" t="str">
        <f t="shared" si="64"/>
        <v>Error?</v>
      </c>
    </row>
    <row r="4203" spans="1:4" x14ac:dyDescent="0.2">
      <c r="A4203" s="5">
        <v>4142</v>
      </c>
      <c r="B4203" s="1814">
        <f>'Expenditures 15-22'!E139</f>
        <v>0</v>
      </c>
      <c r="C4203" s="2" t="s">
        <v>569</v>
      </c>
      <c r="D4203" s="2" t="str">
        <f t="shared" si="64"/>
        <v>Error?</v>
      </c>
    </row>
    <row r="4204" spans="1:4" x14ac:dyDescent="0.2">
      <c r="A4204" s="10">
        <v>4143</v>
      </c>
      <c r="B4204" s="1814"/>
      <c r="D4204" s="2" t="str">
        <f t="shared" si="64"/>
        <v>OK</v>
      </c>
    </row>
    <row r="4205" spans="1:4" x14ac:dyDescent="0.2">
      <c r="A4205" s="10">
        <v>4144</v>
      </c>
      <c r="B4205" s="1814"/>
      <c r="C4205" s="2" t="s">
        <v>569</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569</v>
      </c>
      <c r="D4211" s="2" t="str">
        <f t="shared" si="64"/>
        <v>Error?</v>
      </c>
    </row>
    <row r="4212" spans="1:4" x14ac:dyDescent="0.2">
      <c r="A4212" s="10">
        <v>4151</v>
      </c>
      <c r="B4212" s="1814"/>
      <c r="D4212" s="2" t="str">
        <f t="shared" si="64"/>
        <v>OK</v>
      </c>
    </row>
    <row r="4213" spans="1:4" x14ac:dyDescent="0.2">
      <c r="A4213" s="10">
        <v>4152</v>
      </c>
      <c r="B4213" s="1814"/>
      <c r="C4213" s="2" t="s">
        <v>569</v>
      </c>
      <c r="D4213" s="2" t="str">
        <f t="shared" si="64"/>
        <v>OK</v>
      </c>
    </row>
    <row r="4214" spans="1:4" x14ac:dyDescent="0.2">
      <c r="A4214" s="10">
        <v>4153</v>
      </c>
      <c r="B4214" s="1814"/>
      <c r="C4214" s="2" t="s">
        <v>569</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569</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1893</v>
      </c>
    </row>
    <row r="4236" spans="1:5" x14ac:dyDescent="0.2">
      <c r="A4236" s="10">
        <v>4175</v>
      </c>
      <c r="B4236" s="1814"/>
      <c r="D4236" s="2" t="str">
        <f t="shared" si="65"/>
        <v>OK</v>
      </c>
      <c r="E4236" s="4" t="s">
        <v>1893</v>
      </c>
    </row>
    <row r="4237" spans="1:5" x14ac:dyDescent="0.2">
      <c r="A4237" s="10">
        <v>4176</v>
      </c>
      <c r="B4237" s="1814"/>
      <c r="D4237" s="2" t="str">
        <f t="shared" si="65"/>
        <v>OK</v>
      </c>
      <c r="E4237" s="4" t="s">
        <v>1893</v>
      </c>
    </row>
    <row r="4238" spans="1:5" x14ac:dyDescent="0.2">
      <c r="A4238" s="10">
        <v>4177</v>
      </c>
      <c r="B4238" s="1814"/>
      <c r="D4238" s="2" t="str">
        <f t="shared" si="65"/>
        <v>OK</v>
      </c>
      <c r="E4238" s="4" t="s">
        <v>1893</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0</v>
      </c>
      <c r="C4265" s="2" t="s">
        <v>569</v>
      </c>
      <c r="D4265" s="2" t="str">
        <f t="shared" si="65"/>
        <v>Error?</v>
      </c>
      <c r="E4265" s="125"/>
    </row>
    <row r="4266" spans="1:5" x14ac:dyDescent="0.2">
      <c r="A4266" s="12">
        <v>4205</v>
      </c>
      <c r="B4266" s="1814">
        <f>('FP Info 3'!F10)*100000</f>
        <v>0</v>
      </c>
      <c r="C4266" s="2" t="s">
        <v>569</v>
      </c>
      <c r="D4266" s="2" t="str">
        <f t="shared" si="65"/>
        <v>Error?</v>
      </c>
      <c r="E4266" s="125"/>
    </row>
    <row r="4267" spans="1:5" x14ac:dyDescent="0.2">
      <c r="A4267" s="12">
        <v>4206</v>
      </c>
      <c r="B4267" s="1814">
        <f>('FP Info 3'!H10)*100000</f>
        <v>0</v>
      </c>
      <c r="C4267" s="2" t="s">
        <v>569</v>
      </c>
      <c r="D4267" s="2" t="str">
        <f t="shared" si="65"/>
        <v>Error?</v>
      </c>
      <c r="E4267" s="125"/>
    </row>
    <row r="4268" spans="1:5" x14ac:dyDescent="0.2">
      <c r="A4268" s="12">
        <v>4207</v>
      </c>
      <c r="B4268" s="1814">
        <f>('FP Info 3'!J10)*100000</f>
        <v>0</v>
      </c>
      <c r="C4268" s="2" t="s">
        <v>569</v>
      </c>
      <c r="D4268" s="2" t="str">
        <f t="shared" si="65"/>
        <v>Error?</v>
      </c>
    </row>
    <row r="4269" spans="1:5" x14ac:dyDescent="0.2">
      <c r="A4269" s="12">
        <v>4208</v>
      </c>
      <c r="B4269" s="1814">
        <f>'FP Info 3'!J16</f>
        <v>17113685</v>
      </c>
      <c r="C4269" s="2" t="s">
        <v>569</v>
      </c>
      <c r="D4269" s="2" t="str">
        <f t="shared" si="65"/>
        <v>Error?</v>
      </c>
    </row>
    <row r="4270" spans="1:5" x14ac:dyDescent="0.2">
      <c r="A4270" s="12">
        <v>4209</v>
      </c>
      <c r="B4270" s="1814">
        <f>'FP Info 3'!D24</f>
        <v>0</v>
      </c>
      <c r="D4270" s="2" t="str">
        <f t="shared" si="65"/>
        <v>Error?</v>
      </c>
    </row>
    <row r="4271" spans="1:5" x14ac:dyDescent="0.2">
      <c r="A4271" s="10">
        <v>4210</v>
      </c>
      <c r="B4271" s="1814"/>
      <c r="C4271" s="2" t="s">
        <v>569</v>
      </c>
      <c r="D4271" s="2" t="str">
        <f t="shared" si="65"/>
        <v>OK</v>
      </c>
    </row>
    <row r="4272" spans="1:5" x14ac:dyDescent="0.2">
      <c r="A4272" s="10">
        <v>4211</v>
      </c>
      <c r="B4272" s="1814"/>
      <c r="D4272" s="2" t="str">
        <f t="shared" si="65"/>
        <v>OK</v>
      </c>
      <c r="E4272" s="2" t="s">
        <v>823</v>
      </c>
    </row>
    <row r="4273" spans="1:5" x14ac:dyDescent="0.2">
      <c r="A4273" s="10">
        <v>4212</v>
      </c>
      <c r="B4273" s="1814"/>
      <c r="D4273" s="2" t="str">
        <f t="shared" si="65"/>
        <v>OK</v>
      </c>
      <c r="E4273" s="2" t="s">
        <v>914</v>
      </c>
    </row>
    <row r="4274" spans="1:5" x14ac:dyDescent="0.2">
      <c r="A4274" s="10">
        <v>4213</v>
      </c>
      <c r="B4274" s="1814"/>
      <c r="C4274" s="2" t="s">
        <v>569</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569</v>
      </c>
      <c r="D4295" s="2" t="str">
        <f t="shared" si="66"/>
        <v>OK</v>
      </c>
    </row>
    <row r="4296" spans="1:4" x14ac:dyDescent="0.2">
      <c r="A4296" s="10">
        <v>4235</v>
      </c>
      <c r="B4296" s="1814"/>
      <c r="C4296" s="2" t="s">
        <v>569</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569</v>
      </c>
      <c r="D4357" s="2" t="str">
        <f t="shared" si="67"/>
        <v>Error?</v>
      </c>
    </row>
    <row r="4358" spans="1:4" x14ac:dyDescent="0.2">
      <c r="A4358" s="5">
        <v>4297</v>
      </c>
      <c r="B4358" s="1814">
        <f>'Revenues 9-14'!C263</f>
        <v>360550</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95183</v>
      </c>
      <c r="D4362" s="2" t="str">
        <f t="shared" si="67"/>
        <v>Error?</v>
      </c>
    </row>
    <row r="4363" spans="1:4" x14ac:dyDescent="0.2">
      <c r="A4363" s="5">
        <v>4302</v>
      </c>
      <c r="B4363" s="1814">
        <f>'Revenues 9-14'!I169</f>
        <v>0</v>
      </c>
      <c r="C4363" s="2" t="s">
        <v>569</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569</v>
      </c>
      <c r="D4372" s="2" t="str">
        <f t="shared" si="67"/>
        <v>Error?</v>
      </c>
    </row>
    <row r="4373" spans="1:4" x14ac:dyDescent="0.2">
      <c r="A4373" s="5">
        <v>4312</v>
      </c>
      <c r="B4373" s="1814">
        <f>'Revenues 9-14'!I175</f>
        <v>0</v>
      </c>
      <c r="C4373" s="2" t="s">
        <v>569</v>
      </c>
      <c r="D4373" s="2" t="str">
        <f t="shared" si="67"/>
        <v>Error?</v>
      </c>
    </row>
    <row r="4374" spans="1:4" x14ac:dyDescent="0.2">
      <c r="A4374" s="10">
        <v>4313</v>
      </c>
      <c r="B4374" s="1814"/>
      <c r="C4374" s="2" t="s">
        <v>569</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569</v>
      </c>
      <c r="D4395" s="2" t="str">
        <f t="shared" si="67"/>
        <v>Error?</v>
      </c>
    </row>
    <row r="4396" spans="1:5" x14ac:dyDescent="0.2">
      <c r="A4396" s="5">
        <v>4335</v>
      </c>
      <c r="B4396" s="1814">
        <f>'Revenues 9-14'!D188</f>
        <v>0</v>
      </c>
      <c r="C4396" s="2" t="s">
        <v>569</v>
      </c>
      <c r="D4396" s="2" t="str">
        <f t="shared" si="67"/>
        <v>Error?</v>
      </c>
    </row>
    <row r="4397" spans="1:5" x14ac:dyDescent="0.2">
      <c r="A4397" s="5">
        <v>4336</v>
      </c>
      <c r="B4397" s="1814">
        <f>'Revenues 9-14'!F188</f>
        <v>0</v>
      </c>
      <c r="C4397" s="2" t="s">
        <v>569</v>
      </c>
      <c r="D4397" s="2" t="str">
        <f t="shared" si="67"/>
        <v>Error?</v>
      </c>
    </row>
    <row r="4398" spans="1:5" x14ac:dyDescent="0.2">
      <c r="A4398" s="5">
        <v>4337</v>
      </c>
      <c r="B4398" s="1814">
        <f>'Revenues 9-14'!G188</f>
        <v>0</v>
      </c>
      <c r="C4398" s="2" t="s">
        <v>569</v>
      </c>
      <c r="D4398" s="2" t="str">
        <f t="shared" si="67"/>
        <v>Error?</v>
      </c>
    </row>
    <row r="4399" spans="1:5" x14ac:dyDescent="0.2">
      <c r="A4399" s="10">
        <v>4338</v>
      </c>
      <c r="B4399" s="1814"/>
      <c r="D4399" s="2" t="str">
        <f t="shared" si="67"/>
        <v>OK</v>
      </c>
      <c r="E4399" s="4" t="s">
        <v>1893</v>
      </c>
    </row>
    <row r="4400" spans="1:5" x14ac:dyDescent="0.2">
      <c r="A4400" s="10">
        <v>4339</v>
      </c>
      <c r="B4400" s="1814"/>
      <c r="D4400" s="2" t="str">
        <f t="shared" si="67"/>
        <v>OK</v>
      </c>
      <c r="E4400" s="4" t="s">
        <v>1893</v>
      </c>
    </row>
    <row r="4401" spans="1:5" x14ac:dyDescent="0.2">
      <c r="A4401" s="10">
        <v>4340</v>
      </c>
      <c r="B4401" s="1814"/>
      <c r="D4401" s="2" t="str">
        <f t="shared" si="67"/>
        <v>OK</v>
      </c>
      <c r="E4401" s="4" t="s">
        <v>1893</v>
      </c>
    </row>
    <row r="4402" spans="1:5" x14ac:dyDescent="0.2">
      <c r="A4402" s="10">
        <v>4341</v>
      </c>
      <c r="B4402" s="1814"/>
      <c r="D4402" s="2" t="str">
        <f t="shared" si="67"/>
        <v>OK</v>
      </c>
      <c r="E4402" s="4" t="s">
        <v>1893</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0</v>
      </c>
      <c r="C4411" s="2" t="s">
        <v>569</v>
      </c>
      <c r="D4411" s="2" t="str">
        <f t="shared" si="67"/>
        <v>Error?</v>
      </c>
    </row>
    <row r="4412" spans="1:5" x14ac:dyDescent="0.2">
      <c r="A4412" s="5">
        <v>4351</v>
      </c>
      <c r="B4412" s="1814">
        <f>'Revenues 9-14'!D209</f>
        <v>0</v>
      </c>
      <c r="C4412" s="2" t="s">
        <v>569</v>
      </c>
      <c r="D4412" s="2" t="str">
        <f t="shared" si="67"/>
        <v>Error?</v>
      </c>
    </row>
    <row r="4413" spans="1:5" x14ac:dyDescent="0.2">
      <c r="A4413" s="5">
        <v>4352</v>
      </c>
      <c r="B4413" s="1814">
        <f>'Revenues 9-14'!F209</f>
        <v>0</v>
      </c>
      <c r="C4413" s="2" t="s">
        <v>569</v>
      </c>
      <c r="D4413" s="2" t="str">
        <f t="shared" si="67"/>
        <v>Error?</v>
      </c>
    </row>
    <row r="4414" spans="1:5" x14ac:dyDescent="0.2">
      <c r="A4414" s="5">
        <v>4353</v>
      </c>
      <c r="B4414" s="1814">
        <f>'Revenues 9-14'!G209</f>
        <v>0</v>
      </c>
      <c r="C4414" s="2" t="s">
        <v>569</v>
      </c>
      <c r="D4414" s="2" t="str">
        <f t="shared" si="67"/>
        <v>Error?</v>
      </c>
    </row>
    <row r="4415" spans="1:5" x14ac:dyDescent="0.2">
      <c r="A4415" s="5">
        <v>4354</v>
      </c>
      <c r="B4415" s="1814">
        <f>'Revenues 9-14'!C256</f>
        <v>0</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0</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569</v>
      </c>
      <c r="D4434" s="2" t="str">
        <f t="shared" si="68"/>
        <v>Error?</v>
      </c>
    </row>
    <row r="4435" spans="1:5" x14ac:dyDescent="0.2">
      <c r="A4435" s="5">
        <v>4374</v>
      </c>
      <c r="B4435" s="1814">
        <f>'Revenues 9-14'!I267</f>
        <v>0</v>
      </c>
      <c r="C4435" s="2" t="s">
        <v>569</v>
      </c>
      <c r="D4435" s="2" t="str">
        <f t="shared" si="68"/>
        <v>Error?</v>
      </c>
    </row>
    <row r="4436" spans="1:5" x14ac:dyDescent="0.2">
      <c r="A4436" s="10">
        <v>4375</v>
      </c>
      <c r="B4436" s="1814"/>
      <c r="C4436" s="2" t="s">
        <v>569</v>
      </c>
      <c r="D4436" s="2" t="str">
        <f t="shared" si="68"/>
        <v>OK</v>
      </c>
      <c r="E4436" s="125"/>
    </row>
    <row r="4437" spans="1:5" x14ac:dyDescent="0.2">
      <c r="A4437" s="12">
        <v>4376</v>
      </c>
      <c r="B4437" s="1814">
        <f>('FP Info 3'!L10)*100000</f>
        <v>0</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569</v>
      </c>
      <c r="D4441" s="2" t="str">
        <f t="shared" si="68"/>
        <v>Error?</v>
      </c>
    </row>
    <row r="4442" spans="1:5" x14ac:dyDescent="0.2">
      <c r="A4442" s="5">
        <v>4381</v>
      </c>
      <c r="B4442" s="1814">
        <f>'Revenues 9-14'!K266</f>
        <v>0</v>
      </c>
      <c r="C4442" s="2" t="s">
        <v>569</v>
      </c>
      <c r="D4442" s="2" t="str">
        <f t="shared" si="68"/>
        <v>Error?</v>
      </c>
    </row>
    <row r="4443" spans="1:5" x14ac:dyDescent="0.2">
      <c r="A4443" s="5">
        <v>4382</v>
      </c>
      <c r="B4443" s="1814">
        <f>'Acct Summary 7-8'!E7</f>
        <v>0</v>
      </c>
      <c r="C4443" s="2" t="s">
        <v>569</v>
      </c>
      <c r="D4443" s="2" t="str">
        <f t="shared" si="68"/>
        <v>Error?</v>
      </c>
    </row>
    <row r="4444" spans="1:5" x14ac:dyDescent="0.2">
      <c r="A4444" s="5">
        <v>4383</v>
      </c>
      <c r="B4444" s="1814">
        <f>'Acct Summary 7-8'!I7</f>
        <v>0</v>
      </c>
      <c r="C4444" s="2" t="s">
        <v>569</v>
      </c>
      <c r="D4444" s="2" t="str">
        <f t="shared" si="68"/>
        <v>Error?</v>
      </c>
    </row>
    <row r="4445" spans="1:5" x14ac:dyDescent="0.2">
      <c r="A4445" s="10">
        <v>4384</v>
      </c>
      <c r="B4445" s="1814"/>
      <c r="C4445" s="2" t="s">
        <v>569</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569</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400938</v>
      </c>
      <c r="D4792" s="2" t="str">
        <f t="shared" si="73"/>
        <v>Error?</v>
      </c>
    </row>
    <row r="4793" spans="1:4" x14ac:dyDescent="0.2">
      <c r="A4793" s="5">
        <v>4732</v>
      </c>
      <c r="B4793" s="1814">
        <f>'Revenues 9-14'!D168</f>
        <v>50000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0</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569</v>
      </c>
      <c r="D4950" s="2" t="str">
        <f t="shared" si="76"/>
        <v>Error?</v>
      </c>
    </row>
    <row r="4951" spans="1:4" x14ac:dyDescent="0.2">
      <c r="A4951" s="5">
        <v>4890</v>
      </c>
      <c r="B4951" s="1814">
        <f>'Revenues 9-14'!K175</f>
        <v>0</v>
      </c>
      <c r="C4951" s="2" t="s">
        <v>569</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0</v>
      </c>
      <c r="D4995" s="2" t="str">
        <f t="shared" si="77"/>
        <v>Error?</v>
      </c>
    </row>
    <row r="4996" spans="1:4" x14ac:dyDescent="0.2">
      <c r="A4996" s="12">
        <v>4935</v>
      </c>
      <c r="B4996" s="1814" t="str">
        <f>'FP Info 3'!H31</f>
        <v>Enter x in a.or b.</v>
      </c>
      <c r="D4996" s="2" t="e">
        <f t="shared" si="77"/>
        <v>#VALUE!</v>
      </c>
    </row>
    <row r="4997" spans="1:4" x14ac:dyDescent="0.2">
      <c r="A4997" s="12">
        <v>4936</v>
      </c>
      <c r="B4997" s="1814">
        <f>'FP Info 3'!H37</f>
        <v>2425000</v>
      </c>
      <c r="D4997" s="2" t="str">
        <f t="shared" si="77"/>
        <v>Error?</v>
      </c>
    </row>
    <row r="4998" spans="1:4" x14ac:dyDescent="0.2">
      <c r="A4998" s="10">
        <v>4937</v>
      </c>
      <c r="B4998" s="1814"/>
      <c r="D4998" s="2" t="str">
        <f t="shared" si="77"/>
        <v>OK</v>
      </c>
    </row>
    <row r="4999" spans="1:4" x14ac:dyDescent="0.2">
      <c r="A4999" s="10">
        <v>4938</v>
      </c>
      <c r="B4999" s="1814"/>
      <c r="C4999" s="2" t="s">
        <v>569</v>
      </c>
      <c r="D4999" s="2" t="str">
        <f t="shared" si="77"/>
        <v>OK</v>
      </c>
    </row>
    <row r="5000" spans="1:4" x14ac:dyDescent="0.2">
      <c r="A5000" s="5">
        <v>4939</v>
      </c>
      <c r="B5000" s="1814">
        <f>'Revenues 9-14'!K169</f>
        <v>0</v>
      </c>
      <c r="C5000" s="2" t="s">
        <v>569</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569</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569</v>
      </c>
      <c r="D5009" s="2" t="str">
        <f t="shared" si="77"/>
        <v>OK</v>
      </c>
    </row>
    <row r="5010" spans="1:4" x14ac:dyDescent="0.2">
      <c r="A5010" s="10">
        <v>4949</v>
      </c>
      <c r="B5010" s="1814"/>
      <c r="C5010" s="2" t="s">
        <v>569</v>
      </c>
      <c r="D5010" s="2" t="str">
        <f t="shared" si="77"/>
        <v>OK</v>
      </c>
    </row>
    <row r="5011" spans="1:4" x14ac:dyDescent="0.2">
      <c r="A5011" s="5">
        <v>4950</v>
      </c>
      <c r="B5011" s="1814">
        <f>'Acct Summary 7-8'!I6</f>
        <v>0</v>
      </c>
      <c r="C5011" s="2" t="s">
        <v>569</v>
      </c>
      <c r="D5011" s="2" t="str">
        <f t="shared" si="77"/>
        <v>Error?</v>
      </c>
    </row>
    <row r="5012" spans="1:4" x14ac:dyDescent="0.2">
      <c r="A5012" s="5">
        <v>4951</v>
      </c>
      <c r="B5012" s="1814">
        <f>'Acct Summary 7-8'!C27</f>
        <v>0</v>
      </c>
      <c r="C5012" s="2" t="s">
        <v>569</v>
      </c>
      <c r="D5012" s="2" t="str">
        <f t="shared" si="77"/>
        <v>Error?</v>
      </c>
    </row>
    <row r="5013" spans="1:4" x14ac:dyDescent="0.2">
      <c r="A5013" s="5">
        <v>4952</v>
      </c>
      <c r="B5013" s="1814">
        <f>'Acct Summary 7-8'!D27</f>
        <v>4000000</v>
      </c>
      <c r="D5013" s="2" t="str">
        <f t="shared" si="77"/>
        <v>Error?</v>
      </c>
    </row>
    <row r="5014" spans="1:4" x14ac:dyDescent="0.2">
      <c r="A5014" s="5">
        <v>4953</v>
      </c>
      <c r="B5014" s="1814">
        <f>'Acct Summary 7-8'!F27</f>
        <v>450000</v>
      </c>
      <c r="C5014" s="2" t="s">
        <v>569</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4450000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569</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0</v>
      </c>
      <c r="D5061" s="2" t="str">
        <f t="shared" si="78"/>
        <v>Error?</v>
      </c>
    </row>
    <row r="5062" spans="1:4" x14ac:dyDescent="0.2">
      <c r="A5062" s="10">
        <v>5001</v>
      </c>
      <c r="B5062" s="1814"/>
      <c r="D5062" s="2" t="str">
        <f t="shared" si="78"/>
        <v>OK</v>
      </c>
    </row>
    <row r="5063" spans="1:4" x14ac:dyDescent="0.2">
      <c r="A5063" s="5">
        <v>5002</v>
      </c>
      <c r="B5063" s="1814">
        <f>'Revenues 9-14'!C7</f>
        <v>0</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0</v>
      </c>
      <c r="C5066" s="2" t="s">
        <v>569</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0</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0</v>
      </c>
      <c r="C5071" s="2" t="s">
        <v>569</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0</v>
      </c>
      <c r="D5075" s="2" t="str">
        <f t="shared" si="78"/>
        <v>Error?</v>
      </c>
    </row>
    <row r="5076" spans="1:4" x14ac:dyDescent="0.2">
      <c r="A5076" s="5">
        <v>5015</v>
      </c>
      <c r="B5076" s="1814">
        <f>'Revenues 9-14'!C25</f>
        <v>444281</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30555571</v>
      </c>
      <c r="D5082" s="2" t="str">
        <f t="shared" si="78"/>
        <v>Error?</v>
      </c>
    </row>
    <row r="5083" spans="1:4" x14ac:dyDescent="0.2">
      <c r="A5083" s="5">
        <v>5022</v>
      </c>
      <c r="B5083" s="1814">
        <f>'Revenues 9-14'!C34</f>
        <v>520930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31520782</v>
      </c>
      <c r="C5087" s="2" t="s">
        <v>569</v>
      </c>
      <c r="D5087" s="2" t="str">
        <f t="shared" si="78"/>
        <v>Error?</v>
      </c>
    </row>
    <row r="5088" spans="1:4" x14ac:dyDescent="0.2">
      <c r="A5088" s="5">
        <v>5027</v>
      </c>
      <c r="B5088" s="1814">
        <f>'Revenues 9-14'!C65</f>
        <v>359307</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359307</v>
      </c>
      <c r="C5090" s="2" t="s">
        <v>569</v>
      </c>
      <c r="D5090" s="2" t="str">
        <f t="shared" si="78"/>
        <v>Error?</v>
      </c>
    </row>
    <row r="5091" spans="1:4" x14ac:dyDescent="0.2">
      <c r="A5091" s="5">
        <v>5030</v>
      </c>
      <c r="B5091" s="1814">
        <f>'Revenues 9-14'!C70</f>
        <v>0</v>
      </c>
      <c r="D5091" s="2" t="str">
        <f t="shared" si="78"/>
        <v>Error?</v>
      </c>
    </row>
    <row r="5092" spans="1:4" x14ac:dyDescent="0.2">
      <c r="A5092" s="5">
        <v>5031</v>
      </c>
      <c r="B5092" s="1814">
        <f>'Revenues 9-14'!C71</f>
        <v>0</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231</v>
      </c>
      <c r="D5094" s="2" t="str">
        <f t="shared" si="78"/>
        <v>Error?</v>
      </c>
    </row>
    <row r="5095" spans="1:4" x14ac:dyDescent="0.2">
      <c r="A5095" s="5">
        <v>5034</v>
      </c>
      <c r="B5095" s="1814">
        <f>'Revenues 9-14'!C74</f>
        <v>0</v>
      </c>
      <c r="D5095" s="2" t="str">
        <f t="shared" si="78"/>
        <v>Error?</v>
      </c>
    </row>
    <row r="5096" spans="1:4" x14ac:dyDescent="0.2">
      <c r="A5096" s="5">
        <v>5035</v>
      </c>
      <c r="B5096" s="1814">
        <f>'Revenues 9-14'!C75</f>
        <v>13734</v>
      </c>
      <c r="C5096" s="2" t="s">
        <v>569</v>
      </c>
      <c r="D5096" s="2" t="str">
        <f t="shared" si="78"/>
        <v>Error?</v>
      </c>
    </row>
    <row r="5097" spans="1:4" x14ac:dyDescent="0.2">
      <c r="A5097" s="5">
        <v>5036</v>
      </c>
      <c r="B5097" s="1814">
        <f>'Revenues 9-14'!C77</f>
        <v>0</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100</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0</v>
      </c>
      <c r="D5101" s="2" t="str">
        <f t="shared" si="78"/>
        <v>Error?</v>
      </c>
    </row>
    <row r="5102" spans="1:4" x14ac:dyDescent="0.2">
      <c r="A5102" s="5">
        <v>5041</v>
      </c>
      <c r="B5102" s="1814">
        <f>'Revenues 9-14'!C82</f>
        <v>100</v>
      </c>
      <c r="C5102" s="2" t="s">
        <v>569</v>
      </c>
      <c r="D5102" s="2" t="str">
        <f t="shared" si="78"/>
        <v>Error?</v>
      </c>
    </row>
    <row r="5103" spans="1:4" x14ac:dyDescent="0.2">
      <c r="A5103" s="5">
        <v>5042</v>
      </c>
      <c r="B5103" s="1814">
        <f>'Revenues 9-14'!C84</f>
        <v>0</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0</v>
      </c>
      <c r="D5111" s="2" t="str">
        <f t="shared" si="78"/>
        <v>Error?</v>
      </c>
    </row>
    <row r="5112" spans="1:4" x14ac:dyDescent="0.2">
      <c r="A5112" s="5">
        <v>5051</v>
      </c>
      <c r="B5112" s="1814">
        <f>'Revenues 9-14'!C93</f>
        <v>0</v>
      </c>
      <c r="C5112" s="2" t="s">
        <v>569</v>
      </c>
      <c r="D5112" s="2" t="str">
        <f t="shared" si="78"/>
        <v>Error?</v>
      </c>
    </row>
    <row r="5113" spans="1:4" x14ac:dyDescent="0.2">
      <c r="A5113" s="5">
        <v>5052</v>
      </c>
      <c r="B5113" s="1814">
        <f>'Revenues 9-14'!C95</f>
        <v>0</v>
      </c>
      <c r="D5113" s="2" t="str">
        <f t="shared" si="78"/>
        <v>Error?</v>
      </c>
    </row>
    <row r="5114" spans="1:4" x14ac:dyDescent="0.2">
      <c r="A5114" s="5">
        <v>5053</v>
      </c>
      <c r="B5114" s="1814">
        <f>'Revenues 9-14'!C96</f>
        <v>66908</v>
      </c>
      <c r="D5114" s="2" t="str">
        <f t="shared" si="78"/>
        <v>Error?</v>
      </c>
    </row>
    <row r="5115" spans="1:4" x14ac:dyDescent="0.2">
      <c r="A5115" s="5">
        <v>5054</v>
      </c>
      <c r="B5115" s="1814">
        <f>'Revenues 9-14'!C98</f>
        <v>2532508</v>
      </c>
      <c r="D5115" s="2" t="str">
        <f t="shared" si="78"/>
        <v>Error?</v>
      </c>
    </row>
    <row r="5116" spans="1:4" x14ac:dyDescent="0.2">
      <c r="A5116" s="5">
        <v>5055</v>
      </c>
      <c r="B5116" s="1814">
        <f>'Revenues 9-14'!C99</f>
        <v>0</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2289700</v>
      </c>
      <c r="D5118" s="2" t="str">
        <f t="shared" si="78"/>
        <v>Error?</v>
      </c>
    </row>
    <row r="5119" spans="1:4" x14ac:dyDescent="0.2">
      <c r="A5119" s="5">
        <v>5058</v>
      </c>
      <c r="B5119" s="1814">
        <f>'Revenues 9-14'!C107</f>
        <v>925512</v>
      </c>
      <c r="D5119" s="2" t="str">
        <f t="shared" ref="D5119:D5182" si="79">IF(ISBLANK(B5119),"OK",IF(A5119-B5119=0,"OK","Error?"))</f>
        <v>Error?</v>
      </c>
    </row>
    <row r="5120" spans="1:4" x14ac:dyDescent="0.2">
      <c r="A5120" s="5">
        <v>5059</v>
      </c>
      <c r="B5120" s="1814">
        <f>'Revenues 9-14'!C108</f>
        <v>5814628</v>
      </c>
      <c r="C5120" s="2" t="s">
        <v>569</v>
      </c>
      <c r="D5120" s="2" t="str">
        <f t="shared" si="79"/>
        <v>Error?</v>
      </c>
    </row>
    <row r="5121" spans="1:4" x14ac:dyDescent="0.2">
      <c r="A5121" s="5">
        <v>5060</v>
      </c>
      <c r="B5121" s="1814">
        <f>'Revenues 9-14'!C109</f>
        <v>37708551</v>
      </c>
      <c r="C5121" s="2" t="s">
        <v>569</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10641153</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10641153</v>
      </c>
      <c r="C5125" s="2" t="s">
        <v>569</v>
      </c>
      <c r="D5125" s="2" t="str">
        <f t="shared" si="79"/>
        <v>Error?</v>
      </c>
    </row>
    <row r="5126" spans="1:4" x14ac:dyDescent="0.2">
      <c r="A5126" s="5">
        <v>5065</v>
      </c>
      <c r="B5126" s="1814">
        <f>'Revenues 9-14'!C117</f>
        <v>3751446</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3751446</v>
      </c>
      <c r="C5132" s="2" t="s">
        <v>569</v>
      </c>
      <c r="D5132" s="2" t="str">
        <f t="shared" si="79"/>
        <v>Error?</v>
      </c>
    </row>
    <row r="5133" spans="1:4" x14ac:dyDescent="0.2">
      <c r="A5133" s="5">
        <v>5072</v>
      </c>
      <c r="B5133" s="1814">
        <f>'Revenues 9-14'!C125</f>
        <v>0</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0</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0</v>
      </c>
      <c r="C5147" s="2" t="s">
        <v>569</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0</v>
      </c>
      <c r="C5161" s="2" t="s">
        <v>569</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569</v>
      </c>
      <c r="D5165" s="2" t="str">
        <f t="shared" si="79"/>
        <v>Error?</v>
      </c>
    </row>
    <row r="5166" spans="1:4" x14ac:dyDescent="0.2">
      <c r="A5166" s="10">
        <v>5105</v>
      </c>
      <c r="B5166" s="1814"/>
      <c r="D5166" s="2" t="str">
        <f t="shared" si="79"/>
        <v>OK</v>
      </c>
    </row>
    <row r="5167" spans="1:4" x14ac:dyDescent="0.2">
      <c r="A5167" s="5">
        <v>5106</v>
      </c>
      <c r="B5167" s="1814">
        <f>'Revenues 9-14'!C146</f>
        <v>3473</v>
      </c>
      <c r="D5167" s="2" t="str">
        <f t="shared" si="79"/>
        <v>Error?</v>
      </c>
    </row>
    <row r="5168" spans="1:4" x14ac:dyDescent="0.2">
      <c r="A5168" s="5">
        <v>5107</v>
      </c>
      <c r="B5168" s="1814">
        <f>'Revenues 9-14'!C148</f>
        <v>0</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569</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0</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1893</v>
      </c>
    </row>
    <row r="5200" spans="1:5" x14ac:dyDescent="0.2">
      <c r="A5200" s="10">
        <v>5139</v>
      </c>
      <c r="B5200" s="1814"/>
      <c r="D5200" s="2" t="str">
        <f t="shared" si="80"/>
        <v>OK</v>
      </c>
      <c r="E5200" s="4" t="s">
        <v>1893</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404411</v>
      </c>
      <c r="C5214" s="2" t="s">
        <v>569</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4155857</v>
      </c>
      <c r="C5223" s="2" t="s">
        <v>569</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569</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569</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116460</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45857</v>
      </c>
      <c r="D5241" s="2" t="str">
        <f t="shared" si="80"/>
        <v>Error?</v>
      </c>
    </row>
    <row r="5242" spans="1:4" x14ac:dyDescent="0.2">
      <c r="A5242" s="5">
        <v>5181</v>
      </c>
      <c r="B5242" s="1814">
        <f>'Revenues 9-14'!C194</f>
        <v>0</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162317</v>
      </c>
      <c r="C5246" s="2" t="s">
        <v>569</v>
      </c>
      <c r="D5246" s="2" t="str">
        <f t="shared" si="80"/>
        <v>Error?</v>
      </c>
    </row>
    <row r="5247" spans="1:4" x14ac:dyDescent="0.2">
      <c r="A5247" s="5">
        <v>5186</v>
      </c>
      <c r="B5247" s="1814">
        <f>'Revenues 9-14'!C200</f>
        <v>0</v>
      </c>
      <c r="D5247" s="2" t="str">
        <f t="shared" ref="D5247:D5310" si="81">IF(ISBLANK(B5247),"OK",IF(A5247-B5247=0,"OK","Error?"))</f>
        <v>Error?</v>
      </c>
    </row>
    <row r="5248" spans="1:4" x14ac:dyDescent="0.2">
      <c r="A5248" s="5">
        <v>5187</v>
      </c>
      <c r="B5248" s="1814">
        <f>'Revenues 9-14'!C201</f>
        <v>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1893</v>
      </c>
    </row>
    <row r="5255" spans="1:5" x14ac:dyDescent="0.2">
      <c r="A5255" s="5">
        <v>5194</v>
      </c>
      <c r="B5255" s="1814">
        <f>'Revenues 9-14'!C202</f>
        <v>0</v>
      </c>
      <c r="D5255" s="2" t="str">
        <f t="shared" si="81"/>
        <v>Error?</v>
      </c>
    </row>
    <row r="5256" spans="1:5" x14ac:dyDescent="0.2">
      <c r="A5256" s="5">
        <v>5195</v>
      </c>
      <c r="B5256" s="1814">
        <f>'Revenues 9-14'!C206</f>
        <v>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0</v>
      </c>
      <c r="C5260" s="2" t="s">
        <v>569</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26672</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7764501</v>
      </c>
      <c r="D5278" s="2" t="str">
        <f t="shared" si="81"/>
        <v>Error?</v>
      </c>
    </row>
    <row r="5279" spans="1:4" x14ac:dyDescent="0.2">
      <c r="A5279" s="5">
        <v>5218</v>
      </c>
      <c r="B5279" s="1814">
        <f>'Revenues 9-14'!C214</f>
        <v>0</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7791173</v>
      </c>
      <c r="C5286" s="2" t="s">
        <v>569</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0</v>
      </c>
      <c r="C5304" s="2" t="s">
        <v>569</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0</v>
      </c>
      <c r="D5312" s="2" t="str">
        <f t="shared" si="82"/>
        <v>Error?</v>
      </c>
    </row>
    <row r="5313" spans="1:5" x14ac:dyDescent="0.2">
      <c r="A5313" s="10">
        <v>5252</v>
      </c>
      <c r="B5313" s="1814"/>
      <c r="D5313" s="2" t="str">
        <f t="shared" si="82"/>
        <v>OK</v>
      </c>
      <c r="E5313" s="4" t="s">
        <v>1893</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8409223</v>
      </c>
      <c r="C5320" s="2" t="s">
        <v>569</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8409223</v>
      </c>
      <c r="C5326" s="2" t="s">
        <v>569</v>
      </c>
      <c r="D5326" s="2" t="str">
        <f t="shared" si="82"/>
        <v>Error?</v>
      </c>
    </row>
    <row r="5327" spans="1:5" x14ac:dyDescent="0.2">
      <c r="A5327" s="5">
        <v>5266</v>
      </c>
      <c r="B5327" s="1814">
        <f>'Revenues 9-14'!C268</f>
        <v>60914784</v>
      </c>
      <c r="C5327" s="2" t="s">
        <v>569</v>
      </c>
      <c r="D5327" s="2" t="str">
        <f t="shared" si="82"/>
        <v>Error?</v>
      </c>
    </row>
    <row r="5328" spans="1:5" x14ac:dyDescent="0.2">
      <c r="A5328" s="5">
        <v>5267</v>
      </c>
      <c r="B5328" s="1814">
        <f>'Revenues 9-14'!D5</f>
        <v>0</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0</v>
      </c>
      <c r="C5334" s="2" t="s">
        <v>569</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569</v>
      </c>
      <c r="D5339" s="2" t="str">
        <f t="shared" si="82"/>
        <v>Error?</v>
      </c>
    </row>
    <row r="5340" spans="1:4" x14ac:dyDescent="0.2">
      <c r="A5340" s="5">
        <v>5279</v>
      </c>
      <c r="B5340" s="1814">
        <f>'Revenues 9-14'!D65</f>
        <v>50439</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50439</v>
      </c>
      <c r="C5342" s="2" t="s">
        <v>569</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569</v>
      </c>
      <c r="D5348" s="2" t="str">
        <f t="shared" si="82"/>
        <v>Error?</v>
      </c>
    </row>
    <row r="5349" spans="1:4" x14ac:dyDescent="0.2">
      <c r="A5349" s="5">
        <v>5288</v>
      </c>
      <c r="B5349" s="1814">
        <f>'Revenues 9-14'!D95</f>
        <v>0</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2717963</v>
      </c>
      <c r="D5353" s="2" t="str">
        <f t="shared" si="82"/>
        <v>Error?</v>
      </c>
    </row>
    <row r="5354" spans="1:4" x14ac:dyDescent="0.2">
      <c r="A5354" s="5">
        <v>5293</v>
      </c>
      <c r="B5354" s="1814">
        <f>'Revenues 9-14'!D107</f>
        <v>91118</v>
      </c>
      <c r="D5354" s="2" t="str">
        <f t="shared" si="82"/>
        <v>Error?</v>
      </c>
    </row>
    <row r="5355" spans="1:4" x14ac:dyDescent="0.2">
      <c r="A5355" s="5">
        <v>5294</v>
      </c>
      <c r="B5355" s="1814">
        <f>'Revenues 9-14'!D108</f>
        <v>2809081</v>
      </c>
      <c r="C5355" s="2" t="s">
        <v>569</v>
      </c>
      <c r="D5355" s="2" t="str">
        <f t="shared" si="82"/>
        <v>Error?</v>
      </c>
    </row>
    <row r="5356" spans="1:4" x14ac:dyDescent="0.2">
      <c r="A5356" s="5">
        <v>5295</v>
      </c>
      <c r="B5356" s="1814">
        <f>'Revenues 9-14'!D109</f>
        <v>2859520</v>
      </c>
      <c r="C5356" s="2" t="s">
        <v>569</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569</v>
      </c>
      <c r="D5360" s="2" t="str">
        <f t="shared" si="82"/>
        <v>Error?</v>
      </c>
    </row>
    <row r="5361" spans="1:4" x14ac:dyDescent="0.2">
      <c r="A5361" s="5">
        <v>5300</v>
      </c>
      <c r="B5361" s="1814">
        <f>'Revenues 9-14'!D117</f>
        <v>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0</v>
      </c>
      <c r="C5367" s="2" t="s">
        <v>569</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569</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569</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569</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50000</v>
      </c>
      <c r="C5412" s="2" t="s">
        <v>569</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50000</v>
      </c>
      <c r="C5421" s="2" t="s">
        <v>569</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569</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569</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1893</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569</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569</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569</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569</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569</v>
      </c>
      <c r="D5507" s="2" t="str">
        <f t="shared" si="85"/>
        <v>Error?</v>
      </c>
    </row>
    <row r="5508" spans="1:4" x14ac:dyDescent="0.2">
      <c r="A5508" s="5">
        <v>5447</v>
      </c>
      <c r="B5508" s="1814">
        <f>'Revenues 9-14'!D268</f>
        <v>2909520</v>
      </c>
      <c r="C5508" s="2" t="s">
        <v>569</v>
      </c>
      <c r="D5508" s="2" t="str">
        <f t="shared" si="85"/>
        <v>Error?</v>
      </c>
    </row>
    <row r="5509" spans="1:4" x14ac:dyDescent="0.2">
      <c r="A5509" s="5">
        <v>5448</v>
      </c>
      <c r="B5509" s="1814">
        <f>'Revenues 9-14'!E5</f>
        <v>0</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0</v>
      </c>
      <c r="C5513" s="2" t="s">
        <v>569</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569</v>
      </c>
      <c r="D5518" s="2" t="str">
        <f t="shared" si="85"/>
        <v>Error?</v>
      </c>
    </row>
    <row r="5519" spans="1:4" x14ac:dyDescent="0.2">
      <c r="A5519" s="5">
        <v>5458</v>
      </c>
      <c r="B5519" s="1814">
        <f>'Revenues 9-14'!E65</f>
        <v>3894</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3894</v>
      </c>
      <c r="C5521" s="2" t="s">
        <v>569</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466900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466900</v>
      </c>
      <c r="C5526" s="2" t="s">
        <v>569</v>
      </c>
      <c r="D5526" s="2" t="str">
        <f t="shared" si="85"/>
        <v>Error?</v>
      </c>
    </row>
    <row r="5527" spans="1:4" x14ac:dyDescent="0.2">
      <c r="A5527" s="5">
        <v>5466</v>
      </c>
      <c r="B5527" s="1814">
        <f>'Revenues 9-14'!E109</f>
        <v>470794</v>
      </c>
      <c r="C5527" s="2" t="s">
        <v>569</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569</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569</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569</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470794</v>
      </c>
      <c r="C5552" s="2" t="s">
        <v>569</v>
      </c>
      <c r="D5552" s="2" t="str">
        <f t="shared" si="85"/>
        <v>Error?</v>
      </c>
    </row>
    <row r="5553" spans="1:4" x14ac:dyDescent="0.2">
      <c r="A5553" s="5">
        <v>5492</v>
      </c>
      <c r="B5553" s="1814">
        <f>'Revenues 9-14'!F5</f>
        <v>0</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0</v>
      </c>
      <c r="C5557" s="2" t="s">
        <v>569</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569</v>
      </c>
      <c r="D5562" s="2" t="str">
        <f t="shared" si="85"/>
        <v>Error?</v>
      </c>
    </row>
    <row r="5563" spans="1:4" x14ac:dyDescent="0.2">
      <c r="A5563" s="5">
        <v>5502</v>
      </c>
      <c r="B5563" s="1814">
        <f>'Revenues 9-14'!F42</f>
        <v>0</v>
      </c>
      <c r="D5563" s="2" t="str">
        <f t="shared" si="85"/>
        <v>Error?</v>
      </c>
    </row>
    <row r="5564" spans="1:4" x14ac:dyDescent="0.2">
      <c r="A5564" s="5">
        <v>5503</v>
      </c>
      <c r="B5564" s="1814">
        <f>'Revenues 9-14'!F43</f>
        <v>0</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0</v>
      </c>
      <c r="C5579" s="2" t="s">
        <v>569</v>
      </c>
      <c r="D5579" s="2" t="str">
        <f t="shared" si="86"/>
        <v>Error?</v>
      </c>
    </row>
    <row r="5580" spans="1:4" x14ac:dyDescent="0.2">
      <c r="A5580" s="5">
        <v>5519</v>
      </c>
      <c r="B5580" s="1814">
        <f>'Revenues 9-14'!F65</f>
        <v>2974</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2974</v>
      </c>
      <c r="C5582" s="2" t="s">
        <v>569</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0</v>
      </c>
      <c r="D5586" s="2" t="str">
        <f t="shared" si="86"/>
        <v>Error?</v>
      </c>
    </row>
    <row r="5587" spans="1:4" x14ac:dyDescent="0.2">
      <c r="A5587" s="5">
        <v>5526</v>
      </c>
      <c r="B5587" s="1814">
        <f>'Revenues 9-14'!F108</f>
        <v>0</v>
      </c>
      <c r="C5587" s="2" t="s">
        <v>569</v>
      </c>
      <c r="D5587" s="2" t="str">
        <f t="shared" si="86"/>
        <v>Error?</v>
      </c>
    </row>
    <row r="5588" spans="1:4" x14ac:dyDescent="0.2">
      <c r="A5588" s="5">
        <v>5527</v>
      </c>
      <c r="B5588" s="1814">
        <f>'Revenues 9-14'!F109</f>
        <v>2974</v>
      </c>
      <c r="C5588" s="2" t="s">
        <v>569</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569</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569</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569</v>
      </c>
      <c r="D5614" s="2" t="str">
        <f t="shared" si="86"/>
        <v>Error?</v>
      </c>
    </row>
    <row r="5615" spans="1:4" x14ac:dyDescent="0.2">
      <c r="A5615" s="5">
        <v>5554</v>
      </c>
      <c r="B5615" s="1814">
        <f>'Revenues 9-14'!F152</f>
        <v>0</v>
      </c>
      <c r="D5615" s="2" t="str">
        <f t="shared" si="86"/>
        <v>Error?</v>
      </c>
    </row>
    <row r="5616" spans="1:4" x14ac:dyDescent="0.2">
      <c r="A5616" s="10">
        <v>5555</v>
      </c>
      <c r="B5616" s="1814"/>
      <c r="D5616" s="2" t="str">
        <f t="shared" si="86"/>
        <v>OK</v>
      </c>
    </row>
    <row r="5617" spans="1:5" x14ac:dyDescent="0.2">
      <c r="A5617" s="5">
        <v>5556</v>
      </c>
      <c r="B5617" s="1814">
        <f>'Revenues 9-14'!F153</f>
        <v>785311</v>
      </c>
      <c r="D5617" s="2" t="str">
        <f t="shared" si="86"/>
        <v>Error?</v>
      </c>
    </row>
    <row r="5618" spans="1:5" x14ac:dyDescent="0.2">
      <c r="A5618" s="5">
        <v>5557</v>
      </c>
      <c r="B5618" s="1814">
        <f>'Revenues 9-14'!F155</f>
        <v>785311</v>
      </c>
      <c r="C5618" s="2" t="s">
        <v>569</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1893</v>
      </c>
    </row>
    <row r="5631" spans="1:5" x14ac:dyDescent="0.2">
      <c r="A5631" s="10">
        <v>5570</v>
      </c>
      <c r="B5631" s="1814"/>
      <c r="D5631" s="2" t="str">
        <f t="shared" ref="D5631:D5694" si="87">IF(ISBLANK(B5631),"OK",IF(A5631-B5631=0,"OK","Error?"))</f>
        <v>OK</v>
      </c>
      <c r="E5631" s="4" t="s">
        <v>1893</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785311</v>
      </c>
      <c r="C5644" s="2" t="s">
        <v>569</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785311</v>
      </c>
      <c r="C5653" s="2" t="s">
        <v>569</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569</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569</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1893</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569</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569</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1893</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569</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569</v>
      </c>
      <c r="D5719" s="2" t="str">
        <f t="shared" si="88"/>
        <v>Error?</v>
      </c>
    </row>
    <row r="5720" spans="1:4" x14ac:dyDescent="0.2">
      <c r="A5720" s="5">
        <v>5659</v>
      </c>
      <c r="B5720" s="1814">
        <f>'Revenues 9-14'!F268</f>
        <v>788285</v>
      </c>
      <c r="C5720" s="2" t="s">
        <v>569</v>
      </c>
      <c r="D5720" s="2" t="str">
        <f t="shared" si="88"/>
        <v>Error?</v>
      </c>
    </row>
    <row r="5721" spans="1:4" x14ac:dyDescent="0.2">
      <c r="A5721" s="5">
        <v>5660</v>
      </c>
      <c r="B5721" s="1814">
        <f>'Revenues 9-14'!G5</f>
        <v>0</v>
      </c>
      <c r="D5721" s="2" t="str">
        <f t="shared" si="88"/>
        <v>Error?</v>
      </c>
    </row>
    <row r="5722" spans="1:4" x14ac:dyDescent="0.2">
      <c r="A5722" s="5">
        <v>5661</v>
      </c>
      <c r="B5722" s="1814">
        <f>'Revenues 9-14'!G7</f>
        <v>0</v>
      </c>
      <c r="D5722" s="2" t="str">
        <f t="shared" si="88"/>
        <v>Error?</v>
      </c>
    </row>
    <row r="5723" spans="1:4" x14ac:dyDescent="0.2">
      <c r="A5723" s="5">
        <v>5662</v>
      </c>
      <c r="B5723" s="1814">
        <f>'Revenues 9-14'!G8</f>
        <v>0</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0</v>
      </c>
      <c r="C5725" s="2" t="s">
        <v>569</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0</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0</v>
      </c>
      <c r="C5730" s="2" t="s">
        <v>569</v>
      </c>
      <c r="D5730" s="2" t="str">
        <f t="shared" si="88"/>
        <v>Error?</v>
      </c>
    </row>
    <row r="5731" spans="1:4" x14ac:dyDescent="0.2">
      <c r="A5731" s="5">
        <v>5670</v>
      </c>
      <c r="B5731" s="1814">
        <f>'Revenues 9-14'!G65</f>
        <v>36073</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36073</v>
      </c>
      <c r="C5733" s="2" t="s">
        <v>569</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7539</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1407539</v>
      </c>
      <c r="C5737" s="2" t="s">
        <v>569</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569</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569</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569</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569</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1893</v>
      </c>
    </row>
    <row r="5768" spans="1:5" x14ac:dyDescent="0.2">
      <c r="A5768" s="10">
        <v>5707</v>
      </c>
      <c r="B5768" s="1814"/>
      <c r="D5768" s="2" t="str">
        <f t="shared" si="89"/>
        <v>OK</v>
      </c>
      <c r="E5768" s="4" t="s">
        <v>1893</v>
      </c>
    </row>
    <row r="5769" spans="1:5" x14ac:dyDescent="0.2">
      <c r="A5769" s="10">
        <v>5708</v>
      </c>
      <c r="B5769" s="1814"/>
      <c r="D5769" s="2" t="str">
        <f t="shared" si="89"/>
        <v>OK</v>
      </c>
    </row>
    <row r="5770" spans="1:5" x14ac:dyDescent="0.2">
      <c r="A5770" s="5">
        <v>5709</v>
      </c>
      <c r="B5770" s="1814">
        <f>'Revenues 9-14'!G169</f>
        <v>0</v>
      </c>
      <c r="C5770" s="2" t="s">
        <v>569</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569</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569</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569</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1893</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569</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569</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569</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1893</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569</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569</v>
      </c>
      <c r="D5869" s="2" t="str">
        <f t="shared" si="90"/>
        <v>Error?</v>
      </c>
    </row>
    <row r="5870" spans="1:4" x14ac:dyDescent="0.2">
      <c r="A5870" s="5">
        <v>5809</v>
      </c>
      <c r="B5870" s="1814">
        <f>'Revenues 9-14'!G268</f>
        <v>1443612</v>
      </c>
      <c r="C5870" s="2" t="s">
        <v>569</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569</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569</v>
      </c>
      <c r="D5878" s="2" t="str">
        <f t="shared" si="90"/>
        <v>Error?</v>
      </c>
    </row>
    <row r="5879" spans="1:4" x14ac:dyDescent="0.2">
      <c r="A5879" s="5">
        <v>5818</v>
      </c>
      <c r="B5879" s="1814">
        <f>'Revenues 9-14'!H65</f>
        <v>0</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0</v>
      </c>
      <c r="C5881" s="2" t="s">
        <v>569</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0</v>
      </c>
      <c r="C5886" s="2" t="s">
        <v>569</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569</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569</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569</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569</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569</v>
      </c>
      <c r="D5914" s="2" t="str">
        <f t="shared" si="91"/>
        <v>Error?</v>
      </c>
    </row>
    <row r="5915" spans="1:4" x14ac:dyDescent="0.2">
      <c r="A5915" s="5">
        <v>5854</v>
      </c>
      <c r="B5915" s="1814">
        <f>'Revenues 9-14'!H268</f>
        <v>0</v>
      </c>
      <c r="C5915" s="2" t="s">
        <v>569</v>
      </c>
      <c r="D5915" s="2" t="str">
        <f t="shared" si="91"/>
        <v>Error?</v>
      </c>
    </row>
    <row r="5916" spans="1:4" x14ac:dyDescent="0.2">
      <c r="A5916" s="5">
        <v>5855</v>
      </c>
      <c r="B5916" s="1814">
        <f>'Revenues 9-14'!I5</f>
        <v>0</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0</v>
      </c>
      <c r="C5918" s="2" t="s">
        <v>569</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569</v>
      </c>
      <c r="D5923" s="2" t="str">
        <f t="shared" si="91"/>
        <v>Error?</v>
      </c>
    </row>
    <row r="5924" spans="1:4" x14ac:dyDescent="0.2">
      <c r="A5924" s="5">
        <v>5863</v>
      </c>
      <c r="B5924" s="1814">
        <f>'Revenues 9-14'!I65</f>
        <v>0</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0</v>
      </c>
      <c r="C5926" s="2" t="s">
        <v>569</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569</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0</v>
      </c>
      <c r="C5946" s="2" t="s">
        <v>569</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569</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569</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569</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569</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569</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569</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569</v>
      </c>
      <c r="D5984" s="2" t="str">
        <f t="shared" si="92"/>
        <v>OK</v>
      </c>
    </row>
    <row r="5985" spans="1:4" x14ac:dyDescent="0.2">
      <c r="A5985" s="5">
        <v>5924</v>
      </c>
      <c r="B5985" s="1814">
        <f>'Revenues 9-14'!K5</f>
        <v>0</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0</v>
      </c>
      <c r="C5987" s="2" t="s">
        <v>569</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569</v>
      </c>
      <c r="D5992" s="2" t="str">
        <f t="shared" si="92"/>
        <v>Error?</v>
      </c>
    </row>
    <row r="5993" spans="1:4" x14ac:dyDescent="0.2">
      <c r="A5993" s="5">
        <v>5932</v>
      </c>
      <c r="B5993" s="1814">
        <f>'Revenues 9-14'!K65</f>
        <v>0</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0</v>
      </c>
      <c r="C5995" s="2" t="s">
        <v>569</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569</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569</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569</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569</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569</v>
      </c>
      <c r="D6022" s="2" t="str">
        <f t="shared" si="93"/>
        <v>Error?</v>
      </c>
    </row>
    <row r="6023" spans="1:5" x14ac:dyDescent="0.2">
      <c r="A6023" s="5">
        <v>5962</v>
      </c>
      <c r="B6023" s="1814">
        <f>'Revenues 9-14'!K268</f>
        <v>0</v>
      </c>
      <c r="C6023" s="2" t="s">
        <v>569</v>
      </c>
      <c r="D6023" s="2" t="str">
        <f t="shared" si="93"/>
        <v>Error?</v>
      </c>
    </row>
    <row r="6024" spans="1:5" x14ac:dyDescent="0.2">
      <c r="A6024" s="5">
        <v>5963</v>
      </c>
      <c r="B6024" s="1814">
        <f>'Revenues 9-14'!G109</f>
        <v>1443612</v>
      </c>
      <c r="C6024" s="2" t="s">
        <v>569</v>
      </c>
      <c r="D6024" s="2" t="str">
        <f t="shared" si="93"/>
        <v>Error?</v>
      </c>
    </row>
    <row r="6025" spans="1:5" x14ac:dyDescent="0.2">
      <c r="A6025" s="5">
        <v>5964</v>
      </c>
      <c r="B6025" s="1814">
        <f>'Revenues 9-14'!H109</f>
        <v>0</v>
      </c>
      <c r="C6025" s="2" t="s">
        <v>569</v>
      </c>
      <c r="D6025" s="2" t="str">
        <f t="shared" si="93"/>
        <v>Error?</v>
      </c>
    </row>
    <row r="6026" spans="1:5" x14ac:dyDescent="0.2">
      <c r="A6026" s="5">
        <v>5965</v>
      </c>
      <c r="B6026" s="1814">
        <f>'Revenues 9-14'!I109</f>
        <v>0</v>
      </c>
      <c r="C6026" s="2" t="s">
        <v>569</v>
      </c>
      <c r="D6026" s="2" t="str">
        <f t="shared" si="93"/>
        <v>Error?</v>
      </c>
    </row>
    <row r="6027" spans="1:5" x14ac:dyDescent="0.2">
      <c r="A6027" s="10">
        <v>5966</v>
      </c>
      <c r="B6027" s="1814"/>
      <c r="C6027" s="2" t="s">
        <v>569</v>
      </c>
      <c r="D6027" s="2" t="str">
        <f t="shared" si="93"/>
        <v>OK</v>
      </c>
    </row>
    <row r="6028" spans="1:5" x14ac:dyDescent="0.2">
      <c r="A6028" s="5">
        <v>5967</v>
      </c>
      <c r="B6028" s="1814">
        <f>'Revenues 9-14'!K109</f>
        <v>0</v>
      </c>
      <c r="C6028" s="2" t="s">
        <v>569</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13503</v>
      </c>
      <c r="D6031" s="2" t="str">
        <f t="shared" si="93"/>
        <v>Error?</v>
      </c>
    </row>
    <row r="6032" spans="1:5" x14ac:dyDescent="0.2">
      <c r="A6032" s="5">
        <v>5971</v>
      </c>
      <c r="B6032" s="1814">
        <f>'Acct Summary 7-8'!G15</f>
        <v>0</v>
      </c>
      <c r="C6032" s="2" t="s">
        <v>569</v>
      </c>
      <c r="D6032" s="2" t="str">
        <f t="shared" si="93"/>
        <v>Error?</v>
      </c>
      <c r="E6032" s="2" t="s">
        <v>102</v>
      </c>
    </row>
    <row r="6033" spans="1:5" x14ac:dyDescent="0.2">
      <c r="A6033" s="10">
        <v>5972</v>
      </c>
      <c r="B6033" s="1814"/>
      <c r="C6033" s="2" t="s">
        <v>569</v>
      </c>
      <c r="D6033" s="2" t="str">
        <f t="shared" si="93"/>
        <v>OK</v>
      </c>
      <c r="E6033" s="2" t="s">
        <v>102</v>
      </c>
    </row>
    <row r="6034" spans="1:5" x14ac:dyDescent="0.2">
      <c r="A6034" s="35">
        <v>5973</v>
      </c>
      <c r="B6034" s="1815"/>
      <c r="C6034" s="2" t="s">
        <v>569</v>
      </c>
      <c r="D6034" s="2" t="str">
        <f t="shared" si="93"/>
        <v>OK</v>
      </c>
      <c r="E6034" s="2" t="s">
        <v>747</v>
      </c>
    </row>
    <row r="6035" spans="1:5" x14ac:dyDescent="0.2">
      <c r="A6035" s="13">
        <v>5974</v>
      </c>
      <c r="B6035" s="1815">
        <f>'ICR Computation 30'!E11</f>
        <v>15932</v>
      </c>
      <c r="C6035" s="2" t="s">
        <v>569</v>
      </c>
      <c r="D6035" s="2" t="str">
        <f t="shared" si="93"/>
        <v>Error?</v>
      </c>
      <c r="E6035" s="2" t="s">
        <v>913</v>
      </c>
    </row>
    <row r="6036" spans="1:5" x14ac:dyDescent="0.2">
      <c r="A6036" s="35">
        <v>5975</v>
      </c>
      <c r="B6036" s="1815"/>
      <c r="D6036" s="2" t="str">
        <f t="shared" si="93"/>
        <v>OK</v>
      </c>
      <c r="E6036" s="2" t="s">
        <v>913</v>
      </c>
    </row>
    <row r="6037" spans="1:5" x14ac:dyDescent="0.2">
      <c r="A6037" s="35">
        <v>5976</v>
      </c>
      <c r="B6037" s="1815"/>
      <c r="D6037" s="2" t="str">
        <f t="shared" si="93"/>
        <v>OK</v>
      </c>
      <c r="E6037" s="2" t="s">
        <v>913</v>
      </c>
    </row>
    <row r="6038" spans="1:5" x14ac:dyDescent="0.2">
      <c r="A6038" s="35">
        <v>5977</v>
      </c>
      <c r="B6038" s="1815"/>
      <c r="D6038" s="2" t="str">
        <f t="shared" si="93"/>
        <v>OK</v>
      </c>
      <c r="E6038" s="2" t="s">
        <v>913</v>
      </c>
    </row>
    <row r="6039" spans="1:5" x14ac:dyDescent="0.2">
      <c r="A6039" s="35">
        <v>5978</v>
      </c>
      <c r="B6039" s="1815"/>
      <c r="D6039" s="2" t="str">
        <f t="shared" si="93"/>
        <v>OK</v>
      </c>
      <c r="E6039" s="2" t="s">
        <v>913</v>
      </c>
    </row>
    <row r="6040" spans="1:5" x14ac:dyDescent="0.2">
      <c r="A6040" s="35">
        <v>5979</v>
      </c>
      <c r="B6040" s="1815"/>
      <c r="D6040" s="2" t="str">
        <f t="shared" si="93"/>
        <v>OK</v>
      </c>
      <c r="E6040" s="2" t="s">
        <v>913</v>
      </c>
    </row>
    <row r="6041" spans="1:5" x14ac:dyDescent="0.2">
      <c r="A6041" s="35">
        <v>5980</v>
      </c>
      <c r="B6041" s="1815"/>
      <c r="D6041" s="2" t="str">
        <f t="shared" si="93"/>
        <v>OK</v>
      </c>
      <c r="E6041" s="2" t="s">
        <v>913</v>
      </c>
    </row>
    <row r="6042" spans="1:5" x14ac:dyDescent="0.2">
      <c r="A6042" s="35">
        <v>5981</v>
      </c>
      <c r="B6042" s="1815"/>
      <c r="D6042" s="2" t="str">
        <f t="shared" si="93"/>
        <v>OK</v>
      </c>
      <c r="E6042" s="2" t="s">
        <v>913</v>
      </c>
    </row>
    <row r="6043" spans="1:5" x14ac:dyDescent="0.2">
      <c r="A6043" s="35">
        <v>5982</v>
      </c>
      <c r="B6043" s="1815"/>
      <c r="D6043" s="2" t="str">
        <f t="shared" si="93"/>
        <v>OK</v>
      </c>
      <c r="E6043" s="2" t="s">
        <v>913</v>
      </c>
    </row>
    <row r="6044" spans="1:5" x14ac:dyDescent="0.2">
      <c r="A6044" s="35">
        <v>5983</v>
      </c>
      <c r="B6044" s="1815"/>
      <c r="D6044" s="2" t="str">
        <f t="shared" si="93"/>
        <v>OK</v>
      </c>
      <c r="E6044" s="2" t="s">
        <v>913</v>
      </c>
    </row>
    <row r="6045" spans="1:5" x14ac:dyDescent="0.2">
      <c r="A6045" s="35">
        <v>5984</v>
      </c>
      <c r="B6045" s="1815"/>
      <c r="D6045" s="2" t="str">
        <f t="shared" si="93"/>
        <v>OK</v>
      </c>
      <c r="E6045" s="2" t="s">
        <v>913</v>
      </c>
    </row>
    <row r="6046" spans="1:5" x14ac:dyDescent="0.2">
      <c r="A6046" s="35">
        <v>5985</v>
      </c>
      <c r="B6046" s="1815"/>
      <c r="D6046" s="2" t="str">
        <f t="shared" si="93"/>
        <v>OK</v>
      </c>
      <c r="E6046" s="2" t="s">
        <v>913</v>
      </c>
    </row>
    <row r="6047" spans="1:5" x14ac:dyDescent="0.2">
      <c r="A6047" s="35">
        <v>5986</v>
      </c>
      <c r="B6047" s="1815"/>
      <c r="D6047" s="2" t="str">
        <f t="shared" si="93"/>
        <v>OK</v>
      </c>
      <c r="E6047" s="2" t="s">
        <v>913</v>
      </c>
    </row>
    <row r="6048" spans="1:5" x14ac:dyDescent="0.2">
      <c r="A6048" s="35">
        <v>5987</v>
      </c>
      <c r="B6048" s="1815"/>
      <c r="D6048" s="2" t="str">
        <f t="shared" si="93"/>
        <v>OK</v>
      </c>
      <c r="E6048" s="2" t="s">
        <v>913</v>
      </c>
    </row>
    <row r="6049" spans="1:5" x14ac:dyDescent="0.2">
      <c r="A6049" s="35">
        <v>5988</v>
      </c>
      <c r="B6049" s="1815"/>
      <c r="D6049" s="2" t="str">
        <f t="shared" si="93"/>
        <v>OK</v>
      </c>
      <c r="E6049" s="2" t="s">
        <v>913</v>
      </c>
    </row>
    <row r="6050" spans="1:5" x14ac:dyDescent="0.2">
      <c r="A6050" s="35">
        <v>5989</v>
      </c>
      <c r="B6050" s="1815"/>
      <c r="D6050" s="2" t="str">
        <f t="shared" si="93"/>
        <v>OK</v>
      </c>
      <c r="E6050" s="2" t="s">
        <v>913</v>
      </c>
    </row>
    <row r="6051" spans="1:5" x14ac:dyDescent="0.2">
      <c r="A6051" s="35">
        <v>5990</v>
      </c>
      <c r="B6051" s="1815"/>
      <c r="D6051" s="2" t="str">
        <f t="shared" si="93"/>
        <v>OK</v>
      </c>
      <c r="E6051" s="2" t="s">
        <v>913</v>
      </c>
    </row>
    <row r="6052" spans="1:5" x14ac:dyDescent="0.2">
      <c r="A6052" s="35">
        <v>5991</v>
      </c>
      <c r="B6052" s="1815"/>
      <c r="D6052" s="2" t="str">
        <f t="shared" si="93"/>
        <v>OK</v>
      </c>
      <c r="E6052" s="2" t="s">
        <v>913</v>
      </c>
    </row>
    <row r="6053" spans="1:5" x14ac:dyDescent="0.2">
      <c r="A6053" s="35">
        <v>5992</v>
      </c>
      <c r="B6053" s="1815"/>
      <c r="D6053" s="2" t="str">
        <f t="shared" si="93"/>
        <v>OK</v>
      </c>
      <c r="E6053" s="2" t="s">
        <v>913</v>
      </c>
    </row>
    <row r="6054" spans="1:5" x14ac:dyDescent="0.2">
      <c r="A6054" s="35">
        <v>5993</v>
      </c>
      <c r="B6054" s="1815"/>
      <c r="C6054" s="2" t="s">
        <v>569</v>
      </c>
      <c r="D6054" s="2" t="str">
        <f t="shared" si="93"/>
        <v>OK</v>
      </c>
      <c r="E6054" s="2" t="s">
        <v>913</v>
      </c>
    </row>
    <row r="6055" spans="1:5" x14ac:dyDescent="0.2">
      <c r="A6055" s="35">
        <v>5994</v>
      </c>
      <c r="B6055" s="1815"/>
      <c r="D6055" s="2" t="str">
        <f t="shared" si="93"/>
        <v>OK</v>
      </c>
      <c r="E6055" s="2" t="s">
        <v>913</v>
      </c>
    </row>
    <row r="6056" spans="1:5" x14ac:dyDescent="0.2">
      <c r="A6056" s="35">
        <v>5995</v>
      </c>
      <c r="B6056" s="1815"/>
      <c r="D6056" s="2" t="str">
        <f t="shared" si="93"/>
        <v>OK</v>
      </c>
      <c r="E6056" s="2" t="s">
        <v>913</v>
      </c>
    </row>
    <row r="6057" spans="1:5" x14ac:dyDescent="0.2">
      <c r="A6057" s="35">
        <v>5996</v>
      </c>
      <c r="B6057" s="1815"/>
      <c r="D6057" s="2" t="str">
        <f t="shared" si="93"/>
        <v>OK</v>
      </c>
      <c r="E6057" s="2" t="s">
        <v>913</v>
      </c>
    </row>
    <row r="6058" spans="1:5" x14ac:dyDescent="0.2">
      <c r="A6058" s="35">
        <v>5997</v>
      </c>
      <c r="B6058" s="1815"/>
      <c r="D6058" s="2" t="str">
        <f t="shared" si="93"/>
        <v>OK</v>
      </c>
      <c r="E6058" s="2" t="s">
        <v>913</v>
      </c>
    </row>
    <row r="6059" spans="1:5" x14ac:dyDescent="0.2">
      <c r="A6059" s="35">
        <v>5998</v>
      </c>
      <c r="B6059" s="1815"/>
      <c r="D6059" s="2" t="str">
        <f t="shared" si="93"/>
        <v>OK</v>
      </c>
      <c r="E6059" s="2" t="s">
        <v>913</v>
      </c>
    </row>
    <row r="6060" spans="1:5" x14ac:dyDescent="0.2">
      <c r="A6060" s="35">
        <v>5999</v>
      </c>
      <c r="B6060" s="1815"/>
      <c r="D6060" s="2" t="str">
        <f t="shared" si="93"/>
        <v>OK</v>
      </c>
      <c r="E6060" s="2" t="s">
        <v>913</v>
      </c>
    </row>
    <row r="6061" spans="1:5" x14ac:dyDescent="0.2">
      <c r="A6061" s="35">
        <v>6000</v>
      </c>
      <c r="B6061" s="1815"/>
      <c r="D6061" s="2" t="str">
        <f t="shared" si="93"/>
        <v>OK</v>
      </c>
      <c r="E6061" s="2" t="s">
        <v>913</v>
      </c>
    </row>
    <row r="6062" spans="1:5" x14ac:dyDescent="0.2">
      <c r="A6062" s="35">
        <v>6001</v>
      </c>
      <c r="B6062" s="1815"/>
      <c r="D6062" s="2" t="str">
        <f t="shared" si="93"/>
        <v>OK</v>
      </c>
      <c r="E6062" s="2" t="s">
        <v>913</v>
      </c>
    </row>
    <row r="6063" spans="1:5" x14ac:dyDescent="0.2">
      <c r="A6063" s="35">
        <v>6002</v>
      </c>
      <c r="B6063" s="1815"/>
      <c r="D6063" s="2" t="str">
        <f t="shared" si="93"/>
        <v>OK</v>
      </c>
      <c r="E6063" s="2" t="s">
        <v>913</v>
      </c>
    </row>
    <row r="6064" spans="1:5" x14ac:dyDescent="0.2">
      <c r="A6064" s="35">
        <v>6003</v>
      </c>
      <c r="B6064" s="1815"/>
      <c r="D6064" s="2" t="str">
        <f t="shared" si="93"/>
        <v>OK</v>
      </c>
      <c r="E6064" s="2" t="s">
        <v>913</v>
      </c>
    </row>
    <row r="6065" spans="1:5" x14ac:dyDescent="0.2">
      <c r="A6065" s="35">
        <v>6004</v>
      </c>
      <c r="B6065" s="1815"/>
      <c r="D6065" s="2" t="str">
        <f t="shared" si="93"/>
        <v>OK</v>
      </c>
      <c r="E6065" s="2" t="s">
        <v>913</v>
      </c>
    </row>
    <row r="6066" spans="1:5" x14ac:dyDescent="0.2">
      <c r="A6066" s="35">
        <v>6005</v>
      </c>
      <c r="B6066" s="1815"/>
      <c r="D6066" s="2" t="str">
        <f t="shared" si="93"/>
        <v>OK</v>
      </c>
      <c r="E6066" s="2" t="s">
        <v>913</v>
      </c>
    </row>
    <row r="6067" spans="1:5" x14ac:dyDescent="0.2">
      <c r="A6067" s="124">
        <v>6006</v>
      </c>
      <c r="B6067" s="1815"/>
      <c r="D6067" s="2" t="str">
        <f t="shared" si="93"/>
        <v>OK</v>
      </c>
      <c r="E6067" s="2" t="s">
        <v>913</v>
      </c>
    </row>
    <row r="6068" spans="1:5" x14ac:dyDescent="0.2">
      <c r="A6068" s="124">
        <v>6007</v>
      </c>
      <c r="B6068" s="1815"/>
      <c r="D6068" s="2" t="str">
        <f t="shared" si="93"/>
        <v>OK</v>
      </c>
      <c r="E6068" s="2" t="s">
        <v>913</v>
      </c>
    </row>
    <row r="6069" spans="1:5" x14ac:dyDescent="0.2">
      <c r="A6069" s="124">
        <v>6008</v>
      </c>
      <c r="B6069" s="1815"/>
      <c r="D6069" s="2" t="str">
        <f t="shared" si="93"/>
        <v>OK</v>
      </c>
      <c r="E6069" s="2" t="s">
        <v>913</v>
      </c>
    </row>
    <row r="6070" spans="1:5" x14ac:dyDescent="0.2">
      <c r="A6070" s="124">
        <v>6009</v>
      </c>
      <c r="B6070" s="1815"/>
      <c r="D6070" s="2" t="str">
        <f t="shared" si="93"/>
        <v>OK</v>
      </c>
      <c r="E6070" s="2" t="s">
        <v>913</v>
      </c>
    </row>
    <row r="6071" spans="1:5" x14ac:dyDescent="0.2">
      <c r="A6071" s="124">
        <v>6010</v>
      </c>
      <c r="B6071" s="1815"/>
      <c r="D6071" s="2" t="str">
        <f t="shared" si="93"/>
        <v>OK</v>
      </c>
      <c r="E6071" s="2" t="s">
        <v>913</v>
      </c>
    </row>
    <row r="6072" spans="1:5" x14ac:dyDescent="0.2">
      <c r="A6072" s="124">
        <v>6011</v>
      </c>
      <c r="B6072" s="1815"/>
      <c r="D6072" s="2" t="str">
        <f t="shared" si="93"/>
        <v>OK</v>
      </c>
      <c r="E6072" s="2" t="s">
        <v>913</v>
      </c>
    </row>
    <row r="6073" spans="1:5" x14ac:dyDescent="0.2">
      <c r="A6073" s="124">
        <v>6012</v>
      </c>
      <c r="B6073" s="1815"/>
      <c r="C6073" s="2" t="s">
        <v>569</v>
      </c>
      <c r="D6073" s="2" t="str">
        <f t="shared" si="93"/>
        <v>OK</v>
      </c>
      <c r="E6073" s="2" t="s">
        <v>913</v>
      </c>
    </row>
    <row r="6074" spans="1:5" x14ac:dyDescent="0.2">
      <c r="A6074" s="8">
        <v>6013</v>
      </c>
      <c r="B6074" s="1815">
        <f>'PCTC-OEPP 27-28'!F79</f>
        <v>0</v>
      </c>
      <c r="D6074" s="2" t="str">
        <f t="shared" si="93"/>
        <v>Error?</v>
      </c>
      <c r="E6074" s="2" t="s">
        <v>923</v>
      </c>
    </row>
    <row r="6075" spans="1:5" x14ac:dyDescent="0.2">
      <c r="A6075" s="124">
        <v>6014</v>
      </c>
      <c r="B6075" s="1815"/>
      <c r="D6075" s="2" t="str">
        <f t="shared" si="93"/>
        <v>OK</v>
      </c>
      <c r="E6075" s="2" t="s">
        <v>923</v>
      </c>
    </row>
    <row r="6076" spans="1:5" x14ac:dyDescent="0.2">
      <c r="A6076">
        <v>6015</v>
      </c>
      <c r="B6076" s="1814">
        <f>'Short-Term Long-Term Debt 24'!C27</f>
        <v>0</v>
      </c>
      <c r="D6076" s="2" t="str">
        <f t="shared" si="93"/>
        <v>Error?</v>
      </c>
      <c r="E6076" s="2" t="s">
        <v>923</v>
      </c>
    </row>
    <row r="6077" spans="1:5" x14ac:dyDescent="0.2">
      <c r="A6077">
        <v>6016</v>
      </c>
      <c r="B6077" s="1814">
        <f>'Short-Term Long-Term Debt 24'!D27</f>
        <v>0</v>
      </c>
      <c r="D6077" s="2" t="str">
        <f t="shared" si="93"/>
        <v>Error?</v>
      </c>
      <c r="E6077" s="2" t="s">
        <v>923</v>
      </c>
    </row>
    <row r="6078" spans="1:5" x14ac:dyDescent="0.2">
      <c r="A6078">
        <v>6017</v>
      </c>
      <c r="B6078" s="1814">
        <f>'Short-Term Long-Term Debt 24'!E27</f>
        <v>0</v>
      </c>
      <c r="D6078" s="2" t="str">
        <f t="shared" si="93"/>
        <v>Error?</v>
      </c>
      <c r="E6078" s="2" t="s">
        <v>923</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479</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2622191</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194254</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1894983</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20145</v>
      </c>
      <c r="D6113" s="2" t="str">
        <f t="shared" si="94"/>
        <v>Error?</v>
      </c>
      <c r="E6113" s="2" t="s">
        <v>189</v>
      </c>
    </row>
    <row r="6114" spans="1:5" x14ac:dyDescent="0.2">
      <c r="A6114">
        <v>6053</v>
      </c>
      <c r="B6114" s="1814">
        <f>'Assets-Liab 5-6'!D11</f>
        <v>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0</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1369335</v>
      </c>
      <c r="D6142" s="2" t="str">
        <f t="shared" si="94"/>
        <v>Error?</v>
      </c>
      <c r="E6142" s="2" t="s">
        <v>189</v>
      </c>
    </row>
    <row r="6143" spans="1:5" x14ac:dyDescent="0.2">
      <c r="A6143">
        <v>6082</v>
      </c>
      <c r="B6143" s="1814">
        <f>'Assets-Liab 5-6'!D27</f>
        <v>1278438</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124</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7650395</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10086</v>
      </c>
      <c r="D6172" s="2" t="str">
        <f t="shared" si="95"/>
        <v>Error?</v>
      </c>
      <c r="E6172" s="2" t="s">
        <v>189</v>
      </c>
    </row>
    <row r="6173" spans="1:5" x14ac:dyDescent="0.2">
      <c r="A6173">
        <v>6112</v>
      </c>
      <c r="B6173" s="1814">
        <f>'Assets-Liab 5-6'!G30</f>
        <v>168189</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0</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0</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0</v>
      </c>
      <c r="D6215" s="2" t="str">
        <f t="shared" si="96"/>
        <v>Error?</v>
      </c>
      <c r="E6215" s="2" t="s">
        <v>189</v>
      </c>
    </row>
    <row r="6216" spans="1:5" x14ac:dyDescent="0.2">
      <c r="A6216">
        <v>6155</v>
      </c>
      <c r="B6216" s="1814">
        <f>'Assets-Liab 5-6'!J41</f>
        <v>0</v>
      </c>
      <c r="D6216" s="2" t="str">
        <f t="shared" si="96"/>
        <v>Error?</v>
      </c>
      <c r="E6216" s="2" t="s">
        <v>189</v>
      </c>
    </row>
    <row r="6217" spans="1:5" x14ac:dyDescent="0.2">
      <c r="A6217">
        <v>6156</v>
      </c>
      <c r="B6217" s="1814">
        <f>'Assets-Liab 5-6'!J4</f>
        <v>0</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0</v>
      </c>
      <c r="D6219" s="2" t="str">
        <f t="shared" si="96"/>
        <v>Error?</v>
      </c>
      <c r="E6219" s="2" t="s">
        <v>189</v>
      </c>
    </row>
    <row r="6220" spans="1:5" x14ac:dyDescent="0.2">
      <c r="A6220">
        <v>6159</v>
      </c>
      <c r="B6220" s="1814">
        <f>'Acct Summary 7-8'!J4</f>
        <v>0</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0</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0</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0</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0</v>
      </c>
      <c r="D6229" s="2" t="str">
        <f t="shared" si="96"/>
        <v>Error?</v>
      </c>
      <c r="E6229" s="2" t="s">
        <v>189</v>
      </c>
    </row>
    <row r="6230" spans="1:5" x14ac:dyDescent="0.2">
      <c r="A6230">
        <v>6169</v>
      </c>
      <c r="B6230" s="1814">
        <f>'Acct Summary 7-8'!J20</f>
        <v>0</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0</v>
      </c>
      <c r="D6263" s="2" t="str">
        <f t="shared" si="96"/>
        <v>Error?</v>
      </c>
      <c r="E6263" s="2" t="s">
        <v>189</v>
      </c>
    </row>
    <row r="6264" spans="1:5" x14ac:dyDescent="0.2">
      <c r="A6264">
        <v>6203</v>
      </c>
      <c r="B6264" s="1814">
        <f>'Acct Summary 7-8'!J79</f>
        <v>0</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0</v>
      </c>
      <c r="D6266" s="2" t="str">
        <f t="shared" si="96"/>
        <v>Error?</v>
      </c>
      <c r="E6266" s="2" t="s">
        <v>189</v>
      </c>
    </row>
    <row r="6267" spans="1:5" x14ac:dyDescent="0.2">
      <c r="A6267">
        <v>6206</v>
      </c>
      <c r="B6267" s="1814">
        <f>'Acct Summary 7-8'!C82</f>
        <v>-1415202</v>
      </c>
      <c r="D6267" s="2" t="str">
        <f t="shared" si="96"/>
        <v>Error?</v>
      </c>
      <c r="E6267" s="2" t="s">
        <v>189</v>
      </c>
    </row>
    <row r="6268" spans="1:5" x14ac:dyDescent="0.2">
      <c r="A6268">
        <v>6207</v>
      </c>
      <c r="B6268" s="1814">
        <f>'Acct Summary 7-8'!D82</f>
        <v>82601</v>
      </c>
      <c r="D6268" s="2" t="str">
        <f t="shared" si="96"/>
        <v>Error?</v>
      </c>
      <c r="E6268" s="2" t="s">
        <v>189</v>
      </c>
    </row>
    <row r="6269" spans="1:5" x14ac:dyDescent="0.2">
      <c r="A6269">
        <v>6208</v>
      </c>
      <c r="B6269" s="1814">
        <f>'Acct Summary 7-8'!E82</f>
        <v>3544</v>
      </c>
      <c r="D6269" s="2" t="str">
        <f t="shared" si="96"/>
        <v>Error?</v>
      </c>
      <c r="E6269" s="2" t="s">
        <v>189</v>
      </c>
    </row>
    <row r="6270" spans="1:5" x14ac:dyDescent="0.2">
      <c r="A6270">
        <v>6209</v>
      </c>
      <c r="B6270" s="1814">
        <f>'Acct Summary 7-8'!F82</f>
        <v>181145</v>
      </c>
      <c r="D6270" s="2" t="str">
        <f t="shared" si="96"/>
        <v>Error?</v>
      </c>
      <c r="E6270" s="2" t="s">
        <v>189</v>
      </c>
    </row>
    <row r="6271" spans="1:5" x14ac:dyDescent="0.2">
      <c r="A6271">
        <v>6210</v>
      </c>
      <c r="B6271" s="1814">
        <f>'Acct Summary 7-8'!G82</f>
        <v>43894</v>
      </c>
      <c r="D6271" s="2" t="str">
        <f t="shared" ref="D6271:D6334" si="97">IF(ISBLANK(B6271),"OK",IF(A6271-B6271=0,"OK","Error?"))</f>
        <v>Error?</v>
      </c>
      <c r="E6271" s="2" t="s">
        <v>189</v>
      </c>
    </row>
    <row r="6272" spans="1:5" x14ac:dyDescent="0.2">
      <c r="A6272">
        <v>6211</v>
      </c>
      <c r="B6272" s="1814">
        <f>'Acct Summary 7-8'!H82</f>
        <v>0</v>
      </c>
      <c r="D6272" s="2" t="str">
        <f t="shared" si="97"/>
        <v>Error?</v>
      </c>
      <c r="E6272" s="2" t="s">
        <v>189</v>
      </c>
    </row>
    <row r="6273" spans="1:5" x14ac:dyDescent="0.2">
      <c r="A6273">
        <v>6212</v>
      </c>
      <c r="B6273" s="1814">
        <f>'Acct Summary 7-8'!I82</f>
        <v>0</v>
      </c>
      <c r="D6273" s="2" t="str">
        <f t="shared" si="97"/>
        <v>Error?</v>
      </c>
      <c r="E6273" s="2" t="s">
        <v>189</v>
      </c>
    </row>
    <row r="6274" spans="1:5" x14ac:dyDescent="0.2">
      <c r="A6274">
        <v>6213</v>
      </c>
      <c r="B6274" s="1814">
        <f>'Acct Summary 7-8'!J82</f>
        <v>0</v>
      </c>
      <c r="D6274" s="2" t="str">
        <f t="shared" si="97"/>
        <v>Error?</v>
      </c>
      <c r="E6274" s="2" t="s">
        <v>189</v>
      </c>
    </row>
    <row r="6275" spans="1:5" x14ac:dyDescent="0.2">
      <c r="A6275">
        <v>6214</v>
      </c>
      <c r="B6275" s="1814">
        <f>'Acct Summary 7-8'!K82</f>
        <v>0</v>
      </c>
      <c r="D6275" s="2" t="str">
        <f t="shared" si="97"/>
        <v>Error?</v>
      </c>
      <c r="E6275" s="2" t="s">
        <v>189</v>
      </c>
    </row>
    <row r="6276" spans="1:5" x14ac:dyDescent="0.2">
      <c r="A6276">
        <v>6215</v>
      </c>
      <c r="B6276" s="1814">
        <f>'Acct Summary 7-8'!C83</f>
        <v>-0.10234610319498452</v>
      </c>
      <c r="D6276" s="2" t="str">
        <f t="shared" si="97"/>
        <v>Error?</v>
      </c>
      <c r="E6276" s="2" t="s">
        <v>189</v>
      </c>
    </row>
    <row r="6277" spans="1:5" x14ac:dyDescent="0.2">
      <c r="A6277">
        <v>6216</v>
      </c>
      <c r="B6277" s="1814">
        <f>'Acct Summary 7-8'!D83</f>
        <v>3.0551187043494601E-2</v>
      </c>
      <c r="D6277" s="2" t="str">
        <f t="shared" si="97"/>
        <v>Error?</v>
      </c>
      <c r="E6277" s="2" t="s">
        <v>189</v>
      </c>
    </row>
    <row r="6278" spans="1:5" x14ac:dyDescent="0.2">
      <c r="A6278">
        <v>6217</v>
      </c>
      <c r="B6278" s="1814">
        <f>'Acct Summary 7-8'!E83</f>
        <v>2.0131559514206837E-2</v>
      </c>
      <c r="D6278" s="2" t="str">
        <f t="shared" si="97"/>
        <v>Error?</v>
      </c>
      <c r="E6278" s="2" t="s">
        <v>189</v>
      </c>
    </row>
    <row r="6279" spans="1:5" x14ac:dyDescent="0.2">
      <c r="A6279">
        <v>6218</v>
      </c>
      <c r="B6279" s="1814">
        <f>'Acct Summary 7-8'!F83</f>
        <v>0.31104101596372147</v>
      </c>
      <c r="D6279" s="2" t="str">
        <f t="shared" si="97"/>
        <v>Error?</v>
      </c>
      <c r="E6279" s="2" t="s">
        <v>189</v>
      </c>
    </row>
    <row r="6280" spans="1:5" x14ac:dyDescent="0.2">
      <c r="A6280">
        <v>6219</v>
      </c>
      <c r="B6280" s="1814">
        <f>'Acct Summary 7-8'!G83</f>
        <v>2.4958974119862667E-2</v>
      </c>
      <c r="D6280" s="2" t="str">
        <f t="shared" si="97"/>
        <v>Error?</v>
      </c>
      <c r="E6280" s="2" t="s">
        <v>189</v>
      </c>
    </row>
    <row r="6281" spans="1:5" x14ac:dyDescent="0.2">
      <c r="A6281">
        <v>6220</v>
      </c>
      <c r="B6281" s="1814" t="e">
        <f>'Acct Summary 7-8'!H83</f>
        <v>#DIV/0!</v>
      </c>
      <c r="D6281" s="2" t="e">
        <f t="shared" si="97"/>
        <v>#DIV/0!</v>
      </c>
      <c r="E6281" s="2" t="s">
        <v>189</v>
      </c>
    </row>
    <row r="6282" spans="1:5" x14ac:dyDescent="0.2">
      <c r="A6282">
        <v>6221</v>
      </c>
      <c r="B6282" s="1814" t="e">
        <f>'Acct Summary 7-8'!I83</f>
        <v>#DIV/0!</v>
      </c>
      <c r="D6282" s="2" t="e">
        <f t="shared" si="97"/>
        <v>#DIV/0!</v>
      </c>
      <c r="E6282" s="2" t="s">
        <v>189</v>
      </c>
    </row>
    <row r="6283" spans="1:5" x14ac:dyDescent="0.2">
      <c r="A6283">
        <v>6222</v>
      </c>
      <c r="B6283" s="1814" t="e">
        <f>'Acct Summary 7-8'!J83</f>
        <v>#DIV/0!</v>
      </c>
      <c r="D6283" s="2" t="e">
        <f t="shared" si="97"/>
        <v>#DIV/0!</v>
      </c>
      <c r="E6283" s="2" t="s">
        <v>189</v>
      </c>
    </row>
    <row r="6284" spans="1:5" x14ac:dyDescent="0.2">
      <c r="A6284">
        <v>6223</v>
      </c>
      <c r="B6284" s="1814" t="e">
        <f>'Acct Summary 7-8'!K83</f>
        <v>#DIV/0!</v>
      </c>
      <c r="D6284" s="2" t="e">
        <f t="shared" si="97"/>
        <v>#DIV/0!</v>
      </c>
      <c r="E6284" s="2" t="s">
        <v>189</v>
      </c>
    </row>
    <row r="6285" spans="1:5" x14ac:dyDescent="0.2">
      <c r="A6285">
        <v>6224</v>
      </c>
      <c r="B6285" s="1814">
        <f>'Acct Summary 7-8'!E37</f>
        <v>0</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0</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0</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0</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0</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0</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0</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1400000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0</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0</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1892</v>
      </c>
    </row>
    <row r="6383" spans="1:6" x14ac:dyDescent="0.2">
      <c r="A6383" s="126">
        <v>6322</v>
      </c>
      <c r="B6383" s="1814"/>
      <c r="D6383" s="2" t="str">
        <f t="shared" si="98"/>
        <v>OK</v>
      </c>
      <c r="E6383" s="2" t="s">
        <v>189</v>
      </c>
      <c r="F6383" s="1" t="s">
        <v>1892</v>
      </c>
    </row>
    <row r="6384" spans="1:6" x14ac:dyDescent="0.2">
      <c r="A6384" s="126">
        <v>6323</v>
      </c>
      <c r="B6384" s="1814"/>
      <c r="D6384" s="2" t="str">
        <f t="shared" si="98"/>
        <v>OK</v>
      </c>
      <c r="E6384" s="2" t="s">
        <v>189</v>
      </c>
      <c r="F6384" s="1" t="s">
        <v>1892</v>
      </c>
    </row>
    <row r="6385" spans="1:6" x14ac:dyDescent="0.2">
      <c r="A6385" s="126">
        <v>6324</v>
      </c>
      <c r="B6385" s="1814"/>
      <c r="D6385" s="2" t="str">
        <f t="shared" si="98"/>
        <v>OK</v>
      </c>
      <c r="E6385" s="2" t="s">
        <v>189</v>
      </c>
      <c r="F6385" s="1" t="s">
        <v>1892</v>
      </c>
    </row>
    <row r="6386" spans="1:6" x14ac:dyDescent="0.2">
      <c r="A6386" s="126">
        <v>6325</v>
      </c>
      <c r="B6386" s="1814"/>
      <c r="D6386" s="2" t="str">
        <f t="shared" si="98"/>
        <v>OK</v>
      </c>
      <c r="E6386" s="2" t="s">
        <v>189</v>
      </c>
      <c r="F6386" s="1" t="s">
        <v>1892</v>
      </c>
    </row>
    <row r="6387" spans="1:6" x14ac:dyDescent="0.2">
      <c r="A6387" s="126">
        <v>6326</v>
      </c>
      <c r="B6387" s="1814"/>
      <c r="D6387" s="2" t="str">
        <f t="shared" si="98"/>
        <v>OK</v>
      </c>
      <c r="E6387" s="2" t="s">
        <v>189</v>
      </c>
      <c r="F6387" s="1" t="s">
        <v>1892</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1892</v>
      </c>
    </row>
    <row r="6411" spans="1:6" x14ac:dyDescent="0.2">
      <c r="A6411" s="126">
        <v>6350</v>
      </c>
      <c r="B6411" s="1814"/>
      <c r="D6411" s="2" t="str">
        <f t="shared" si="99"/>
        <v>OK</v>
      </c>
      <c r="E6411" s="2" t="s">
        <v>189</v>
      </c>
      <c r="F6411" s="1" t="s">
        <v>1892</v>
      </c>
    </row>
    <row r="6412" spans="1:6" x14ac:dyDescent="0.2">
      <c r="A6412" s="126">
        <v>6351</v>
      </c>
      <c r="B6412" s="1814"/>
      <c r="D6412" s="2" t="str">
        <f t="shared" si="99"/>
        <v>OK</v>
      </c>
      <c r="E6412" s="2" t="s">
        <v>189</v>
      </c>
      <c r="F6412" s="1" t="s">
        <v>1892</v>
      </c>
    </row>
    <row r="6413" spans="1:6" x14ac:dyDescent="0.2">
      <c r="A6413" s="126">
        <v>6352</v>
      </c>
      <c r="B6413" s="1814"/>
      <c r="D6413" s="2" t="str">
        <f t="shared" si="99"/>
        <v>OK</v>
      </c>
      <c r="E6413" s="2" t="s">
        <v>189</v>
      </c>
      <c r="F6413" s="1" t="s">
        <v>1892</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1988</v>
      </c>
    </row>
    <row r="6417" spans="1:5" x14ac:dyDescent="0.2">
      <c r="A6417" s="126">
        <v>6356</v>
      </c>
      <c r="B6417" s="1814"/>
      <c r="D6417" s="2" t="str">
        <f t="shared" si="99"/>
        <v>OK</v>
      </c>
      <c r="E6417" s="4" t="s">
        <v>1988</v>
      </c>
    </row>
    <row r="6418" spans="1:5" x14ac:dyDescent="0.2">
      <c r="A6418" s="126">
        <v>6357</v>
      </c>
      <c r="B6418" s="1814"/>
      <c r="D6418" s="2" t="str">
        <f t="shared" si="99"/>
        <v>OK</v>
      </c>
      <c r="E6418" s="4" t="s">
        <v>1988</v>
      </c>
    </row>
    <row r="6419" spans="1:5" x14ac:dyDescent="0.2">
      <c r="A6419" s="126">
        <v>6358</v>
      </c>
      <c r="B6419" s="1814"/>
      <c r="D6419" s="2" t="str">
        <f t="shared" si="99"/>
        <v>OK</v>
      </c>
      <c r="E6419" s="4" t="s">
        <v>1988</v>
      </c>
    </row>
    <row r="6420" spans="1:5" x14ac:dyDescent="0.2">
      <c r="A6420" s="126">
        <v>6359</v>
      </c>
      <c r="B6420" s="1814"/>
      <c r="D6420" s="2" t="str">
        <f t="shared" si="99"/>
        <v>OK</v>
      </c>
      <c r="E6420" s="4" t="s">
        <v>1988</v>
      </c>
    </row>
    <row r="6421" spans="1:5" x14ac:dyDescent="0.2">
      <c r="A6421" s="126">
        <v>6360</v>
      </c>
      <c r="B6421" s="1814"/>
      <c r="D6421" s="2" t="str">
        <f t="shared" si="99"/>
        <v>OK</v>
      </c>
      <c r="E6421" s="4" t="s">
        <v>1988</v>
      </c>
    </row>
    <row r="6422" spans="1:5" x14ac:dyDescent="0.2">
      <c r="A6422" s="126">
        <v>6361</v>
      </c>
      <c r="B6422" s="1814"/>
      <c r="D6422" s="2" t="str">
        <f t="shared" si="99"/>
        <v>OK</v>
      </c>
      <c r="E6422" s="4" t="s">
        <v>1988</v>
      </c>
    </row>
    <row r="6423" spans="1:5" x14ac:dyDescent="0.2">
      <c r="A6423" s="126">
        <v>6362</v>
      </c>
      <c r="B6423" s="1814"/>
      <c r="D6423" s="2" t="str">
        <f t="shared" si="99"/>
        <v>OK</v>
      </c>
      <c r="E6423" s="4" t="s">
        <v>1988</v>
      </c>
    </row>
    <row r="6424" spans="1:5" x14ac:dyDescent="0.2">
      <c r="A6424" s="126">
        <v>6363</v>
      </c>
      <c r="B6424" s="1814"/>
      <c r="D6424" s="2" t="str">
        <f t="shared" si="99"/>
        <v>OK</v>
      </c>
      <c r="E6424" s="4" t="s">
        <v>1988</v>
      </c>
    </row>
    <row r="6425" spans="1:5" x14ac:dyDescent="0.2">
      <c r="A6425" s="126">
        <v>6364</v>
      </c>
      <c r="B6425" s="1814"/>
      <c r="D6425" s="2" t="str">
        <f t="shared" si="99"/>
        <v>OK</v>
      </c>
      <c r="E6425" s="4" t="s">
        <v>1988</v>
      </c>
    </row>
    <row r="6426" spans="1:5" x14ac:dyDescent="0.2">
      <c r="A6426" s="126">
        <v>6365</v>
      </c>
      <c r="B6426" s="1814"/>
      <c r="D6426" s="2" t="str">
        <f t="shared" si="99"/>
        <v>OK</v>
      </c>
      <c r="E6426" s="4" t="s">
        <v>1988</v>
      </c>
    </row>
    <row r="6427" spans="1:5" x14ac:dyDescent="0.2">
      <c r="A6427" s="126">
        <v>6366</v>
      </c>
      <c r="B6427" s="1814"/>
      <c r="D6427" s="2" t="str">
        <f t="shared" si="99"/>
        <v>OK</v>
      </c>
      <c r="E6427" s="4" t="s">
        <v>1988</v>
      </c>
    </row>
    <row r="6428" spans="1:5" x14ac:dyDescent="0.2">
      <c r="A6428" s="126">
        <v>6367</v>
      </c>
      <c r="B6428" s="1814"/>
      <c r="D6428" s="2" t="str">
        <f t="shared" si="99"/>
        <v>OK</v>
      </c>
      <c r="E6428" s="4" t="s">
        <v>1988</v>
      </c>
    </row>
    <row r="6429" spans="1:5" x14ac:dyDescent="0.2">
      <c r="A6429" s="126">
        <v>6368</v>
      </c>
      <c r="B6429" s="1814"/>
      <c r="D6429" s="2" t="str">
        <f t="shared" si="99"/>
        <v>OK</v>
      </c>
      <c r="E6429" s="4" t="s">
        <v>1988</v>
      </c>
    </row>
    <row r="6430" spans="1:5" x14ac:dyDescent="0.2">
      <c r="A6430" s="126">
        <v>6369</v>
      </c>
      <c r="B6430" s="1814"/>
      <c r="D6430" s="2" t="str">
        <f t="shared" si="99"/>
        <v>OK</v>
      </c>
      <c r="E6430" s="4" t="s">
        <v>1988</v>
      </c>
    </row>
    <row r="6431" spans="1:5" x14ac:dyDescent="0.2">
      <c r="A6431" s="126">
        <v>6370</v>
      </c>
      <c r="B6431" s="1814"/>
      <c r="D6431" s="2" t="str">
        <f t="shared" si="99"/>
        <v>OK</v>
      </c>
      <c r="E6431" s="4" t="s">
        <v>1988</v>
      </c>
    </row>
    <row r="6432" spans="1:5" x14ac:dyDescent="0.2">
      <c r="A6432" s="126">
        <v>6371</v>
      </c>
      <c r="B6432" s="1814"/>
      <c r="D6432" s="2" t="str">
        <f t="shared" si="99"/>
        <v>OK</v>
      </c>
      <c r="E6432" s="4" t="s">
        <v>1988</v>
      </c>
    </row>
    <row r="6433" spans="1:5" x14ac:dyDescent="0.2">
      <c r="A6433" s="126">
        <v>6372</v>
      </c>
      <c r="B6433" s="1814"/>
      <c r="D6433" s="2" t="str">
        <f t="shared" si="99"/>
        <v>OK</v>
      </c>
      <c r="E6433" s="4" t="s">
        <v>1988</v>
      </c>
    </row>
    <row r="6434" spans="1:5" x14ac:dyDescent="0.2">
      <c r="A6434" s="126">
        <v>6373</v>
      </c>
      <c r="B6434" s="1814"/>
      <c r="D6434" s="2" t="str">
        <f t="shared" si="99"/>
        <v>OK</v>
      </c>
      <c r="E6434" s="4" t="s">
        <v>1988</v>
      </c>
    </row>
    <row r="6435" spans="1:5" x14ac:dyDescent="0.2">
      <c r="A6435" s="126">
        <v>6374</v>
      </c>
      <c r="B6435" s="1814"/>
      <c r="D6435" s="2" t="str">
        <f t="shared" si="99"/>
        <v>OK</v>
      </c>
      <c r="E6435" s="4" t="s">
        <v>1988</v>
      </c>
    </row>
    <row r="6436" spans="1:5" x14ac:dyDescent="0.2">
      <c r="A6436" s="126">
        <v>6375</v>
      </c>
      <c r="B6436" s="1814"/>
      <c r="D6436" s="2" t="str">
        <f t="shared" si="99"/>
        <v>OK</v>
      </c>
      <c r="E6436" s="4" t="s">
        <v>1988</v>
      </c>
    </row>
    <row r="6437" spans="1:5" x14ac:dyDescent="0.2">
      <c r="A6437" s="126">
        <v>6376</v>
      </c>
      <c r="B6437" s="1814"/>
      <c r="D6437" s="2" t="str">
        <f t="shared" si="99"/>
        <v>OK</v>
      </c>
      <c r="E6437" s="4" t="s">
        <v>1988</v>
      </c>
    </row>
    <row r="6438" spans="1:5" x14ac:dyDescent="0.2">
      <c r="A6438" s="126">
        <v>6377</v>
      </c>
      <c r="B6438" s="1814"/>
      <c r="D6438" s="2" t="str">
        <f t="shared" si="99"/>
        <v>OK</v>
      </c>
      <c r="E6438" s="4" t="s">
        <v>1988</v>
      </c>
    </row>
    <row r="6439" spans="1:5" x14ac:dyDescent="0.2">
      <c r="A6439" s="126">
        <v>6378</v>
      </c>
      <c r="B6439" s="1814"/>
      <c r="D6439" s="2" t="str">
        <f t="shared" si="99"/>
        <v>OK</v>
      </c>
      <c r="E6439" s="4" t="s">
        <v>1988</v>
      </c>
    </row>
    <row r="6440" spans="1:5" x14ac:dyDescent="0.2">
      <c r="A6440" s="126">
        <v>6379</v>
      </c>
      <c r="B6440" s="1814"/>
      <c r="D6440" s="2" t="str">
        <f t="shared" si="99"/>
        <v>OK</v>
      </c>
      <c r="E6440" s="4" t="s">
        <v>1988</v>
      </c>
    </row>
    <row r="6441" spans="1:5" x14ac:dyDescent="0.2">
      <c r="A6441" s="126">
        <v>6380</v>
      </c>
      <c r="B6441" s="1814"/>
      <c r="D6441" s="2" t="str">
        <f t="shared" si="99"/>
        <v>OK</v>
      </c>
      <c r="E6441" s="4" t="s">
        <v>1988</v>
      </c>
    </row>
    <row r="6442" spans="1:5" x14ac:dyDescent="0.2">
      <c r="A6442" s="126">
        <v>6381</v>
      </c>
      <c r="B6442" s="1814"/>
      <c r="D6442" s="2" t="str">
        <f t="shared" si="99"/>
        <v>OK</v>
      </c>
      <c r="E6442" s="4" t="s">
        <v>1988</v>
      </c>
    </row>
    <row r="6443" spans="1:5" x14ac:dyDescent="0.2">
      <c r="A6443" s="126">
        <v>6382</v>
      </c>
      <c r="B6443" s="1814"/>
      <c r="D6443" s="2" t="str">
        <f t="shared" si="99"/>
        <v>OK</v>
      </c>
      <c r="E6443" s="4" t="s">
        <v>1988</v>
      </c>
    </row>
    <row r="6444" spans="1:5" x14ac:dyDescent="0.2">
      <c r="A6444" s="126">
        <v>6383</v>
      </c>
      <c r="B6444" s="1814"/>
      <c r="D6444" s="2" t="str">
        <f t="shared" si="99"/>
        <v>OK</v>
      </c>
      <c r="E6444" s="4" t="s">
        <v>1988</v>
      </c>
    </row>
    <row r="6445" spans="1:5" x14ac:dyDescent="0.2">
      <c r="A6445" s="126">
        <v>6384</v>
      </c>
      <c r="B6445" s="1814"/>
      <c r="D6445" s="2" t="str">
        <f t="shared" si="99"/>
        <v>OK</v>
      </c>
      <c r="E6445" s="4" t="s">
        <v>1988</v>
      </c>
    </row>
    <row r="6446" spans="1:5" x14ac:dyDescent="0.2">
      <c r="A6446" s="126">
        <v>6385</v>
      </c>
      <c r="B6446" s="1814"/>
      <c r="D6446" s="2" t="str">
        <f t="shared" si="99"/>
        <v>OK</v>
      </c>
      <c r="E6446" s="4" t="s">
        <v>1988</v>
      </c>
    </row>
    <row r="6447" spans="1:5" x14ac:dyDescent="0.2">
      <c r="A6447" s="126">
        <v>6386</v>
      </c>
      <c r="B6447" s="1814"/>
      <c r="D6447" s="2" t="str">
        <f t="shared" si="99"/>
        <v>OK</v>
      </c>
      <c r="E6447" s="4" t="s">
        <v>1988</v>
      </c>
    </row>
    <row r="6448" spans="1:5" x14ac:dyDescent="0.2">
      <c r="A6448" s="126">
        <v>6387</v>
      </c>
      <c r="B6448" s="1814"/>
      <c r="D6448" s="2" t="str">
        <f t="shared" si="99"/>
        <v>OK</v>
      </c>
      <c r="E6448" s="4" t="s">
        <v>1988</v>
      </c>
    </row>
    <row r="6449" spans="1:5" x14ac:dyDescent="0.2">
      <c r="A6449" s="126">
        <v>6388</v>
      </c>
      <c r="B6449" s="1814"/>
      <c r="D6449" s="2" t="str">
        <f t="shared" si="99"/>
        <v>OK</v>
      </c>
      <c r="E6449" s="4" t="s">
        <v>1988</v>
      </c>
    </row>
    <row r="6450" spans="1:5" x14ac:dyDescent="0.2">
      <c r="A6450" s="126">
        <v>6389</v>
      </c>
      <c r="B6450" s="1814"/>
      <c r="D6450" s="2" t="str">
        <f t="shared" si="99"/>
        <v>OK</v>
      </c>
      <c r="E6450" s="4" t="s">
        <v>1988</v>
      </c>
    </row>
    <row r="6451" spans="1:5" x14ac:dyDescent="0.2">
      <c r="A6451" s="126">
        <v>6390</v>
      </c>
      <c r="B6451" s="1814"/>
      <c r="D6451" s="2" t="str">
        <f t="shared" si="99"/>
        <v>OK</v>
      </c>
      <c r="E6451" s="4" t="s">
        <v>1988</v>
      </c>
    </row>
    <row r="6452" spans="1:5" x14ac:dyDescent="0.2">
      <c r="A6452" s="126">
        <v>6391</v>
      </c>
      <c r="B6452" s="1814"/>
      <c r="D6452" s="2" t="str">
        <f t="shared" si="99"/>
        <v>OK</v>
      </c>
      <c r="E6452" s="4" t="s">
        <v>1988</v>
      </c>
    </row>
    <row r="6453" spans="1:5" x14ac:dyDescent="0.2">
      <c r="A6453" s="126">
        <v>6392</v>
      </c>
      <c r="B6453" s="1814"/>
      <c r="D6453" s="2" t="str">
        <f t="shared" si="99"/>
        <v>OK</v>
      </c>
      <c r="E6453" s="4" t="s">
        <v>1988</v>
      </c>
    </row>
    <row r="6454" spans="1:5" x14ac:dyDescent="0.2">
      <c r="A6454" s="126">
        <v>6393</v>
      </c>
      <c r="B6454" s="1814"/>
      <c r="D6454" s="2" t="str">
        <f t="shared" si="99"/>
        <v>OK</v>
      </c>
      <c r="E6454" s="4" t="s">
        <v>1988</v>
      </c>
    </row>
    <row r="6455" spans="1:5" x14ac:dyDescent="0.2">
      <c r="A6455" s="126">
        <v>6394</v>
      </c>
      <c r="B6455" s="1814"/>
      <c r="D6455" s="2" t="str">
        <f t="shared" si="99"/>
        <v>OK</v>
      </c>
      <c r="E6455" s="4" t="s">
        <v>1988</v>
      </c>
    </row>
    <row r="6456" spans="1:5" x14ac:dyDescent="0.2">
      <c r="A6456" s="126">
        <v>6395</v>
      </c>
      <c r="B6456" s="1814"/>
      <c r="D6456" s="2" t="str">
        <f t="shared" si="99"/>
        <v>OK</v>
      </c>
      <c r="E6456" s="4" t="s">
        <v>1988</v>
      </c>
    </row>
    <row r="6457" spans="1:5" x14ac:dyDescent="0.2">
      <c r="A6457" s="126">
        <v>6396</v>
      </c>
      <c r="B6457" s="1814"/>
      <c r="D6457" s="2" t="str">
        <f t="shared" si="99"/>
        <v>OK</v>
      </c>
      <c r="E6457" s="4" t="s">
        <v>1988</v>
      </c>
    </row>
    <row r="6458" spans="1:5" x14ac:dyDescent="0.2">
      <c r="A6458" s="126">
        <v>6397</v>
      </c>
      <c r="B6458" s="1814"/>
      <c r="D6458" s="2" t="str">
        <f t="shared" si="99"/>
        <v>OK</v>
      </c>
      <c r="E6458" s="4" t="s">
        <v>1988</v>
      </c>
    </row>
    <row r="6459" spans="1:5" x14ac:dyDescent="0.2">
      <c r="A6459" s="126">
        <v>6398</v>
      </c>
      <c r="B6459" s="1814"/>
      <c r="D6459" s="2" t="str">
        <f t="shared" si="99"/>
        <v>OK</v>
      </c>
      <c r="E6459" s="4" t="s">
        <v>1988</v>
      </c>
    </row>
    <row r="6460" spans="1:5" x14ac:dyDescent="0.2">
      <c r="A6460" s="126">
        <v>6399</v>
      </c>
      <c r="B6460" s="1814"/>
      <c r="D6460" s="2" t="str">
        <f t="shared" si="99"/>
        <v>OK</v>
      </c>
      <c r="E6460" s="4" t="s">
        <v>1988</v>
      </c>
    </row>
    <row r="6461" spans="1:5" x14ac:dyDescent="0.2">
      <c r="A6461" s="126">
        <v>6400</v>
      </c>
      <c r="B6461" s="1814"/>
      <c r="D6461" s="2" t="str">
        <f t="shared" si="99"/>
        <v>OK</v>
      </c>
      <c r="E6461" s="4" t="s">
        <v>1988</v>
      </c>
    </row>
    <row r="6462" spans="1:5" x14ac:dyDescent="0.2">
      <c r="A6462" s="126">
        <v>6401</v>
      </c>
      <c r="B6462" s="1814"/>
      <c r="D6462" s="2" t="str">
        <f t="shared" si="99"/>
        <v>OK</v>
      </c>
      <c r="E6462" s="4" t="s">
        <v>1988</v>
      </c>
    </row>
    <row r="6463" spans="1:5" x14ac:dyDescent="0.2">
      <c r="A6463" s="126">
        <v>6402</v>
      </c>
      <c r="B6463" s="1814"/>
      <c r="D6463" s="2" t="str">
        <f t="shared" ref="D6463:D6526" si="100">IF(ISBLANK(B6463),"OK",IF(A6463-B6463=0,"OK","Error?"))</f>
        <v>OK</v>
      </c>
      <c r="E6463" s="4" t="s">
        <v>1988</v>
      </c>
    </row>
    <row r="6464" spans="1:5" x14ac:dyDescent="0.2">
      <c r="A6464" s="126">
        <v>6403</v>
      </c>
      <c r="B6464" s="1814"/>
      <c r="D6464" s="2" t="str">
        <f t="shared" si="100"/>
        <v>OK</v>
      </c>
      <c r="E6464" s="4" t="s">
        <v>1988</v>
      </c>
    </row>
    <row r="6465" spans="1:5" x14ac:dyDescent="0.2">
      <c r="A6465" s="126">
        <v>6404</v>
      </c>
      <c r="B6465" s="1814"/>
      <c r="D6465" s="2" t="str">
        <f t="shared" si="100"/>
        <v>OK</v>
      </c>
      <c r="E6465" s="4" t="s">
        <v>1988</v>
      </c>
    </row>
    <row r="6466" spans="1:5" x14ac:dyDescent="0.2">
      <c r="A6466" s="126">
        <v>6405</v>
      </c>
      <c r="B6466" s="1814"/>
      <c r="D6466" s="2" t="str">
        <f t="shared" si="100"/>
        <v>OK</v>
      </c>
      <c r="E6466" s="4" t="s">
        <v>1988</v>
      </c>
    </row>
    <row r="6467" spans="1:5" x14ac:dyDescent="0.2">
      <c r="A6467" s="126">
        <v>6406</v>
      </c>
      <c r="B6467" s="1814"/>
      <c r="D6467" s="2" t="str">
        <f t="shared" si="100"/>
        <v>OK</v>
      </c>
      <c r="E6467" s="4" t="s">
        <v>1988</v>
      </c>
    </row>
    <row r="6468" spans="1:5" x14ac:dyDescent="0.2">
      <c r="A6468" s="126">
        <v>6407</v>
      </c>
      <c r="B6468" s="1814"/>
      <c r="D6468" s="2" t="str">
        <f t="shared" si="100"/>
        <v>OK</v>
      </c>
      <c r="E6468" s="4" t="s">
        <v>1988</v>
      </c>
    </row>
    <row r="6469" spans="1:5" x14ac:dyDescent="0.2">
      <c r="A6469" s="126">
        <v>6408</v>
      </c>
      <c r="B6469" s="1814"/>
      <c r="D6469" s="2" t="str">
        <f t="shared" si="100"/>
        <v>OK</v>
      </c>
      <c r="E6469" s="4" t="s">
        <v>1988</v>
      </c>
    </row>
    <row r="6470" spans="1:5" x14ac:dyDescent="0.2">
      <c r="A6470" s="126">
        <v>6409</v>
      </c>
      <c r="B6470" s="1814"/>
      <c r="D6470" s="2" t="str">
        <f t="shared" si="100"/>
        <v>OK</v>
      </c>
      <c r="E6470" s="4" t="s">
        <v>1988</v>
      </c>
    </row>
    <row r="6471" spans="1:5" x14ac:dyDescent="0.2">
      <c r="A6471" s="126">
        <v>6410</v>
      </c>
      <c r="B6471" s="1814"/>
      <c r="D6471" s="2" t="str">
        <f t="shared" si="100"/>
        <v>OK</v>
      </c>
      <c r="E6471" s="4" t="s">
        <v>1988</v>
      </c>
    </row>
    <row r="6472" spans="1:5" x14ac:dyDescent="0.2">
      <c r="A6472" s="126">
        <v>6411</v>
      </c>
      <c r="B6472" s="1814"/>
      <c r="D6472" s="2" t="str">
        <f t="shared" si="100"/>
        <v>OK</v>
      </c>
      <c r="E6472" s="4" t="s">
        <v>1988</v>
      </c>
    </row>
    <row r="6473" spans="1:5" x14ac:dyDescent="0.2">
      <c r="A6473" s="126">
        <v>6412</v>
      </c>
      <c r="B6473" s="1814"/>
      <c r="D6473" s="2" t="str">
        <f t="shared" si="100"/>
        <v>OK</v>
      </c>
      <c r="E6473" s="4" t="s">
        <v>1988</v>
      </c>
    </row>
    <row r="6474" spans="1:5" x14ac:dyDescent="0.2">
      <c r="A6474" s="126">
        <v>6413</v>
      </c>
      <c r="B6474" s="1814"/>
      <c r="D6474" s="2" t="str">
        <f t="shared" si="100"/>
        <v>OK</v>
      </c>
      <c r="E6474" s="4" t="s">
        <v>1988</v>
      </c>
    </row>
    <row r="6475" spans="1:5" x14ac:dyDescent="0.2">
      <c r="A6475" s="126">
        <v>6414</v>
      </c>
      <c r="B6475" s="1814"/>
      <c r="D6475" s="2" t="str">
        <f t="shared" si="100"/>
        <v>OK</v>
      </c>
      <c r="E6475" s="4" t="s">
        <v>1988</v>
      </c>
    </row>
    <row r="6476" spans="1:5" x14ac:dyDescent="0.2">
      <c r="A6476" s="126">
        <v>6415</v>
      </c>
      <c r="B6476" s="1814"/>
      <c r="D6476" s="2" t="str">
        <f t="shared" si="100"/>
        <v>OK</v>
      </c>
      <c r="E6476" s="4" t="s">
        <v>1988</v>
      </c>
    </row>
    <row r="6477" spans="1:5" x14ac:dyDescent="0.2">
      <c r="A6477" s="126">
        <v>6416</v>
      </c>
      <c r="B6477" s="1814"/>
      <c r="D6477" s="2" t="str">
        <f t="shared" si="100"/>
        <v>OK</v>
      </c>
      <c r="E6477" s="4" t="s">
        <v>1988</v>
      </c>
    </row>
    <row r="6478" spans="1:5" x14ac:dyDescent="0.2">
      <c r="A6478" s="126">
        <v>6417</v>
      </c>
      <c r="B6478" s="1814"/>
      <c r="D6478" s="2" t="str">
        <f t="shared" si="100"/>
        <v>OK</v>
      </c>
      <c r="E6478" s="4" t="s">
        <v>1988</v>
      </c>
    </row>
    <row r="6479" spans="1:5" x14ac:dyDescent="0.2">
      <c r="A6479" s="126">
        <v>6418</v>
      </c>
      <c r="B6479" s="1814"/>
      <c r="D6479" s="2" t="str">
        <f t="shared" si="100"/>
        <v>OK</v>
      </c>
      <c r="E6479" s="4" t="s">
        <v>1988</v>
      </c>
    </row>
    <row r="6480" spans="1:5" x14ac:dyDescent="0.2">
      <c r="A6480" s="126">
        <v>6419</v>
      </c>
      <c r="B6480" s="1814"/>
      <c r="D6480" s="2" t="str">
        <f t="shared" si="100"/>
        <v>OK</v>
      </c>
      <c r="E6480" s="4" t="s">
        <v>1988</v>
      </c>
    </row>
    <row r="6481" spans="1:5" x14ac:dyDescent="0.2">
      <c r="A6481" s="126">
        <v>6420</v>
      </c>
      <c r="B6481" s="1814"/>
      <c r="D6481" s="2" t="str">
        <f t="shared" si="100"/>
        <v>OK</v>
      </c>
      <c r="E6481" s="4" t="s">
        <v>1988</v>
      </c>
    </row>
    <row r="6482" spans="1:5" x14ac:dyDescent="0.2">
      <c r="A6482" s="126">
        <v>6421</v>
      </c>
      <c r="B6482" s="1814"/>
      <c r="D6482" s="2" t="str">
        <f t="shared" si="100"/>
        <v>OK</v>
      </c>
      <c r="E6482" s="4" t="s">
        <v>1988</v>
      </c>
    </row>
    <row r="6483" spans="1:5" x14ac:dyDescent="0.2">
      <c r="A6483" s="126">
        <v>6422</v>
      </c>
      <c r="B6483" s="1814"/>
      <c r="D6483" s="2" t="str">
        <f t="shared" si="100"/>
        <v>OK</v>
      </c>
      <c r="E6483" s="4" t="s">
        <v>1988</v>
      </c>
    </row>
    <row r="6484" spans="1:5" x14ac:dyDescent="0.2">
      <c r="A6484" s="126">
        <v>6423</v>
      </c>
      <c r="B6484" s="1814"/>
      <c r="D6484" s="2" t="str">
        <f t="shared" si="100"/>
        <v>OK</v>
      </c>
      <c r="E6484" s="4" t="s">
        <v>1988</v>
      </c>
    </row>
    <row r="6485" spans="1:5" x14ac:dyDescent="0.2">
      <c r="A6485" s="126">
        <v>6424</v>
      </c>
      <c r="B6485" s="1814"/>
      <c r="D6485" s="2" t="str">
        <f t="shared" si="100"/>
        <v>OK</v>
      </c>
      <c r="E6485" s="4" t="s">
        <v>1988</v>
      </c>
    </row>
    <row r="6486" spans="1:5" x14ac:dyDescent="0.2">
      <c r="A6486" s="126">
        <v>6425</v>
      </c>
      <c r="B6486" s="1814"/>
      <c r="D6486" s="2" t="str">
        <f t="shared" si="100"/>
        <v>OK</v>
      </c>
      <c r="E6486" s="4" t="s">
        <v>1988</v>
      </c>
    </row>
    <row r="6487" spans="1:5" x14ac:dyDescent="0.2">
      <c r="A6487" s="126">
        <v>6426</v>
      </c>
      <c r="B6487" s="1814"/>
      <c r="D6487" s="2" t="str">
        <f t="shared" si="100"/>
        <v>OK</v>
      </c>
      <c r="E6487" s="4" t="s">
        <v>1988</v>
      </c>
    </row>
    <row r="6488" spans="1:5" x14ac:dyDescent="0.2">
      <c r="A6488" s="126">
        <v>6427</v>
      </c>
      <c r="B6488" s="1814"/>
      <c r="D6488" s="2" t="str">
        <f t="shared" si="100"/>
        <v>OK</v>
      </c>
      <c r="E6488" s="4" t="s">
        <v>1988</v>
      </c>
    </row>
    <row r="6489" spans="1:5" x14ac:dyDescent="0.2">
      <c r="A6489" s="126">
        <v>6428</v>
      </c>
      <c r="B6489" s="1814"/>
      <c r="D6489" s="2" t="str">
        <f t="shared" si="100"/>
        <v>OK</v>
      </c>
      <c r="E6489" s="4" t="s">
        <v>1988</v>
      </c>
    </row>
    <row r="6490" spans="1:5" x14ac:dyDescent="0.2">
      <c r="A6490" s="126">
        <v>6429</v>
      </c>
      <c r="B6490" s="1814"/>
      <c r="D6490" s="2" t="str">
        <f t="shared" si="100"/>
        <v>OK</v>
      </c>
      <c r="E6490" s="4" t="s">
        <v>1988</v>
      </c>
    </row>
    <row r="6491" spans="1:5" x14ac:dyDescent="0.2">
      <c r="A6491" s="126">
        <v>6430</v>
      </c>
      <c r="B6491" s="1814"/>
      <c r="D6491" s="2" t="str">
        <f t="shared" si="100"/>
        <v>OK</v>
      </c>
      <c r="E6491" s="4" t="s">
        <v>1988</v>
      </c>
    </row>
    <row r="6492" spans="1:5" x14ac:dyDescent="0.2">
      <c r="A6492" s="126">
        <v>6431</v>
      </c>
      <c r="B6492" s="1814"/>
      <c r="D6492" s="2" t="str">
        <f t="shared" si="100"/>
        <v>OK</v>
      </c>
      <c r="E6492" s="4" t="s">
        <v>1988</v>
      </c>
    </row>
    <row r="6493" spans="1:5" x14ac:dyDescent="0.2">
      <c r="A6493" s="126">
        <v>6432</v>
      </c>
      <c r="B6493" s="1814"/>
      <c r="D6493" s="2" t="str">
        <f t="shared" si="100"/>
        <v>OK</v>
      </c>
      <c r="E6493" s="4" t="s">
        <v>1988</v>
      </c>
    </row>
    <row r="6494" spans="1:5" x14ac:dyDescent="0.2">
      <c r="A6494" s="126">
        <v>6433</v>
      </c>
      <c r="B6494" s="1814"/>
      <c r="D6494" s="2" t="str">
        <f t="shared" si="100"/>
        <v>OK</v>
      </c>
      <c r="E6494" s="4" t="s">
        <v>1988</v>
      </c>
    </row>
    <row r="6495" spans="1:5" x14ac:dyDescent="0.2">
      <c r="A6495" s="126">
        <v>6434</v>
      </c>
      <c r="B6495" s="1814"/>
      <c r="D6495" s="2" t="str">
        <f t="shared" si="100"/>
        <v>OK</v>
      </c>
      <c r="E6495" s="4" t="s">
        <v>1988</v>
      </c>
    </row>
    <row r="6496" spans="1:5" x14ac:dyDescent="0.2">
      <c r="A6496" s="126">
        <v>6435</v>
      </c>
      <c r="B6496" s="1814"/>
      <c r="D6496" s="2" t="str">
        <f t="shared" si="100"/>
        <v>OK</v>
      </c>
      <c r="E6496" s="4" t="s">
        <v>1988</v>
      </c>
    </row>
    <row r="6497" spans="1:5" x14ac:dyDescent="0.2">
      <c r="A6497" s="126">
        <v>6436</v>
      </c>
      <c r="B6497" s="1814"/>
      <c r="D6497" s="2" t="str">
        <f t="shared" si="100"/>
        <v>OK</v>
      </c>
      <c r="E6497" s="4" t="s">
        <v>1988</v>
      </c>
    </row>
    <row r="6498" spans="1:5" x14ac:dyDescent="0.2">
      <c r="A6498" s="126">
        <v>6437</v>
      </c>
      <c r="B6498" s="1814"/>
      <c r="D6498" s="2" t="str">
        <f t="shared" si="100"/>
        <v>OK</v>
      </c>
      <c r="E6498" s="4" t="s">
        <v>1988</v>
      </c>
    </row>
    <row r="6499" spans="1:5" x14ac:dyDescent="0.2">
      <c r="A6499" s="126">
        <v>6438</v>
      </c>
      <c r="B6499" s="1814"/>
      <c r="D6499" s="2" t="str">
        <f t="shared" si="100"/>
        <v>OK</v>
      </c>
      <c r="E6499" s="4" t="s">
        <v>1988</v>
      </c>
    </row>
    <row r="6500" spans="1:5" x14ac:dyDescent="0.2">
      <c r="A6500" s="126">
        <v>6439</v>
      </c>
      <c r="B6500" s="1814"/>
      <c r="D6500" s="2" t="str">
        <f t="shared" si="100"/>
        <v>OK</v>
      </c>
      <c r="E6500" s="4" t="s">
        <v>1988</v>
      </c>
    </row>
    <row r="6501" spans="1:5" x14ac:dyDescent="0.2">
      <c r="A6501" s="126">
        <v>6440</v>
      </c>
      <c r="B6501" s="1814"/>
      <c r="D6501" s="2" t="str">
        <f t="shared" si="100"/>
        <v>OK</v>
      </c>
      <c r="E6501" s="4" t="s">
        <v>1988</v>
      </c>
    </row>
    <row r="6502" spans="1:5" x14ac:dyDescent="0.2">
      <c r="A6502" s="126">
        <v>6441</v>
      </c>
      <c r="B6502" s="1814"/>
      <c r="D6502" s="2" t="str">
        <f t="shared" si="100"/>
        <v>OK</v>
      </c>
      <c r="E6502" s="4" t="s">
        <v>1988</v>
      </c>
    </row>
    <row r="6503" spans="1:5" x14ac:dyDescent="0.2">
      <c r="A6503" s="126">
        <v>6442</v>
      </c>
      <c r="B6503" s="1814"/>
      <c r="D6503" s="2" t="str">
        <f t="shared" si="100"/>
        <v>OK</v>
      </c>
      <c r="E6503" s="4" t="s">
        <v>1988</v>
      </c>
    </row>
    <row r="6504" spans="1:5" x14ac:dyDescent="0.2">
      <c r="A6504" s="126">
        <v>6443</v>
      </c>
      <c r="B6504" s="1814"/>
      <c r="D6504" s="2" t="str">
        <f t="shared" si="100"/>
        <v>OK</v>
      </c>
      <c r="E6504" s="4" t="s">
        <v>1988</v>
      </c>
    </row>
    <row r="6505" spans="1:5" x14ac:dyDescent="0.2">
      <c r="A6505" s="126">
        <v>6444</v>
      </c>
      <c r="B6505" s="1814"/>
      <c r="D6505" s="2" t="str">
        <f t="shared" si="100"/>
        <v>OK</v>
      </c>
      <c r="E6505" s="4" t="s">
        <v>1988</v>
      </c>
    </row>
    <row r="6506" spans="1:5" x14ac:dyDescent="0.2">
      <c r="A6506" s="126">
        <v>6445</v>
      </c>
      <c r="B6506" s="1814"/>
      <c r="D6506" s="2" t="str">
        <f t="shared" si="100"/>
        <v>OK</v>
      </c>
      <c r="E6506" s="4" t="s">
        <v>1988</v>
      </c>
    </row>
    <row r="6507" spans="1:5" x14ac:dyDescent="0.2">
      <c r="A6507" s="126">
        <v>6446</v>
      </c>
      <c r="B6507" s="1814"/>
      <c r="D6507" s="2" t="str">
        <f t="shared" si="100"/>
        <v>OK</v>
      </c>
      <c r="E6507" s="4" t="s">
        <v>1988</v>
      </c>
    </row>
    <row r="6508" spans="1:5" x14ac:dyDescent="0.2">
      <c r="A6508" s="126">
        <v>6447</v>
      </c>
      <c r="B6508" s="1814"/>
      <c r="D6508" s="2" t="str">
        <f t="shared" si="100"/>
        <v>OK</v>
      </c>
      <c r="E6508" s="4" t="s">
        <v>1988</v>
      </c>
    </row>
    <row r="6509" spans="1:5" x14ac:dyDescent="0.2">
      <c r="A6509" s="126">
        <v>6448</v>
      </c>
      <c r="B6509" s="1814"/>
      <c r="D6509" s="2" t="str">
        <f t="shared" si="100"/>
        <v>OK</v>
      </c>
      <c r="E6509" s="4" t="s">
        <v>1988</v>
      </c>
    </row>
    <row r="6510" spans="1:5" x14ac:dyDescent="0.2">
      <c r="A6510" s="126">
        <v>6449</v>
      </c>
      <c r="B6510" s="1814"/>
      <c r="D6510" s="2" t="str">
        <f t="shared" si="100"/>
        <v>OK</v>
      </c>
      <c r="E6510" s="4" t="s">
        <v>1988</v>
      </c>
    </row>
    <row r="6511" spans="1:5" x14ac:dyDescent="0.2">
      <c r="A6511" s="126">
        <v>6450</v>
      </c>
      <c r="B6511" s="1814"/>
      <c r="D6511" s="2" t="str">
        <f t="shared" si="100"/>
        <v>OK</v>
      </c>
      <c r="E6511" s="4" t="s">
        <v>1988</v>
      </c>
    </row>
    <row r="6512" spans="1:5" x14ac:dyDescent="0.2">
      <c r="A6512" s="126">
        <v>6451</v>
      </c>
      <c r="B6512" s="1814"/>
      <c r="D6512" s="2" t="str">
        <f t="shared" si="100"/>
        <v>OK</v>
      </c>
      <c r="E6512" s="4" t="s">
        <v>1988</v>
      </c>
    </row>
    <row r="6513" spans="1:5" x14ac:dyDescent="0.2">
      <c r="A6513" s="126">
        <v>6452</v>
      </c>
      <c r="B6513" s="1814"/>
      <c r="D6513" s="2" t="str">
        <f t="shared" si="100"/>
        <v>OK</v>
      </c>
      <c r="E6513" s="4" t="s">
        <v>1988</v>
      </c>
    </row>
    <row r="6514" spans="1:5" x14ac:dyDescent="0.2">
      <c r="A6514" s="126">
        <v>6453</v>
      </c>
      <c r="B6514" s="1814"/>
      <c r="D6514" s="2" t="str">
        <f t="shared" si="100"/>
        <v>OK</v>
      </c>
      <c r="E6514" s="4" t="s">
        <v>1988</v>
      </c>
    </row>
    <row r="6515" spans="1:5" x14ac:dyDescent="0.2">
      <c r="A6515" s="126">
        <v>6454</v>
      </c>
      <c r="B6515" s="1814"/>
      <c r="D6515" s="2" t="str">
        <f t="shared" si="100"/>
        <v>OK</v>
      </c>
      <c r="E6515" s="4" t="s">
        <v>1988</v>
      </c>
    </row>
    <row r="6516" spans="1:5" x14ac:dyDescent="0.2">
      <c r="A6516" s="126">
        <v>6455</v>
      </c>
      <c r="B6516" s="1814"/>
      <c r="D6516" s="2" t="str">
        <f t="shared" si="100"/>
        <v>OK</v>
      </c>
      <c r="E6516" s="4" t="s">
        <v>1988</v>
      </c>
    </row>
    <row r="6517" spans="1:5" x14ac:dyDescent="0.2">
      <c r="A6517" s="126">
        <v>6456</v>
      </c>
      <c r="B6517" s="1814"/>
      <c r="D6517" s="2" t="str">
        <f t="shared" si="100"/>
        <v>OK</v>
      </c>
      <c r="E6517" s="4" t="s">
        <v>1988</v>
      </c>
    </row>
    <row r="6518" spans="1:5" x14ac:dyDescent="0.2">
      <c r="A6518" s="126">
        <v>6457</v>
      </c>
      <c r="B6518" s="1814"/>
      <c r="D6518" s="2" t="str">
        <f t="shared" si="100"/>
        <v>OK</v>
      </c>
      <c r="E6518" s="4" t="s">
        <v>1988</v>
      </c>
    </row>
    <row r="6519" spans="1:5" x14ac:dyDescent="0.2">
      <c r="A6519" s="126">
        <v>6458</v>
      </c>
      <c r="B6519" s="1814"/>
      <c r="D6519" s="2" t="str">
        <f t="shared" si="100"/>
        <v>OK</v>
      </c>
      <c r="E6519" s="4" t="s">
        <v>1988</v>
      </c>
    </row>
    <row r="6520" spans="1:5" x14ac:dyDescent="0.2">
      <c r="A6520" s="126">
        <v>6459</v>
      </c>
      <c r="B6520" s="1814"/>
      <c r="D6520" s="2" t="str">
        <f t="shared" si="100"/>
        <v>OK</v>
      </c>
      <c r="E6520" s="4" t="s">
        <v>1988</v>
      </c>
    </row>
    <row r="6521" spans="1:5" x14ac:dyDescent="0.2">
      <c r="A6521" s="126">
        <v>6460</v>
      </c>
      <c r="B6521" s="1814"/>
      <c r="D6521" s="2" t="str">
        <f t="shared" si="100"/>
        <v>OK</v>
      </c>
      <c r="E6521" s="4" t="s">
        <v>1988</v>
      </c>
    </row>
    <row r="6522" spans="1:5" x14ac:dyDescent="0.2">
      <c r="A6522" s="126">
        <v>6461</v>
      </c>
      <c r="B6522" s="1814"/>
      <c r="D6522" s="2" t="str">
        <f t="shared" si="100"/>
        <v>OK</v>
      </c>
      <c r="E6522" s="4" t="s">
        <v>1988</v>
      </c>
    </row>
    <row r="6523" spans="1:5" x14ac:dyDescent="0.2">
      <c r="A6523" s="126">
        <v>6462</v>
      </c>
      <c r="B6523" s="1814"/>
      <c r="D6523" s="2" t="str">
        <f t="shared" si="100"/>
        <v>OK</v>
      </c>
      <c r="E6523" s="4" t="s">
        <v>1988</v>
      </c>
    </row>
    <row r="6524" spans="1:5" x14ac:dyDescent="0.2">
      <c r="A6524" s="126">
        <v>6463</v>
      </c>
      <c r="B6524" s="1814"/>
      <c r="D6524" s="2" t="str">
        <f t="shared" si="100"/>
        <v>OK</v>
      </c>
      <c r="E6524" s="4" t="s">
        <v>1988</v>
      </c>
    </row>
    <row r="6525" spans="1:5" x14ac:dyDescent="0.2">
      <c r="A6525" s="126">
        <v>6464</v>
      </c>
      <c r="B6525" s="1814"/>
      <c r="D6525" s="2" t="str">
        <f t="shared" si="100"/>
        <v>OK</v>
      </c>
      <c r="E6525" s="4" t="s">
        <v>1988</v>
      </c>
    </row>
    <row r="6526" spans="1:5" x14ac:dyDescent="0.2">
      <c r="A6526" s="126">
        <v>6465</v>
      </c>
      <c r="B6526" s="1814"/>
      <c r="D6526" s="2" t="str">
        <f t="shared" si="100"/>
        <v>OK</v>
      </c>
      <c r="E6526" s="4" t="s">
        <v>1988</v>
      </c>
    </row>
    <row r="6527" spans="1:5" x14ac:dyDescent="0.2">
      <c r="A6527" s="126">
        <v>6466</v>
      </c>
      <c r="B6527" s="1814"/>
      <c r="D6527" s="2" t="str">
        <f t="shared" ref="D6527:D6590" si="101">IF(ISBLANK(B6527),"OK",IF(A6527-B6527=0,"OK","Error?"))</f>
        <v>OK</v>
      </c>
      <c r="E6527" s="4" t="s">
        <v>1988</v>
      </c>
    </row>
    <row r="6528" spans="1:5" x14ac:dyDescent="0.2">
      <c r="A6528" s="126">
        <v>6467</v>
      </c>
      <c r="B6528" s="1814"/>
      <c r="D6528" s="2" t="str">
        <f t="shared" si="101"/>
        <v>OK</v>
      </c>
      <c r="E6528" s="4" t="s">
        <v>1988</v>
      </c>
    </row>
    <row r="6529" spans="1:5" x14ac:dyDescent="0.2">
      <c r="A6529" s="126">
        <v>6468</v>
      </c>
      <c r="B6529" s="1814"/>
      <c r="D6529" s="2" t="str">
        <f t="shared" si="101"/>
        <v>OK</v>
      </c>
      <c r="E6529" s="4" t="s">
        <v>1988</v>
      </c>
    </row>
    <row r="6530" spans="1:5" x14ac:dyDescent="0.2">
      <c r="A6530" s="126">
        <v>6469</v>
      </c>
      <c r="B6530" s="1814"/>
      <c r="D6530" s="2" t="str">
        <f t="shared" si="101"/>
        <v>OK</v>
      </c>
      <c r="E6530" s="4" t="s">
        <v>1988</v>
      </c>
    </row>
    <row r="6531" spans="1:5" x14ac:dyDescent="0.2">
      <c r="A6531" s="126">
        <v>6470</v>
      </c>
      <c r="B6531" s="1814"/>
      <c r="D6531" s="2" t="str">
        <f t="shared" si="101"/>
        <v>OK</v>
      </c>
      <c r="E6531" s="4" t="s">
        <v>1988</v>
      </c>
    </row>
    <row r="6532" spans="1:5" x14ac:dyDescent="0.2">
      <c r="A6532" s="126">
        <v>6471</v>
      </c>
      <c r="B6532" s="1814"/>
      <c r="D6532" s="2" t="str">
        <f t="shared" si="101"/>
        <v>OK</v>
      </c>
      <c r="E6532" s="4" t="s">
        <v>1988</v>
      </c>
    </row>
    <row r="6533" spans="1:5" x14ac:dyDescent="0.2">
      <c r="A6533" s="126">
        <v>6472</v>
      </c>
      <c r="B6533" s="1814"/>
      <c r="D6533" s="2" t="str">
        <f t="shared" si="101"/>
        <v>OK</v>
      </c>
      <c r="E6533" s="4" t="s">
        <v>1988</v>
      </c>
    </row>
    <row r="6534" spans="1:5" x14ac:dyDescent="0.2">
      <c r="A6534" s="126">
        <v>6473</v>
      </c>
      <c r="B6534" s="1814"/>
      <c r="D6534" s="2" t="str">
        <f t="shared" si="101"/>
        <v>OK</v>
      </c>
      <c r="E6534" s="4" t="s">
        <v>1988</v>
      </c>
    </row>
    <row r="6535" spans="1:5" x14ac:dyDescent="0.2">
      <c r="A6535" s="126">
        <v>6474</v>
      </c>
      <c r="B6535" s="1814"/>
      <c r="D6535" s="2" t="str">
        <f t="shared" si="101"/>
        <v>OK</v>
      </c>
      <c r="E6535" s="4" t="s">
        <v>1988</v>
      </c>
    </row>
    <row r="6536" spans="1:5" x14ac:dyDescent="0.2">
      <c r="A6536" s="126">
        <v>6475</v>
      </c>
      <c r="B6536" s="1814"/>
      <c r="D6536" s="2" t="str">
        <f t="shared" si="101"/>
        <v>OK</v>
      </c>
      <c r="E6536" s="4" t="s">
        <v>1988</v>
      </c>
    </row>
    <row r="6537" spans="1:5" x14ac:dyDescent="0.2">
      <c r="A6537" s="126">
        <v>6476</v>
      </c>
      <c r="B6537" s="1814"/>
      <c r="D6537" s="2" t="str">
        <f t="shared" si="101"/>
        <v>OK</v>
      </c>
      <c r="E6537" s="4" t="s">
        <v>1988</v>
      </c>
    </row>
    <row r="6538" spans="1:5" x14ac:dyDescent="0.2">
      <c r="A6538" s="126">
        <v>6477</v>
      </c>
      <c r="B6538" s="1814"/>
      <c r="D6538" s="2" t="str">
        <f t="shared" si="101"/>
        <v>OK</v>
      </c>
      <c r="E6538" s="4" t="s">
        <v>1988</v>
      </c>
    </row>
    <row r="6539" spans="1:5" x14ac:dyDescent="0.2">
      <c r="A6539" s="126">
        <v>6478</v>
      </c>
      <c r="B6539" s="1814"/>
      <c r="D6539" s="2" t="str">
        <f t="shared" si="101"/>
        <v>OK</v>
      </c>
      <c r="E6539" s="4" t="s">
        <v>1988</v>
      </c>
    </row>
    <row r="6540" spans="1:5" x14ac:dyDescent="0.2">
      <c r="A6540" s="126">
        <v>6479</v>
      </c>
      <c r="B6540" s="1814"/>
      <c r="D6540" s="2" t="str">
        <f t="shared" si="101"/>
        <v>OK</v>
      </c>
      <c r="E6540" s="4" t="s">
        <v>1988</v>
      </c>
    </row>
    <row r="6541" spans="1:5" x14ac:dyDescent="0.2">
      <c r="A6541" s="126">
        <v>6480</v>
      </c>
      <c r="B6541" s="1814"/>
      <c r="D6541" s="2" t="str">
        <f t="shared" si="101"/>
        <v>OK</v>
      </c>
      <c r="E6541" s="4" t="s">
        <v>1988</v>
      </c>
    </row>
    <row r="6542" spans="1:5" x14ac:dyDescent="0.2">
      <c r="A6542" s="126">
        <v>6481</v>
      </c>
      <c r="B6542" s="1814"/>
      <c r="D6542" s="2" t="str">
        <f t="shared" si="101"/>
        <v>OK</v>
      </c>
      <c r="E6542" s="4" t="s">
        <v>1988</v>
      </c>
    </row>
    <row r="6543" spans="1:5" x14ac:dyDescent="0.2">
      <c r="A6543" s="126">
        <v>6482</v>
      </c>
      <c r="B6543" s="1814"/>
      <c r="D6543" s="2" t="str">
        <f t="shared" si="101"/>
        <v>OK</v>
      </c>
      <c r="E6543" s="4" t="s">
        <v>1988</v>
      </c>
    </row>
    <row r="6544" spans="1:5" x14ac:dyDescent="0.2">
      <c r="A6544" s="126">
        <v>6483</v>
      </c>
      <c r="B6544" s="1814"/>
      <c r="D6544" s="2" t="str">
        <f t="shared" si="101"/>
        <v>OK</v>
      </c>
      <c r="E6544" s="4" t="s">
        <v>1988</v>
      </c>
    </row>
    <row r="6545" spans="1:5" x14ac:dyDescent="0.2">
      <c r="A6545" s="126">
        <v>6484</v>
      </c>
      <c r="B6545" s="1814"/>
      <c r="D6545" s="2" t="str">
        <f t="shared" si="101"/>
        <v>OK</v>
      </c>
      <c r="E6545" s="4" t="s">
        <v>1988</v>
      </c>
    </row>
    <row r="6546" spans="1:5" x14ac:dyDescent="0.2">
      <c r="A6546" s="126">
        <v>6485</v>
      </c>
      <c r="B6546" s="1814"/>
      <c r="D6546" s="2" t="str">
        <f t="shared" si="101"/>
        <v>OK</v>
      </c>
      <c r="E6546" s="4" t="s">
        <v>1988</v>
      </c>
    </row>
    <row r="6547" spans="1:5" x14ac:dyDescent="0.2">
      <c r="A6547" s="126">
        <v>6486</v>
      </c>
      <c r="B6547" s="1814"/>
      <c r="D6547" s="2" t="str">
        <f t="shared" si="101"/>
        <v>OK</v>
      </c>
      <c r="E6547" s="4" t="s">
        <v>1988</v>
      </c>
    </row>
    <row r="6548" spans="1:5" x14ac:dyDescent="0.2">
      <c r="A6548" s="126">
        <v>6487</v>
      </c>
      <c r="B6548" s="1814"/>
      <c r="D6548" s="2" t="str">
        <f t="shared" si="101"/>
        <v>OK</v>
      </c>
      <c r="E6548" s="4" t="s">
        <v>1988</v>
      </c>
    </row>
    <row r="6549" spans="1:5" x14ac:dyDescent="0.2">
      <c r="A6549" s="126">
        <v>6488</v>
      </c>
      <c r="B6549" s="1814"/>
      <c r="D6549" s="2" t="str">
        <f t="shared" si="101"/>
        <v>OK</v>
      </c>
      <c r="E6549" s="4" t="s">
        <v>1988</v>
      </c>
    </row>
    <row r="6550" spans="1:5" x14ac:dyDescent="0.2">
      <c r="A6550" s="126">
        <v>6489</v>
      </c>
      <c r="B6550" s="1814"/>
      <c r="D6550" s="2" t="str">
        <f t="shared" si="101"/>
        <v>OK</v>
      </c>
      <c r="E6550" s="4" t="s">
        <v>1988</v>
      </c>
    </row>
    <row r="6551" spans="1:5" x14ac:dyDescent="0.2">
      <c r="A6551" s="126">
        <v>6490</v>
      </c>
      <c r="B6551" s="1814"/>
      <c r="D6551" s="2" t="str">
        <f t="shared" si="101"/>
        <v>OK</v>
      </c>
      <c r="E6551" s="4" t="s">
        <v>1988</v>
      </c>
    </row>
    <row r="6552" spans="1:5" x14ac:dyDescent="0.2">
      <c r="A6552" s="126">
        <v>6491</v>
      </c>
      <c r="B6552" s="1814"/>
      <c r="D6552" s="2" t="str">
        <f t="shared" si="101"/>
        <v>OK</v>
      </c>
      <c r="E6552" s="4" t="s">
        <v>1988</v>
      </c>
    </row>
    <row r="6553" spans="1:5" x14ac:dyDescent="0.2">
      <c r="A6553" s="126">
        <v>6492</v>
      </c>
      <c r="B6553" s="1814"/>
      <c r="D6553" s="2" t="str">
        <f t="shared" si="101"/>
        <v>OK</v>
      </c>
      <c r="E6553" s="4" t="s">
        <v>1988</v>
      </c>
    </row>
    <row r="6554" spans="1:5" x14ac:dyDescent="0.2">
      <c r="A6554" s="126">
        <v>6493</v>
      </c>
      <c r="B6554" s="1814"/>
      <c r="D6554" s="2" t="str">
        <f t="shared" si="101"/>
        <v>OK</v>
      </c>
      <c r="E6554" s="4" t="s">
        <v>1988</v>
      </c>
    </row>
    <row r="6555" spans="1:5" x14ac:dyDescent="0.2">
      <c r="A6555" s="126">
        <v>6494</v>
      </c>
      <c r="B6555" s="1814"/>
      <c r="D6555" s="2" t="str">
        <f t="shared" si="101"/>
        <v>OK</v>
      </c>
      <c r="E6555" s="4" t="s">
        <v>1988</v>
      </c>
    </row>
    <row r="6556" spans="1:5" x14ac:dyDescent="0.2">
      <c r="A6556" s="126">
        <v>6495</v>
      </c>
      <c r="B6556" s="1814"/>
      <c r="D6556" s="2" t="str">
        <f t="shared" si="101"/>
        <v>OK</v>
      </c>
      <c r="E6556" s="4" t="s">
        <v>1988</v>
      </c>
    </row>
    <row r="6557" spans="1:5" x14ac:dyDescent="0.2">
      <c r="A6557" s="126">
        <v>6496</v>
      </c>
      <c r="B6557" s="1814"/>
      <c r="D6557" s="2" t="str">
        <f t="shared" si="101"/>
        <v>OK</v>
      </c>
      <c r="E6557" s="4" t="s">
        <v>1988</v>
      </c>
    </row>
    <row r="6558" spans="1:5" x14ac:dyDescent="0.2">
      <c r="A6558" s="126">
        <v>6497</v>
      </c>
      <c r="B6558" s="1814"/>
      <c r="D6558" s="2" t="str">
        <f t="shared" si="101"/>
        <v>OK</v>
      </c>
      <c r="E6558" s="4" t="s">
        <v>1988</v>
      </c>
    </row>
    <row r="6559" spans="1:5" x14ac:dyDescent="0.2">
      <c r="A6559" s="126">
        <v>6498</v>
      </c>
      <c r="B6559" s="1814"/>
      <c r="D6559" s="2" t="str">
        <f t="shared" si="101"/>
        <v>OK</v>
      </c>
      <c r="E6559" s="4" t="s">
        <v>1988</v>
      </c>
    </row>
    <row r="6560" spans="1:5" x14ac:dyDescent="0.2">
      <c r="A6560" s="126">
        <v>6499</v>
      </c>
      <c r="B6560" s="1814"/>
      <c r="D6560" s="2" t="str">
        <f t="shared" si="101"/>
        <v>OK</v>
      </c>
      <c r="E6560" s="4" t="s">
        <v>1988</v>
      </c>
    </row>
    <row r="6561" spans="1:5" x14ac:dyDescent="0.2">
      <c r="A6561" s="126">
        <v>6500</v>
      </c>
      <c r="B6561" s="1814"/>
      <c r="D6561" s="2" t="str">
        <f t="shared" si="101"/>
        <v>OK</v>
      </c>
      <c r="E6561" s="4" t="s">
        <v>1988</v>
      </c>
    </row>
    <row r="6562" spans="1:5" x14ac:dyDescent="0.2">
      <c r="A6562" s="126">
        <v>6501</v>
      </c>
      <c r="B6562" s="1814"/>
      <c r="D6562" s="2" t="str">
        <f t="shared" si="101"/>
        <v>OK</v>
      </c>
      <c r="E6562" s="4" t="s">
        <v>1988</v>
      </c>
    </row>
    <row r="6563" spans="1:5" x14ac:dyDescent="0.2">
      <c r="A6563" s="126">
        <v>6502</v>
      </c>
      <c r="B6563" s="1814"/>
      <c r="D6563" s="2" t="str">
        <f t="shared" si="101"/>
        <v>OK</v>
      </c>
      <c r="E6563" s="4" t="s">
        <v>1988</v>
      </c>
    </row>
    <row r="6564" spans="1:5" x14ac:dyDescent="0.2">
      <c r="A6564" s="126">
        <v>6503</v>
      </c>
      <c r="B6564" s="1814"/>
      <c r="D6564" s="2" t="str">
        <f t="shared" si="101"/>
        <v>OK</v>
      </c>
      <c r="E6564" s="4" t="s">
        <v>1988</v>
      </c>
    </row>
    <row r="6565" spans="1:5" x14ac:dyDescent="0.2">
      <c r="A6565" s="126">
        <v>6504</v>
      </c>
      <c r="B6565" s="1814"/>
      <c r="D6565" s="2" t="str">
        <f t="shared" si="101"/>
        <v>OK</v>
      </c>
      <c r="E6565" s="4" t="s">
        <v>1988</v>
      </c>
    </row>
    <row r="6566" spans="1:5" x14ac:dyDescent="0.2">
      <c r="A6566" s="126">
        <v>6505</v>
      </c>
      <c r="B6566" s="1814"/>
      <c r="D6566" s="2" t="str">
        <f t="shared" si="101"/>
        <v>OK</v>
      </c>
      <c r="E6566" s="4" t="s">
        <v>1988</v>
      </c>
    </row>
    <row r="6567" spans="1:5" x14ac:dyDescent="0.2">
      <c r="A6567" s="126">
        <v>6506</v>
      </c>
      <c r="B6567" s="1814"/>
      <c r="D6567" s="2" t="str">
        <f t="shared" si="101"/>
        <v>OK</v>
      </c>
      <c r="E6567" s="4" t="s">
        <v>1988</v>
      </c>
    </row>
    <row r="6568" spans="1:5" x14ac:dyDescent="0.2">
      <c r="A6568" s="126">
        <v>6507</v>
      </c>
      <c r="B6568" s="1814"/>
      <c r="D6568" s="2" t="str">
        <f t="shared" si="101"/>
        <v>OK</v>
      </c>
      <c r="E6568" s="4" t="s">
        <v>1988</v>
      </c>
    </row>
    <row r="6569" spans="1:5" x14ac:dyDescent="0.2">
      <c r="A6569" s="126">
        <v>6508</v>
      </c>
      <c r="B6569" s="1814"/>
      <c r="D6569" s="2" t="str">
        <f t="shared" si="101"/>
        <v>OK</v>
      </c>
      <c r="E6569" s="4" t="s">
        <v>1988</v>
      </c>
    </row>
    <row r="6570" spans="1:5" x14ac:dyDescent="0.2">
      <c r="A6570" s="126">
        <v>6509</v>
      </c>
      <c r="B6570" s="1814"/>
      <c r="D6570" s="2" t="str">
        <f t="shared" si="101"/>
        <v>OK</v>
      </c>
      <c r="E6570" s="4" t="s">
        <v>1988</v>
      </c>
    </row>
    <row r="6571" spans="1:5" x14ac:dyDescent="0.2">
      <c r="A6571" s="126">
        <v>6510</v>
      </c>
      <c r="B6571" s="1814"/>
      <c r="D6571" s="2" t="str">
        <f t="shared" si="101"/>
        <v>OK</v>
      </c>
      <c r="E6571" s="4" t="s">
        <v>1988</v>
      </c>
    </row>
    <row r="6572" spans="1:5" x14ac:dyDescent="0.2">
      <c r="A6572" s="126">
        <v>6511</v>
      </c>
      <c r="B6572" s="1814"/>
      <c r="D6572" s="2" t="str">
        <f t="shared" si="101"/>
        <v>OK</v>
      </c>
      <c r="E6572" s="4" t="s">
        <v>1988</v>
      </c>
    </row>
    <row r="6573" spans="1:5" x14ac:dyDescent="0.2">
      <c r="A6573" s="126">
        <v>6512</v>
      </c>
      <c r="B6573" s="1814"/>
      <c r="D6573" s="2" t="str">
        <f t="shared" si="101"/>
        <v>OK</v>
      </c>
      <c r="E6573" s="4" t="s">
        <v>1988</v>
      </c>
    </row>
    <row r="6574" spans="1:5" x14ac:dyDescent="0.2">
      <c r="A6574" s="126">
        <v>6513</v>
      </c>
      <c r="B6574" s="1814"/>
      <c r="D6574" s="2" t="str">
        <f t="shared" si="101"/>
        <v>OK</v>
      </c>
      <c r="E6574" s="4" t="s">
        <v>1988</v>
      </c>
    </row>
    <row r="6575" spans="1:5" x14ac:dyDescent="0.2">
      <c r="A6575" s="126">
        <v>6514</v>
      </c>
      <c r="B6575" s="1814"/>
      <c r="D6575" s="2" t="str">
        <f t="shared" si="101"/>
        <v>OK</v>
      </c>
      <c r="E6575" s="4" t="s">
        <v>1988</v>
      </c>
    </row>
    <row r="6576" spans="1:5" x14ac:dyDescent="0.2">
      <c r="A6576" s="126">
        <v>6515</v>
      </c>
      <c r="B6576" s="1814"/>
      <c r="D6576" s="2" t="str">
        <f t="shared" si="101"/>
        <v>OK</v>
      </c>
      <c r="E6576" s="4" t="s">
        <v>1988</v>
      </c>
    </row>
    <row r="6577" spans="1:5" x14ac:dyDescent="0.2">
      <c r="A6577" s="126">
        <v>6516</v>
      </c>
      <c r="B6577" s="1814"/>
      <c r="D6577" s="2" t="str">
        <f t="shared" si="101"/>
        <v>OK</v>
      </c>
      <c r="E6577" s="4" t="s">
        <v>1988</v>
      </c>
    </row>
    <row r="6578" spans="1:5" x14ac:dyDescent="0.2">
      <c r="A6578" s="126">
        <v>6517</v>
      </c>
      <c r="B6578" s="1814"/>
      <c r="D6578" s="2" t="str">
        <f t="shared" si="101"/>
        <v>OK</v>
      </c>
      <c r="E6578" s="4" t="s">
        <v>1988</v>
      </c>
    </row>
    <row r="6579" spans="1:5" x14ac:dyDescent="0.2">
      <c r="A6579" s="126">
        <v>6518</v>
      </c>
      <c r="B6579" s="1814"/>
      <c r="D6579" s="2" t="str">
        <f t="shared" si="101"/>
        <v>OK</v>
      </c>
      <c r="E6579" s="4" t="s">
        <v>1988</v>
      </c>
    </row>
    <row r="6580" spans="1:5" x14ac:dyDescent="0.2">
      <c r="A6580" s="126">
        <v>6519</v>
      </c>
      <c r="B6580" s="1814"/>
      <c r="D6580" s="2" t="str">
        <f t="shared" si="101"/>
        <v>OK</v>
      </c>
      <c r="E6580" s="4" t="s">
        <v>1988</v>
      </c>
    </row>
    <row r="6581" spans="1:5" x14ac:dyDescent="0.2">
      <c r="A6581" s="126">
        <v>6520</v>
      </c>
      <c r="B6581" s="1814"/>
      <c r="D6581" s="2" t="str">
        <f t="shared" si="101"/>
        <v>OK</v>
      </c>
      <c r="E6581" s="4" t="s">
        <v>1988</v>
      </c>
    </row>
    <row r="6582" spans="1:5" x14ac:dyDescent="0.2">
      <c r="A6582" s="126">
        <v>6521</v>
      </c>
      <c r="B6582" s="1814"/>
      <c r="D6582" s="2" t="str">
        <f t="shared" si="101"/>
        <v>OK</v>
      </c>
      <c r="E6582" s="4" t="s">
        <v>1988</v>
      </c>
    </row>
    <row r="6583" spans="1:5" x14ac:dyDescent="0.2">
      <c r="A6583" s="126">
        <v>6522</v>
      </c>
      <c r="B6583" s="1814"/>
      <c r="D6583" s="2" t="str">
        <f t="shared" si="101"/>
        <v>OK</v>
      </c>
      <c r="E6583" s="4" t="s">
        <v>1988</v>
      </c>
    </row>
    <row r="6584" spans="1:5" x14ac:dyDescent="0.2">
      <c r="A6584" s="126">
        <v>6523</v>
      </c>
      <c r="B6584" s="1814"/>
      <c r="D6584" s="2" t="str">
        <f t="shared" si="101"/>
        <v>OK</v>
      </c>
      <c r="E6584" s="4" t="s">
        <v>1988</v>
      </c>
    </row>
    <row r="6585" spans="1:5" x14ac:dyDescent="0.2">
      <c r="A6585" s="126">
        <v>6524</v>
      </c>
      <c r="B6585" s="1814"/>
      <c r="D6585" s="2" t="str">
        <f t="shared" si="101"/>
        <v>OK</v>
      </c>
      <c r="E6585" s="4" t="s">
        <v>1988</v>
      </c>
    </row>
    <row r="6586" spans="1:5" x14ac:dyDescent="0.2">
      <c r="A6586" s="126">
        <v>6525</v>
      </c>
      <c r="B6586" s="1814"/>
      <c r="D6586" s="2" t="str">
        <f t="shared" si="101"/>
        <v>OK</v>
      </c>
      <c r="E6586" s="4" t="s">
        <v>1988</v>
      </c>
    </row>
    <row r="6587" spans="1:5" x14ac:dyDescent="0.2">
      <c r="A6587" s="126">
        <v>6526</v>
      </c>
      <c r="B6587" s="1814"/>
      <c r="D6587" s="2" t="str">
        <f t="shared" si="101"/>
        <v>OK</v>
      </c>
      <c r="E6587" s="4" t="s">
        <v>1988</v>
      </c>
    </row>
    <row r="6588" spans="1:5" x14ac:dyDescent="0.2">
      <c r="A6588" s="126">
        <v>6527</v>
      </c>
      <c r="B6588" s="1814"/>
      <c r="D6588" s="2" t="str">
        <f t="shared" si="101"/>
        <v>OK</v>
      </c>
      <c r="E6588" s="4" t="s">
        <v>1988</v>
      </c>
    </row>
    <row r="6589" spans="1:5" x14ac:dyDescent="0.2">
      <c r="A6589" s="126">
        <v>6528</v>
      </c>
      <c r="B6589" s="1814"/>
      <c r="D6589" s="2" t="str">
        <f t="shared" si="101"/>
        <v>OK</v>
      </c>
      <c r="E6589" s="4" t="s">
        <v>1988</v>
      </c>
    </row>
    <row r="6590" spans="1:5" x14ac:dyDescent="0.2">
      <c r="A6590" s="126">
        <v>6529</v>
      </c>
      <c r="B6590" s="1814"/>
      <c r="D6590" s="2" t="str">
        <f t="shared" si="101"/>
        <v>OK</v>
      </c>
      <c r="E6590" s="4" t="s">
        <v>1988</v>
      </c>
    </row>
    <row r="6591" spans="1:5" x14ac:dyDescent="0.2">
      <c r="A6591" s="126">
        <v>6530</v>
      </c>
      <c r="B6591" s="1814"/>
      <c r="D6591" s="2" t="str">
        <f t="shared" ref="D6591:D6654" si="102">IF(ISBLANK(B6591),"OK",IF(A6591-B6591=0,"OK","Error?"))</f>
        <v>OK</v>
      </c>
      <c r="E6591" s="4" t="s">
        <v>1988</v>
      </c>
    </row>
    <row r="6592" spans="1:5" x14ac:dyDescent="0.2">
      <c r="A6592" s="126">
        <v>6531</v>
      </c>
      <c r="B6592" s="1814"/>
      <c r="D6592" s="2" t="str">
        <f t="shared" si="102"/>
        <v>OK</v>
      </c>
      <c r="E6592" s="4" t="s">
        <v>1988</v>
      </c>
    </row>
    <row r="6593" spans="1:5" x14ac:dyDescent="0.2">
      <c r="A6593" s="126">
        <v>6532</v>
      </c>
      <c r="B6593" s="1814"/>
      <c r="D6593" s="2" t="str">
        <f t="shared" si="102"/>
        <v>OK</v>
      </c>
      <c r="E6593" s="4" t="s">
        <v>1988</v>
      </c>
    </row>
    <row r="6594" spans="1:5" x14ac:dyDescent="0.2">
      <c r="A6594" s="126">
        <v>6533</v>
      </c>
      <c r="B6594" s="1814"/>
      <c r="D6594" s="2" t="str">
        <f t="shared" si="102"/>
        <v>OK</v>
      </c>
      <c r="E6594" s="4" t="s">
        <v>1988</v>
      </c>
    </row>
    <row r="6595" spans="1:5" x14ac:dyDescent="0.2">
      <c r="A6595" s="126">
        <v>6534</v>
      </c>
      <c r="B6595" s="1814"/>
      <c r="D6595" s="2" t="str">
        <f t="shared" si="102"/>
        <v>OK</v>
      </c>
      <c r="E6595" s="4" t="s">
        <v>1988</v>
      </c>
    </row>
    <row r="6596" spans="1:5" x14ac:dyDescent="0.2">
      <c r="A6596" s="126">
        <v>6535</v>
      </c>
      <c r="B6596" s="1814"/>
      <c r="D6596" s="2" t="str">
        <f t="shared" si="102"/>
        <v>OK</v>
      </c>
      <c r="E6596" s="4" t="s">
        <v>1988</v>
      </c>
    </row>
    <row r="6597" spans="1:5" x14ac:dyDescent="0.2">
      <c r="A6597" s="126">
        <v>6536</v>
      </c>
      <c r="B6597" s="1814"/>
      <c r="D6597" s="2" t="str">
        <f t="shared" si="102"/>
        <v>OK</v>
      </c>
      <c r="E6597" s="4" t="s">
        <v>1988</v>
      </c>
    </row>
    <row r="6598" spans="1:5" x14ac:dyDescent="0.2">
      <c r="A6598" s="126">
        <v>6537</v>
      </c>
      <c r="B6598" s="1814"/>
      <c r="D6598" s="2" t="str">
        <f t="shared" si="102"/>
        <v>OK</v>
      </c>
      <c r="E6598" s="4" t="s">
        <v>1988</v>
      </c>
    </row>
    <row r="6599" spans="1:5" x14ac:dyDescent="0.2">
      <c r="A6599" s="126">
        <v>6538</v>
      </c>
      <c r="B6599" s="1814"/>
      <c r="D6599" s="2" t="str">
        <f t="shared" si="102"/>
        <v>OK</v>
      </c>
      <c r="E6599" s="4" t="s">
        <v>1988</v>
      </c>
    </row>
    <row r="6600" spans="1:5" x14ac:dyDescent="0.2">
      <c r="A6600" s="126">
        <v>6539</v>
      </c>
      <c r="B6600" s="1814"/>
      <c r="D6600" s="2" t="str">
        <f t="shared" si="102"/>
        <v>OK</v>
      </c>
      <c r="E6600" s="4" t="s">
        <v>1988</v>
      </c>
    </row>
    <row r="6601" spans="1:5" x14ac:dyDescent="0.2">
      <c r="A6601" s="126">
        <v>6540</v>
      </c>
      <c r="B6601" s="1814"/>
      <c r="D6601" s="2" t="str">
        <f t="shared" si="102"/>
        <v>OK</v>
      </c>
      <c r="E6601" s="4" t="s">
        <v>1988</v>
      </c>
    </row>
    <row r="6602" spans="1:5" x14ac:dyDescent="0.2">
      <c r="A6602" s="126">
        <v>6541</v>
      </c>
      <c r="B6602" s="1814"/>
      <c r="D6602" s="2" t="str">
        <f t="shared" si="102"/>
        <v>OK</v>
      </c>
      <c r="E6602" s="4" t="s">
        <v>1988</v>
      </c>
    </row>
    <row r="6603" spans="1:5" x14ac:dyDescent="0.2">
      <c r="A6603" s="126">
        <v>6542</v>
      </c>
      <c r="B6603" s="1814"/>
      <c r="D6603" s="2" t="str">
        <f t="shared" si="102"/>
        <v>OK</v>
      </c>
      <c r="E6603" s="4" t="s">
        <v>1988</v>
      </c>
    </row>
    <row r="6604" spans="1:5" x14ac:dyDescent="0.2">
      <c r="A6604" s="126">
        <v>6543</v>
      </c>
      <c r="B6604" s="1814"/>
      <c r="D6604" s="2" t="str">
        <f t="shared" si="102"/>
        <v>OK</v>
      </c>
      <c r="E6604" s="4" t="s">
        <v>1988</v>
      </c>
    </row>
    <row r="6605" spans="1:5" x14ac:dyDescent="0.2">
      <c r="A6605" s="126">
        <v>6544</v>
      </c>
      <c r="B6605" s="1814"/>
      <c r="D6605" s="2" t="str">
        <f t="shared" si="102"/>
        <v>OK</v>
      </c>
      <c r="E6605" s="4" t="s">
        <v>1988</v>
      </c>
    </row>
    <row r="6606" spans="1:5" x14ac:dyDescent="0.2">
      <c r="A6606" s="126">
        <v>6545</v>
      </c>
      <c r="B6606" s="1814"/>
      <c r="D6606" s="2" t="str">
        <f t="shared" si="102"/>
        <v>OK</v>
      </c>
      <c r="E6606" s="4" t="s">
        <v>1988</v>
      </c>
    </row>
    <row r="6607" spans="1:5" x14ac:dyDescent="0.2">
      <c r="A6607" s="126">
        <v>6546</v>
      </c>
      <c r="B6607" s="1814"/>
      <c r="D6607" s="2" t="str">
        <f t="shared" si="102"/>
        <v>OK</v>
      </c>
      <c r="E6607" s="4" t="s">
        <v>1988</v>
      </c>
    </row>
    <row r="6608" spans="1:5" x14ac:dyDescent="0.2">
      <c r="A6608" s="126">
        <v>6547</v>
      </c>
      <c r="B6608" s="1814"/>
      <c r="D6608" s="2" t="str">
        <f t="shared" si="102"/>
        <v>OK</v>
      </c>
      <c r="E6608" s="4" t="s">
        <v>1988</v>
      </c>
    </row>
    <row r="6609" spans="1:5" x14ac:dyDescent="0.2">
      <c r="A6609" s="126">
        <v>6548</v>
      </c>
      <c r="B6609" s="1814"/>
      <c r="D6609" s="2" t="str">
        <f t="shared" si="102"/>
        <v>OK</v>
      </c>
      <c r="E6609" s="4" t="s">
        <v>1988</v>
      </c>
    </row>
    <row r="6610" spans="1:5" x14ac:dyDescent="0.2">
      <c r="A6610" s="126">
        <v>6549</v>
      </c>
      <c r="B6610" s="1814"/>
      <c r="D6610" s="2" t="str">
        <f t="shared" si="102"/>
        <v>OK</v>
      </c>
      <c r="E6610" s="4" t="s">
        <v>1988</v>
      </c>
    </row>
    <row r="6611" spans="1:5" x14ac:dyDescent="0.2">
      <c r="A6611" s="126">
        <v>6550</v>
      </c>
      <c r="B6611" s="1814"/>
      <c r="D6611" s="2" t="str">
        <f t="shared" si="102"/>
        <v>OK</v>
      </c>
      <c r="E6611" s="4" t="s">
        <v>1988</v>
      </c>
    </row>
    <row r="6612" spans="1:5" x14ac:dyDescent="0.2">
      <c r="A6612" s="126">
        <v>6551</v>
      </c>
      <c r="B6612" s="1814"/>
      <c r="D6612" s="2" t="str">
        <f t="shared" si="102"/>
        <v>OK</v>
      </c>
      <c r="E6612" s="4" t="s">
        <v>1988</v>
      </c>
    </row>
    <row r="6613" spans="1:5" x14ac:dyDescent="0.2">
      <c r="A6613" s="126">
        <v>6552</v>
      </c>
      <c r="B6613" s="1814"/>
      <c r="D6613" s="2" t="str">
        <f t="shared" si="102"/>
        <v>OK</v>
      </c>
      <c r="E6613" s="4" t="s">
        <v>1988</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0</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1892</v>
      </c>
    </row>
    <row r="6842" spans="1:5" x14ac:dyDescent="0.2">
      <c r="A6842" s="126">
        <v>6781</v>
      </c>
      <c r="B6842" s="1814"/>
      <c r="D6842" s="2" t="str">
        <f t="shared" si="105"/>
        <v>OK</v>
      </c>
      <c r="E6842" s="1" t="s">
        <v>1892</v>
      </c>
    </row>
    <row r="6843" spans="1:5" x14ac:dyDescent="0.2">
      <c r="A6843" s="126">
        <v>6782</v>
      </c>
      <c r="B6843" s="1814"/>
      <c r="D6843" s="2" t="str">
        <f t="shared" si="105"/>
        <v>OK</v>
      </c>
      <c r="E6843" s="1" t="s">
        <v>1892</v>
      </c>
    </row>
    <row r="6844" spans="1:5" x14ac:dyDescent="0.2">
      <c r="A6844">
        <v>6783</v>
      </c>
      <c r="B6844" s="1814">
        <f>'Expenditures 15-22'!I5</f>
        <v>0</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0</v>
      </c>
      <c r="D6848" s="2" t="str">
        <f t="shared" si="106"/>
        <v>Error?</v>
      </c>
    </row>
    <row r="6849" spans="1:4" x14ac:dyDescent="0.2">
      <c r="A6849">
        <v>6788</v>
      </c>
      <c r="B6849" s="1814">
        <f>'Expenditures 15-22'!I8</f>
        <v>83606</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1074515</v>
      </c>
      <c r="D6853" s="2" t="str">
        <f t="shared" si="106"/>
        <v>Error?</v>
      </c>
    </row>
    <row r="6854" spans="1:4" x14ac:dyDescent="0.2">
      <c r="A6854">
        <v>6793</v>
      </c>
      <c r="B6854" s="1814">
        <f>'Expenditures 15-22'!I10</f>
        <v>0</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542</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0</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0</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6864</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0</v>
      </c>
      <c r="D6878" s="2" t="str">
        <f t="shared" si="106"/>
        <v>Error?</v>
      </c>
    </row>
    <row r="6879" spans="1:4" x14ac:dyDescent="0.2">
      <c r="A6879">
        <v>6818</v>
      </c>
      <c r="B6879" s="1814">
        <f>'Expenditures 15-22'!K21</f>
        <v>0</v>
      </c>
      <c r="D6879" s="2" t="str">
        <f t="shared" si="106"/>
        <v>Error?</v>
      </c>
    </row>
    <row r="6880" spans="1:4" x14ac:dyDescent="0.2">
      <c r="A6880">
        <v>6819</v>
      </c>
      <c r="B6880" s="1814">
        <f>'Expenditures 15-22'!H22</f>
        <v>799248</v>
      </c>
      <c r="D6880" s="2" t="str">
        <f t="shared" si="106"/>
        <v>Error?</v>
      </c>
    </row>
    <row r="6881" spans="1:4" x14ac:dyDescent="0.2">
      <c r="A6881">
        <v>6820</v>
      </c>
      <c r="B6881" s="1814">
        <f>'Expenditures 15-22'!K22</f>
        <v>799248</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91012</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14448</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1077</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3706</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19231</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132917</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132917</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1609</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0</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0</v>
      </c>
      <c r="D6940" s="2" t="str">
        <f t="shared" si="107"/>
        <v>Error?</v>
      </c>
    </row>
    <row r="6941" spans="1:4" x14ac:dyDescent="0.2">
      <c r="A6941" s="126">
        <v>6880</v>
      </c>
      <c r="B6941" s="1814"/>
      <c r="D6941" s="2" t="str">
        <f t="shared" si="107"/>
        <v>OK</v>
      </c>
    </row>
    <row r="6942" spans="1:4" x14ac:dyDescent="0.2">
      <c r="A6942">
        <v>6881</v>
      </c>
      <c r="B6942" s="1814">
        <f>'Expenditures 15-22'!I53</f>
        <v>1609</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0</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0</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0</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0</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153757</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0</v>
      </c>
      <c r="D6983" s="2" t="str">
        <f t="shared" si="108"/>
        <v>Error?</v>
      </c>
    </row>
    <row r="6984" spans="1:4" x14ac:dyDescent="0.2">
      <c r="A6984">
        <v>6923</v>
      </c>
      <c r="B6984" s="1814">
        <f>'Expenditures 15-22'!K86</f>
        <v>0</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0</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244769</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0</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0</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0</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0</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0</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0</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0</v>
      </c>
      <c r="D7073" s="2" t="str">
        <f t="shared" si="109"/>
        <v>Error?</v>
      </c>
    </row>
    <row r="7074" spans="1:4" x14ac:dyDescent="0.2">
      <c r="A7074">
        <v>7013</v>
      </c>
      <c r="B7074" s="1814">
        <f>'Expenditures 15-22'!K216</f>
        <v>0</v>
      </c>
      <c r="D7074" s="2" t="str">
        <f t="shared" si="109"/>
        <v>Error?</v>
      </c>
    </row>
    <row r="7075" spans="1:4" x14ac:dyDescent="0.2">
      <c r="A7075">
        <v>7014</v>
      </c>
      <c r="B7075" s="1814">
        <f>'Expenditures 15-22'!D218</f>
        <v>35762</v>
      </c>
      <c r="D7075" s="2" t="str">
        <f t="shared" si="109"/>
        <v>Error?</v>
      </c>
    </row>
    <row r="7076" spans="1:4" x14ac:dyDescent="0.2">
      <c r="A7076">
        <v>7015</v>
      </c>
      <c r="B7076" s="1814">
        <f>'Expenditures 15-22'!K218</f>
        <v>35762</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0</v>
      </c>
      <c r="D7079" s="2" t="str">
        <f t="shared" si="109"/>
        <v>Error?</v>
      </c>
    </row>
    <row r="7080" spans="1:4" x14ac:dyDescent="0.2">
      <c r="A7080">
        <v>7019</v>
      </c>
      <c r="B7080" s="1814">
        <f>'Expenditures 15-22'!K226</f>
        <v>0</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0</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0</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0</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0</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0</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0</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0</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0</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0</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0</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0</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0</v>
      </c>
      <c r="D7224" s="2" t="str">
        <f t="shared" si="111"/>
        <v>Error?</v>
      </c>
    </row>
    <row r="7225" spans="1:4" x14ac:dyDescent="0.2">
      <c r="A7225">
        <v>7164</v>
      </c>
      <c r="B7225" s="1814">
        <f>'Expenditures 15-22'!K343</f>
        <v>0</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0</v>
      </c>
      <c r="D7246" s="2" t="str">
        <f t="shared" si="112"/>
        <v>Error?</v>
      </c>
    </row>
    <row r="7247" spans="1:4" x14ac:dyDescent="0.2">
      <c r="A7247">
        <f t="shared" si="113"/>
        <v>7186</v>
      </c>
      <c r="B7247" s="1814">
        <f>'Expenditures 15-22'!E7</f>
        <v>0</v>
      </c>
      <c r="D7247" s="2" t="str">
        <f t="shared" si="112"/>
        <v>Error?</v>
      </c>
    </row>
    <row r="7248" spans="1:4" x14ac:dyDescent="0.2">
      <c r="A7248">
        <f t="shared" si="113"/>
        <v>7187</v>
      </c>
      <c r="B7248" s="1814">
        <f>'Expenditures 15-22'!F7</f>
        <v>0</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835560</v>
      </c>
      <c r="D7251" s="2" t="str">
        <f t="shared" si="112"/>
        <v>Error?</v>
      </c>
    </row>
    <row r="7252" spans="1:4" x14ac:dyDescent="0.2">
      <c r="A7252">
        <f t="shared" si="113"/>
        <v>7191</v>
      </c>
      <c r="B7252" s="1814">
        <f>'Expenditures 15-22'!D9</f>
        <v>238729</v>
      </c>
      <c r="D7252" s="2" t="str">
        <f t="shared" si="112"/>
        <v>Error?</v>
      </c>
    </row>
    <row r="7253" spans="1:4" x14ac:dyDescent="0.2">
      <c r="A7253">
        <f t="shared" si="113"/>
        <v>7192</v>
      </c>
      <c r="B7253" s="1814">
        <f>'Expenditures 15-22'!E9</f>
        <v>14</v>
      </c>
      <c r="D7253" s="2" t="str">
        <f t="shared" si="112"/>
        <v>Error?</v>
      </c>
    </row>
    <row r="7254" spans="1:4" x14ac:dyDescent="0.2">
      <c r="A7254">
        <f t="shared" si="113"/>
        <v>7193</v>
      </c>
      <c r="B7254" s="1814">
        <f>'Expenditures 15-22'!F9</f>
        <v>212</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0</v>
      </c>
      <c r="D7263" s="2" t="str">
        <f t="shared" si="112"/>
        <v>Error?</v>
      </c>
    </row>
    <row r="7264" spans="1:4" x14ac:dyDescent="0.2">
      <c r="A7264">
        <f t="shared" si="113"/>
        <v>7203</v>
      </c>
      <c r="B7264" s="1814">
        <f>'Expenditures 15-22'!D17</f>
        <v>0</v>
      </c>
      <c r="D7264" s="2" t="str">
        <f t="shared" si="112"/>
        <v>Error?</v>
      </c>
    </row>
    <row r="7265" spans="1:5" x14ac:dyDescent="0.2">
      <c r="A7265">
        <f t="shared" si="113"/>
        <v>7204</v>
      </c>
      <c r="B7265" s="1814">
        <f>'Expenditures 15-22'!E17</f>
        <v>0</v>
      </c>
      <c r="D7265" s="2" t="str">
        <f t="shared" si="112"/>
        <v>Error?</v>
      </c>
    </row>
    <row r="7266" spans="1:5" x14ac:dyDescent="0.2">
      <c r="A7266">
        <f t="shared" si="113"/>
        <v>7205</v>
      </c>
      <c r="B7266" s="1814">
        <f>'Expenditures 15-22'!F17</f>
        <v>0</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244769</v>
      </c>
      <c r="D7624" s="2" t="str">
        <f t="shared" si="124"/>
        <v>Error?</v>
      </c>
      <c r="E7624" s="2" t="s">
        <v>19</v>
      </c>
    </row>
    <row r="7625" spans="1:5" x14ac:dyDescent="0.2">
      <c r="A7625">
        <f t="shared" si="123"/>
        <v>7564</v>
      </c>
      <c r="B7625" s="1814">
        <f>'Cap Outlay Deprec 26'!I17</f>
        <v>24476.9</v>
      </c>
      <c r="D7625" s="2" t="str">
        <f t="shared" si="124"/>
        <v>Error?</v>
      </c>
      <c r="E7625" s="2" t="s">
        <v>19</v>
      </c>
    </row>
    <row r="7626" spans="1:5" x14ac:dyDescent="0.2">
      <c r="A7626" s="126">
        <f t="shared" si="123"/>
        <v>7565</v>
      </c>
      <c r="B7626" s="1814"/>
      <c r="D7626" s="2" t="str">
        <f t="shared" si="124"/>
        <v>OK</v>
      </c>
      <c r="E7626" s="4" t="s">
        <v>1322</v>
      </c>
    </row>
    <row r="7627" spans="1:5" x14ac:dyDescent="0.2">
      <c r="A7627" s="126">
        <f t="shared" si="123"/>
        <v>7566</v>
      </c>
      <c r="B7627" s="1814"/>
      <c r="D7627" s="2" t="str">
        <f t="shared" si="124"/>
        <v>OK</v>
      </c>
      <c r="E7627" s="4" t="s">
        <v>1322</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1322</v>
      </c>
    </row>
    <row r="7630" spans="1:5" x14ac:dyDescent="0.2">
      <c r="A7630" s="126">
        <f t="shared" ref="A7630:A7650" si="125">A7629+1</f>
        <v>7569</v>
      </c>
      <c r="B7630" s="1814"/>
      <c r="D7630" s="2" t="str">
        <f t="shared" si="124"/>
        <v>OK</v>
      </c>
      <c r="E7630" s="4" t="s">
        <v>1322</v>
      </c>
    </row>
    <row r="7631" spans="1:5" x14ac:dyDescent="0.2">
      <c r="A7631">
        <f t="shared" si="125"/>
        <v>7570</v>
      </c>
      <c r="B7631" s="1814">
        <f>'Cap Outlay Deprec 26'!I18</f>
        <v>1335864.8999999999</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1322</v>
      </c>
    </row>
    <row r="7634" spans="1:6" x14ac:dyDescent="0.2">
      <c r="A7634" s="126">
        <f t="shared" si="125"/>
        <v>7573</v>
      </c>
      <c r="B7634" s="1814"/>
      <c r="D7634" s="2" t="str">
        <f t="shared" si="124"/>
        <v>OK</v>
      </c>
      <c r="E7634" s="4" t="s">
        <v>1322</v>
      </c>
    </row>
    <row r="7635" spans="1:6" x14ac:dyDescent="0.2">
      <c r="A7635" s="126">
        <f t="shared" si="125"/>
        <v>7574</v>
      </c>
      <c r="B7635" s="1815"/>
      <c r="D7635" s="2" t="str">
        <f t="shared" si="124"/>
        <v>OK</v>
      </c>
      <c r="E7635" s="4" t="s">
        <v>1989</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1989</v>
      </c>
    </row>
    <row r="7641" spans="1:6" x14ac:dyDescent="0.2">
      <c r="A7641" s="126">
        <f t="shared" si="125"/>
        <v>7580</v>
      </c>
      <c r="B7641" s="1815"/>
      <c r="D7641" s="2" t="str">
        <f t="shared" si="124"/>
        <v>OK</v>
      </c>
      <c r="E7641" s="4" t="s">
        <v>1989</v>
      </c>
    </row>
    <row r="7642" spans="1:6" x14ac:dyDescent="0.2">
      <c r="A7642" s="126">
        <f t="shared" si="125"/>
        <v>7581</v>
      </c>
      <c r="B7642" s="1815"/>
      <c r="D7642" s="2" t="str">
        <f t="shared" si="124"/>
        <v>OK</v>
      </c>
      <c r="E7642" s="4" t="s">
        <v>1989</v>
      </c>
    </row>
    <row r="7643" spans="1:6" x14ac:dyDescent="0.2">
      <c r="A7643" s="126">
        <f t="shared" si="125"/>
        <v>7582</v>
      </c>
      <c r="B7643" s="1815"/>
      <c r="D7643" s="2" t="str">
        <f t="shared" si="124"/>
        <v>OK</v>
      </c>
      <c r="E7643" s="4" t="s">
        <v>1989</v>
      </c>
    </row>
    <row r="7644" spans="1:6" x14ac:dyDescent="0.2">
      <c r="A7644" s="126">
        <f t="shared" si="125"/>
        <v>7583</v>
      </c>
      <c r="B7644" s="1815"/>
      <c r="D7644" s="2" t="str">
        <f t="shared" si="124"/>
        <v>OK</v>
      </c>
      <c r="E7644" s="4" t="s">
        <v>1989</v>
      </c>
    </row>
    <row r="7645" spans="1:6" x14ac:dyDescent="0.2">
      <c r="A7645" s="126">
        <f t="shared" si="125"/>
        <v>7584</v>
      </c>
      <c r="B7645" s="1815"/>
      <c r="D7645" s="2" t="str">
        <f t="shared" si="124"/>
        <v>OK</v>
      </c>
      <c r="E7645" s="4" t="s">
        <v>1989</v>
      </c>
    </row>
    <row r="7646" spans="1:6" x14ac:dyDescent="0.2">
      <c r="A7646" s="126">
        <f t="shared" si="125"/>
        <v>7585</v>
      </c>
      <c r="B7646" s="1815"/>
      <c r="D7646" s="2" t="str">
        <f t="shared" si="124"/>
        <v>OK</v>
      </c>
      <c r="E7646" s="4" t="s">
        <v>1989</v>
      </c>
    </row>
    <row r="7647" spans="1:6" x14ac:dyDescent="0.2">
      <c r="A7647" s="126">
        <f t="shared" si="125"/>
        <v>7586</v>
      </c>
      <c r="B7647" s="1815"/>
      <c r="D7647" s="2" t="str">
        <f t="shared" si="124"/>
        <v>OK</v>
      </c>
      <c r="E7647" s="4" t="s">
        <v>1989</v>
      </c>
    </row>
    <row r="7648" spans="1:6" x14ac:dyDescent="0.2">
      <c r="A7648" s="126">
        <f t="shared" si="125"/>
        <v>7587</v>
      </c>
      <c r="B7648" s="1815"/>
      <c r="D7648" s="2" t="str">
        <f t="shared" si="124"/>
        <v>OK</v>
      </c>
      <c r="E7648" s="4" t="s">
        <v>1989</v>
      </c>
    </row>
    <row r="7649" spans="1:5" x14ac:dyDescent="0.2">
      <c r="A7649" s="126">
        <f t="shared" si="125"/>
        <v>7588</v>
      </c>
      <c r="B7649" s="1815"/>
      <c r="D7649" s="2" t="str">
        <f t="shared" si="124"/>
        <v>OK</v>
      </c>
      <c r="E7649" s="4" t="s">
        <v>1989</v>
      </c>
    </row>
    <row r="7650" spans="1:5" x14ac:dyDescent="0.2">
      <c r="A7650" s="126">
        <f t="shared" si="125"/>
        <v>7589</v>
      </c>
      <c r="B7650" s="1815"/>
      <c r="D7650" s="2" t="str">
        <f t="shared" si="124"/>
        <v>OK</v>
      </c>
      <c r="E7650" s="4" t="s">
        <v>1989</v>
      </c>
    </row>
    <row r="7651" spans="1:5" x14ac:dyDescent="0.2">
      <c r="A7651">
        <v>7590</v>
      </c>
      <c r="B7651" s="1814">
        <f>'Acct Summary 7-8'!C55</f>
        <v>0</v>
      </c>
      <c r="D7651" s="2" t="str">
        <f t="shared" si="124"/>
        <v>Error?</v>
      </c>
      <c r="E7651" s="2" t="s">
        <v>821</v>
      </c>
    </row>
    <row r="7652" spans="1:5" x14ac:dyDescent="0.2">
      <c r="A7652">
        <v>7591</v>
      </c>
      <c r="B7652" s="1814">
        <f>'Acct Summary 7-8'!D55</f>
        <v>0</v>
      </c>
      <c r="D7652" s="2" t="str">
        <f t="shared" si="124"/>
        <v>Error?</v>
      </c>
      <c r="E7652" s="2" t="s">
        <v>821</v>
      </c>
    </row>
    <row r="7653" spans="1:5" x14ac:dyDescent="0.2">
      <c r="A7653">
        <v>7592</v>
      </c>
      <c r="B7653" s="1814">
        <f>'Acct Summary 7-8'!H55</f>
        <v>0</v>
      </c>
      <c r="D7653" s="2" t="str">
        <f t="shared" si="124"/>
        <v>Error?</v>
      </c>
      <c r="E7653" s="2" t="s">
        <v>821</v>
      </c>
    </row>
    <row r="7654" spans="1:5" x14ac:dyDescent="0.2">
      <c r="A7654">
        <v>7593</v>
      </c>
      <c r="B7654" s="1814">
        <f>'Acct Summary 7-8'!C56</f>
        <v>0</v>
      </c>
      <c r="D7654" s="2" t="str">
        <f t="shared" si="124"/>
        <v>Error?</v>
      </c>
      <c r="E7654" s="2" t="s">
        <v>821</v>
      </c>
    </row>
    <row r="7655" spans="1:5" x14ac:dyDescent="0.2">
      <c r="A7655">
        <v>7594</v>
      </c>
      <c r="B7655" s="1814">
        <f>'Acct Summary 7-8'!D56</f>
        <v>0</v>
      </c>
      <c r="D7655" s="2" t="str">
        <f t="shared" si="124"/>
        <v>Error?</v>
      </c>
      <c r="E7655" s="2" t="s">
        <v>821</v>
      </c>
    </row>
    <row r="7656" spans="1:5" x14ac:dyDescent="0.2">
      <c r="A7656">
        <v>7595</v>
      </c>
      <c r="B7656" s="1814">
        <f>'Acct Summary 7-8'!H56</f>
        <v>0</v>
      </c>
      <c r="D7656" s="2" t="str">
        <f t="shared" si="124"/>
        <v>Error?</v>
      </c>
      <c r="E7656" s="2" t="s">
        <v>821</v>
      </c>
    </row>
    <row r="7657" spans="1:5" x14ac:dyDescent="0.2">
      <c r="A7657">
        <v>7596</v>
      </c>
      <c r="B7657" s="1814">
        <f>'Acct Summary 7-8'!C57</f>
        <v>0</v>
      </c>
      <c r="D7657" s="2" t="str">
        <f t="shared" si="124"/>
        <v>Error?</v>
      </c>
      <c r="E7657" s="2" t="s">
        <v>821</v>
      </c>
    </row>
    <row r="7658" spans="1:5" x14ac:dyDescent="0.2">
      <c r="A7658">
        <v>7597</v>
      </c>
      <c r="B7658" s="1814">
        <f>'Acct Summary 7-8'!D57</f>
        <v>0</v>
      </c>
      <c r="D7658" s="2" t="str">
        <f t="shared" si="124"/>
        <v>Error?</v>
      </c>
      <c r="E7658" s="2" t="s">
        <v>821</v>
      </c>
    </row>
    <row r="7659" spans="1:5" x14ac:dyDescent="0.2">
      <c r="A7659">
        <v>7598</v>
      </c>
      <c r="B7659" s="1814">
        <f>'Acct Summary 7-8'!H57</f>
        <v>0</v>
      </c>
      <c r="D7659" s="2" t="str">
        <f t="shared" si="124"/>
        <v>Error?</v>
      </c>
      <c r="E7659" s="2" t="s">
        <v>821</v>
      </c>
    </row>
    <row r="7660" spans="1:5" x14ac:dyDescent="0.2">
      <c r="A7660">
        <v>7599</v>
      </c>
      <c r="B7660" s="1814">
        <f>'Acct Summary 7-8'!C59</f>
        <v>0</v>
      </c>
      <c r="D7660" s="2" t="str">
        <f t="shared" si="124"/>
        <v>Error?</v>
      </c>
      <c r="E7660" s="2" t="s">
        <v>821</v>
      </c>
    </row>
    <row r="7661" spans="1:5" x14ac:dyDescent="0.2">
      <c r="A7661">
        <v>7600</v>
      </c>
      <c r="B7661" s="1814">
        <f>'Acct Summary 7-8'!D59</f>
        <v>0</v>
      </c>
      <c r="D7661" s="2" t="str">
        <f t="shared" si="124"/>
        <v>Error?</v>
      </c>
      <c r="E7661" s="2" t="s">
        <v>821</v>
      </c>
    </row>
    <row r="7662" spans="1:5" x14ac:dyDescent="0.2">
      <c r="A7662">
        <v>7601</v>
      </c>
      <c r="B7662" s="1814">
        <f>'Acct Summary 7-8'!H59</f>
        <v>0</v>
      </c>
      <c r="D7662" s="2" t="str">
        <f t="shared" si="124"/>
        <v>Error?</v>
      </c>
      <c r="E7662" s="2" t="s">
        <v>821</v>
      </c>
    </row>
    <row r="7663" spans="1:5" x14ac:dyDescent="0.2">
      <c r="A7663">
        <v>7602</v>
      </c>
      <c r="B7663" s="1814">
        <f>'Acct Summary 7-8'!C60</f>
        <v>0</v>
      </c>
      <c r="D7663" s="2" t="str">
        <f t="shared" si="124"/>
        <v>Error?</v>
      </c>
      <c r="E7663" s="2" t="s">
        <v>821</v>
      </c>
    </row>
    <row r="7664" spans="1:5" x14ac:dyDescent="0.2">
      <c r="A7664">
        <v>7603</v>
      </c>
      <c r="B7664" s="1814">
        <f>'Acct Summary 7-8'!D60</f>
        <v>0</v>
      </c>
      <c r="D7664" s="2" t="str">
        <f t="shared" si="124"/>
        <v>Error?</v>
      </c>
      <c r="E7664" s="2" t="s">
        <v>821</v>
      </c>
    </row>
    <row r="7665" spans="1:5" x14ac:dyDescent="0.2">
      <c r="A7665">
        <v>7604</v>
      </c>
      <c r="B7665" s="1814">
        <f>'Acct Summary 7-8'!H60</f>
        <v>0</v>
      </c>
      <c r="D7665" s="2" t="str">
        <f t="shared" si="124"/>
        <v>Error?</v>
      </c>
      <c r="E7665" s="2" t="s">
        <v>821</v>
      </c>
    </row>
    <row r="7666" spans="1:5" x14ac:dyDescent="0.2">
      <c r="A7666">
        <v>7605</v>
      </c>
      <c r="B7666" s="1814">
        <f>'Acct Summary 7-8'!C61</f>
        <v>0</v>
      </c>
      <c r="D7666" s="2" t="str">
        <f t="shared" si="124"/>
        <v>Error?</v>
      </c>
      <c r="E7666" s="2" t="s">
        <v>821</v>
      </c>
    </row>
    <row r="7667" spans="1:5" x14ac:dyDescent="0.2">
      <c r="A7667">
        <v>7606</v>
      </c>
      <c r="B7667" s="1814">
        <f>'Acct Summary 7-8'!D61</f>
        <v>0</v>
      </c>
      <c r="D7667" s="2" t="str">
        <f t="shared" si="124"/>
        <v>Error?</v>
      </c>
      <c r="E7667" s="2" t="s">
        <v>821</v>
      </c>
    </row>
    <row r="7668" spans="1:5" x14ac:dyDescent="0.2">
      <c r="A7668">
        <v>7607</v>
      </c>
      <c r="B7668" s="1814">
        <f>'Acct Summary 7-8'!H61</f>
        <v>0</v>
      </c>
      <c r="D7668" s="2" t="str">
        <f t="shared" si="124"/>
        <v>Error?</v>
      </c>
      <c r="E7668" s="2" t="s">
        <v>821</v>
      </c>
    </row>
    <row r="7669" spans="1:5" x14ac:dyDescent="0.2">
      <c r="A7669">
        <v>7608</v>
      </c>
      <c r="B7669" s="1814">
        <f>'Acct Summary 7-8'!C63</f>
        <v>0</v>
      </c>
      <c r="D7669" s="2" t="str">
        <f t="shared" si="124"/>
        <v>Error?</v>
      </c>
      <c r="E7669" s="2" t="s">
        <v>821</v>
      </c>
    </row>
    <row r="7670" spans="1:5" x14ac:dyDescent="0.2">
      <c r="A7670">
        <v>7609</v>
      </c>
      <c r="B7670" s="1814">
        <f>'Acct Summary 7-8'!D63</f>
        <v>0</v>
      </c>
      <c r="D7670" s="2" t="str">
        <f t="shared" si="124"/>
        <v>Error?</v>
      </c>
      <c r="E7670" s="2" t="s">
        <v>821</v>
      </c>
    </row>
    <row r="7671" spans="1:5" x14ac:dyDescent="0.2">
      <c r="A7671">
        <v>7610</v>
      </c>
      <c r="B7671" s="1814">
        <f>'Acct Summary 7-8'!C64</f>
        <v>0</v>
      </c>
      <c r="D7671" s="2" t="str">
        <f t="shared" si="124"/>
        <v>Error?</v>
      </c>
      <c r="E7671" s="2" t="s">
        <v>821</v>
      </c>
    </row>
    <row r="7672" spans="1:5" x14ac:dyDescent="0.2">
      <c r="A7672">
        <v>7611</v>
      </c>
      <c r="B7672" s="1814">
        <f>'Acct Summary 7-8'!D64</f>
        <v>0</v>
      </c>
      <c r="D7672" s="2" t="str">
        <f t="shared" si="124"/>
        <v>Error?</v>
      </c>
      <c r="E7672" s="2" t="s">
        <v>821</v>
      </c>
    </row>
    <row r="7673" spans="1:5" x14ac:dyDescent="0.2">
      <c r="A7673">
        <v>7612</v>
      </c>
      <c r="B7673" s="1814">
        <f>'Acct Summary 7-8'!C65</f>
        <v>0</v>
      </c>
      <c r="D7673" s="2" t="str">
        <f t="shared" si="124"/>
        <v>Error?</v>
      </c>
      <c r="E7673" s="2" t="s">
        <v>821</v>
      </c>
    </row>
    <row r="7674" spans="1:5" x14ac:dyDescent="0.2">
      <c r="A7674">
        <v>7613</v>
      </c>
      <c r="B7674" s="1814">
        <f>'Acct Summary 7-8'!D65</f>
        <v>0</v>
      </c>
      <c r="D7674" s="2" t="str">
        <f t="shared" si="124"/>
        <v>Error?</v>
      </c>
      <c r="E7674" s="2" t="s">
        <v>821</v>
      </c>
    </row>
    <row r="7675" spans="1:5" x14ac:dyDescent="0.2">
      <c r="A7675">
        <v>7614</v>
      </c>
      <c r="B7675" s="1814">
        <f>'Acct Summary 7-8'!C67</f>
        <v>0</v>
      </c>
      <c r="D7675" s="2" t="str">
        <f t="shared" si="124"/>
        <v>Error?</v>
      </c>
      <c r="E7675" s="2" t="s">
        <v>821</v>
      </c>
    </row>
    <row r="7676" spans="1:5" x14ac:dyDescent="0.2">
      <c r="A7676">
        <v>7615</v>
      </c>
      <c r="B7676" s="1814">
        <f>'Acct Summary 7-8'!D67</f>
        <v>0</v>
      </c>
      <c r="D7676" s="2" t="str">
        <f t="shared" si="124"/>
        <v>Error?</v>
      </c>
      <c r="E7676" s="2" t="s">
        <v>821</v>
      </c>
    </row>
    <row r="7677" spans="1:5" x14ac:dyDescent="0.2">
      <c r="A7677">
        <v>7616</v>
      </c>
      <c r="B7677" s="1814">
        <f>'Acct Summary 7-8'!C68</f>
        <v>0</v>
      </c>
      <c r="D7677" s="2" t="str">
        <f t="shared" si="124"/>
        <v>Error?</v>
      </c>
      <c r="E7677" s="2" t="s">
        <v>821</v>
      </c>
    </row>
    <row r="7678" spans="1:5" x14ac:dyDescent="0.2">
      <c r="A7678">
        <v>7617</v>
      </c>
      <c r="B7678" s="1814">
        <f>'Acct Summary 7-8'!D68</f>
        <v>0</v>
      </c>
      <c r="D7678" s="2" t="str">
        <f t="shared" si="124"/>
        <v>Error?</v>
      </c>
      <c r="E7678" s="2" t="s">
        <v>821</v>
      </c>
    </row>
    <row r="7679" spans="1:5" x14ac:dyDescent="0.2">
      <c r="A7679">
        <v>7618</v>
      </c>
      <c r="B7679" s="1814">
        <f>'Acct Summary 7-8'!C69</f>
        <v>0</v>
      </c>
      <c r="D7679" s="2" t="str">
        <f t="shared" ref="D7679:D7742" si="126">IF(ISBLANK(B7679),"OK",IF(A7679-B7679=0,"OK","Error?"))</f>
        <v>Error?</v>
      </c>
      <c r="E7679" s="2" t="s">
        <v>821</v>
      </c>
    </row>
    <row r="7680" spans="1:5" x14ac:dyDescent="0.2">
      <c r="A7680">
        <v>7619</v>
      </c>
      <c r="B7680" s="1814">
        <f>'Acct Summary 7-8'!D69</f>
        <v>0</v>
      </c>
      <c r="D7680" s="2" t="str">
        <f t="shared" si="126"/>
        <v>Error?</v>
      </c>
      <c r="E7680" s="2" t="s">
        <v>821</v>
      </c>
    </row>
    <row r="7681" spans="1:5" x14ac:dyDescent="0.2">
      <c r="A7681">
        <v>7620</v>
      </c>
      <c r="B7681" s="1814">
        <f>'Acct Summary 7-8'!C71</f>
        <v>0</v>
      </c>
      <c r="D7681" s="2" t="str">
        <f t="shared" si="126"/>
        <v>Error?</v>
      </c>
      <c r="E7681" s="2" t="s">
        <v>821</v>
      </c>
    </row>
    <row r="7682" spans="1:5" x14ac:dyDescent="0.2">
      <c r="A7682">
        <v>7621</v>
      </c>
      <c r="B7682" s="1814">
        <f>'Acct Summary 7-8'!D71</f>
        <v>0</v>
      </c>
      <c r="D7682" s="2" t="str">
        <f t="shared" si="126"/>
        <v>Error?</v>
      </c>
      <c r="E7682" s="2" t="s">
        <v>821</v>
      </c>
    </row>
    <row r="7683" spans="1:5" x14ac:dyDescent="0.2">
      <c r="A7683">
        <v>7622</v>
      </c>
      <c r="B7683" s="1814">
        <f>'Acct Summary 7-8'!C72</f>
        <v>0</v>
      </c>
      <c r="D7683" s="2" t="str">
        <f t="shared" si="126"/>
        <v>Error?</v>
      </c>
      <c r="E7683" s="2" t="s">
        <v>821</v>
      </c>
    </row>
    <row r="7684" spans="1:5" x14ac:dyDescent="0.2">
      <c r="A7684">
        <v>7623</v>
      </c>
      <c r="B7684" s="1814">
        <f>'Acct Summary 7-8'!D72</f>
        <v>0</v>
      </c>
      <c r="D7684" s="2" t="str">
        <f t="shared" si="126"/>
        <v>Error?</v>
      </c>
      <c r="E7684" s="2" t="s">
        <v>821</v>
      </c>
    </row>
    <row r="7685" spans="1:5" x14ac:dyDescent="0.2">
      <c r="A7685">
        <v>7624</v>
      </c>
      <c r="B7685" s="1814">
        <f>'Acct Summary 7-8'!C73</f>
        <v>0</v>
      </c>
      <c r="D7685" s="2" t="str">
        <f t="shared" si="126"/>
        <v>Error?</v>
      </c>
      <c r="E7685" s="2" t="s">
        <v>821</v>
      </c>
    </row>
    <row r="7686" spans="1:5" x14ac:dyDescent="0.2">
      <c r="A7686">
        <v>7625</v>
      </c>
      <c r="B7686" s="1814">
        <f>'Acct Summary 7-8'!D73</f>
        <v>0</v>
      </c>
      <c r="D7686" s="2" t="str">
        <f t="shared" si="126"/>
        <v>Error?</v>
      </c>
      <c r="E7686" s="2" t="s">
        <v>821</v>
      </c>
    </row>
    <row r="7687" spans="1:5" x14ac:dyDescent="0.2">
      <c r="A7687">
        <v>7626</v>
      </c>
      <c r="B7687" s="1814">
        <f>'Revenues 9-14'!C196</f>
        <v>0</v>
      </c>
      <c r="D7687" s="2" t="str">
        <f t="shared" si="126"/>
        <v>Error?</v>
      </c>
      <c r="E7687" s="2" t="s">
        <v>821</v>
      </c>
    </row>
    <row r="7688" spans="1:5" x14ac:dyDescent="0.2">
      <c r="A7688">
        <v>7627</v>
      </c>
      <c r="B7688" s="1814">
        <f>'Expenditures 15-22'!C328</f>
        <v>0</v>
      </c>
      <c r="D7688" s="2" t="str">
        <f t="shared" si="126"/>
        <v>Error?</v>
      </c>
      <c r="E7688" s="2" t="s">
        <v>821</v>
      </c>
    </row>
    <row r="7689" spans="1:5" x14ac:dyDescent="0.2">
      <c r="A7689">
        <v>7628</v>
      </c>
      <c r="B7689" s="1814">
        <f>'Expenditures 15-22'!D328</f>
        <v>0</v>
      </c>
      <c r="D7689" s="2" t="str">
        <f t="shared" si="126"/>
        <v>Error?</v>
      </c>
      <c r="E7689" s="2" t="s">
        <v>821</v>
      </c>
    </row>
    <row r="7690" spans="1:5" x14ac:dyDescent="0.2">
      <c r="A7690">
        <v>7629</v>
      </c>
      <c r="B7690" s="1814">
        <f>'Expenditures 15-22'!E328</f>
        <v>0</v>
      </c>
      <c r="D7690" s="2" t="str">
        <f t="shared" si="126"/>
        <v>Error?</v>
      </c>
      <c r="E7690" s="2" t="s">
        <v>821</v>
      </c>
    </row>
    <row r="7691" spans="1:5" x14ac:dyDescent="0.2">
      <c r="A7691">
        <v>7630</v>
      </c>
      <c r="B7691" s="1814">
        <f>'Expenditures 15-22'!F328</f>
        <v>0</v>
      </c>
      <c r="D7691" s="2" t="str">
        <f t="shared" si="126"/>
        <v>Error?</v>
      </c>
      <c r="E7691" s="2" t="s">
        <v>821</v>
      </c>
    </row>
    <row r="7692" spans="1:5" x14ac:dyDescent="0.2">
      <c r="A7692">
        <v>7631</v>
      </c>
      <c r="B7692" s="1814">
        <f>'Expenditures 15-22'!G328</f>
        <v>0</v>
      </c>
      <c r="D7692" s="2" t="str">
        <f t="shared" si="126"/>
        <v>Error?</v>
      </c>
      <c r="E7692" s="2" t="s">
        <v>821</v>
      </c>
    </row>
    <row r="7693" spans="1:5" x14ac:dyDescent="0.2">
      <c r="A7693">
        <v>7632</v>
      </c>
      <c r="B7693" s="1814">
        <f>'Expenditures 15-22'!H328</f>
        <v>0</v>
      </c>
      <c r="D7693" s="2" t="str">
        <f t="shared" si="126"/>
        <v>Error?</v>
      </c>
      <c r="E7693" s="2" t="s">
        <v>821</v>
      </c>
    </row>
    <row r="7694" spans="1:5" x14ac:dyDescent="0.2">
      <c r="A7694">
        <v>7633</v>
      </c>
      <c r="B7694" s="1814">
        <f>'Expenditures 15-22'!I328</f>
        <v>0</v>
      </c>
      <c r="D7694" s="2" t="str">
        <f t="shared" si="126"/>
        <v>Error?</v>
      </c>
      <c r="E7694" s="2" t="s">
        <v>821</v>
      </c>
    </row>
    <row r="7695" spans="1:5" x14ac:dyDescent="0.2">
      <c r="A7695">
        <v>7634</v>
      </c>
      <c r="B7695" s="1814">
        <f>'Expenditures 15-22'!J328</f>
        <v>0</v>
      </c>
      <c r="D7695" s="2" t="str">
        <f t="shared" si="126"/>
        <v>Error?</v>
      </c>
      <c r="E7695" s="2" t="s">
        <v>821</v>
      </c>
    </row>
    <row r="7696" spans="1:5" x14ac:dyDescent="0.2">
      <c r="A7696">
        <v>7635</v>
      </c>
      <c r="B7696" s="1814">
        <f>'Expenditures 15-22'!K328</f>
        <v>0</v>
      </c>
      <c r="D7696" s="2" t="str">
        <f t="shared" si="126"/>
        <v>Error?</v>
      </c>
      <c r="E7696" s="2" t="s">
        <v>821</v>
      </c>
    </row>
    <row r="7697" spans="1:5" x14ac:dyDescent="0.2">
      <c r="A7697">
        <v>7636</v>
      </c>
      <c r="B7697" s="1814">
        <f>'Expenditures 15-22'!C329</f>
        <v>0</v>
      </c>
      <c r="D7697" s="2" t="str">
        <f t="shared" si="126"/>
        <v>Error?</v>
      </c>
      <c r="E7697" s="2" t="s">
        <v>821</v>
      </c>
    </row>
    <row r="7698" spans="1:5" x14ac:dyDescent="0.2">
      <c r="A7698">
        <v>7637</v>
      </c>
      <c r="B7698" s="1814">
        <f>'Expenditures 15-22'!D329</f>
        <v>0</v>
      </c>
      <c r="D7698" s="2" t="str">
        <f t="shared" si="126"/>
        <v>Error?</v>
      </c>
      <c r="E7698" s="2" t="s">
        <v>821</v>
      </c>
    </row>
    <row r="7699" spans="1:5" x14ac:dyDescent="0.2">
      <c r="A7699">
        <v>7638</v>
      </c>
      <c r="B7699" s="1814">
        <f>'Expenditures 15-22'!E329</f>
        <v>0</v>
      </c>
      <c r="D7699" s="2" t="str">
        <f t="shared" si="126"/>
        <v>Error?</v>
      </c>
      <c r="E7699" s="2" t="s">
        <v>821</v>
      </c>
    </row>
    <row r="7700" spans="1:5" x14ac:dyDescent="0.2">
      <c r="A7700">
        <v>7639</v>
      </c>
      <c r="B7700" s="1814">
        <f>'Expenditures 15-22'!F329</f>
        <v>0</v>
      </c>
      <c r="D7700" s="2" t="str">
        <f t="shared" si="126"/>
        <v>Error?</v>
      </c>
      <c r="E7700" s="2" t="s">
        <v>821</v>
      </c>
    </row>
    <row r="7701" spans="1:5" x14ac:dyDescent="0.2">
      <c r="A7701">
        <v>7640</v>
      </c>
      <c r="B7701" s="1814">
        <f>'Expenditures 15-22'!G329</f>
        <v>0</v>
      </c>
      <c r="D7701" s="2" t="str">
        <f t="shared" si="126"/>
        <v>Error?</v>
      </c>
      <c r="E7701" s="2" t="s">
        <v>821</v>
      </c>
    </row>
    <row r="7702" spans="1:5" x14ac:dyDescent="0.2">
      <c r="A7702">
        <v>7641</v>
      </c>
      <c r="B7702" s="1814">
        <f>'Expenditures 15-22'!H329</f>
        <v>0</v>
      </c>
      <c r="D7702" s="2" t="str">
        <f t="shared" si="126"/>
        <v>Error?</v>
      </c>
      <c r="E7702" s="2" t="s">
        <v>821</v>
      </c>
    </row>
    <row r="7703" spans="1:5" x14ac:dyDescent="0.2">
      <c r="A7703">
        <v>7642</v>
      </c>
      <c r="B7703" s="1814">
        <f>'Expenditures 15-22'!I329</f>
        <v>0</v>
      </c>
      <c r="D7703" s="2" t="str">
        <f t="shared" si="126"/>
        <v>Error?</v>
      </c>
      <c r="E7703" s="2" t="s">
        <v>821</v>
      </c>
    </row>
    <row r="7704" spans="1:5" x14ac:dyDescent="0.2">
      <c r="A7704">
        <v>7643</v>
      </c>
      <c r="B7704" s="1814">
        <f>'Expenditures 15-22'!J329</f>
        <v>0</v>
      </c>
      <c r="D7704" s="2" t="str">
        <f t="shared" si="126"/>
        <v>Error?</v>
      </c>
      <c r="E7704" s="2" t="s">
        <v>821</v>
      </c>
    </row>
    <row r="7705" spans="1:5" x14ac:dyDescent="0.2">
      <c r="A7705">
        <v>7644</v>
      </c>
      <c r="B7705" s="1814">
        <f>'Expenditures 15-22'!K329</f>
        <v>0</v>
      </c>
      <c r="D7705" s="2" t="str">
        <f t="shared" si="126"/>
        <v>Error?</v>
      </c>
      <c r="E7705" s="2" t="s">
        <v>821</v>
      </c>
    </row>
    <row r="7706" spans="1:5" x14ac:dyDescent="0.2">
      <c r="A7706">
        <v>7645</v>
      </c>
      <c r="B7706" s="1814">
        <f>'Revenues 9-14'!H167</f>
        <v>0</v>
      </c>
      <c r="D7706" s="2" t="str">
        <f t="shared" si="126"/>
        <v>Error?</v>
      </c>
      <c r="E7706" s="2" t="s">
        <v>821</v>
      </c>
    </row>
    <row r="7707" spans="1:5" x14ac:dyDescent="0.2">
      <c r="A7707">
        <v>7646</v>
      </c>
      <c r="B7707" s="1814">
        <f>'Expenditures 15-22'!I64</f>
        <v>0</v>
      </c>
      <c r="D7707" s="2" t="str">
        <f t="shared" si="126"/>
        <v>Error?</v>
      </c>
      <c r="E7707" s="2" t="s">
        <v>821</v>
      </c>
    </row>
    <row r="7708" spans="1:5" x14ac:dyDescent="0.2">
      <c r="A7708">
        <v>7647</v>
      </c>
      <c r="B7708" s="1814">
        <f>'Rest Tax Levies-Tort Im 25'!J3</f>
        <v>0</v>
      </c>
      <c r="D7708" s="2" t="str">
        <f t="shared" si="126"/>
        <v>Error?</v>
      </c>
      <c r="E7708" s="2" t="s">
        <v>821</v>
      </c>
    </row>
    <row r="7709" spans="1:5" x14ac:dyDescent="0.2">
      <c r="A7709">
        <v>7648</v>
      </c>
      <c r="B7709" s="1814">
        <f>'Rest Tax Levies-Tort Im 25'!K3</f>
        <v>0</v>
      </c>
      <c r="D7709" s="2" t="str">
        <f t="shared" si="126"/>
        <v>Error?</v>
      </c>
      <c r="E7709" s="2" t="s">
        <v>821</v>
      </c>
    </row>
    <row r="7710" spans="1:5" x14ac:dyDescent="0.2">
      <c r="A7710">
        <v>7649</v>
      </c>
      <c r="B7710" s="1814">
        <f>'Rest Tax Levies-Tort Im 25'!J6</f>
        <v>0</v>
      </c>
      <c r="D7710" s="2" t="str">
        <f t="shared" si="126"/>
        <v>Error?</v>
      </c>
      <c r="E7710" s="2" t="s">
        <v>821</v>
      </c>
    </row>
    <row r="7711" spans="1:5" x14ac:dyDescent="0.2">
      <c r="A7711">
        <v>7650</v>
      </c>
      <c r="B7711" s="1814">
        <f>'Rest Tax Levies-Tort Im 25'!K6</f>
        <v>0</v>
      </c>
      <c r="D7711" s="2" t="str">
        <f t="shared" si="126"/>
        <v>Error?</v>
      </c>
      <c r="E7711" s="2" t="s">
        <v>821</v>
      </c>
    </row>
    <row r="7712" spans="1:5" x14ac:dyDescent="0.2">
      <c r="A7712">
        <v>7651</v>
      </c>
      <c r="B7712" s="1814">
        <f>'Rest Tax Levies-Tort Im 25'!K7</f>
        <v>0</v>
      </c>
      <c r="D7712" s="2" t="str">
        <f t="shared" si="126"/>
        <v>Error?</v>
      </c>
      <c r="E7712" s="2" t="s">
        <v>821</v>
      </c>
    </row>
    <row r="7713" spans="1:6" x14ac:dyDescent="0.2">
      <c r="A7713">
        <v>7652</v>
      </c>
      <c r="B7713" s="1814">
        <f>'Rest Tax Levies-Tort Im 25'!J8</f>
        <v>0</v>
      </c>
      <c r="D7713" s="2" t="str">
        <f t="shared" si="126"/>
        <v>Error?</v>
      </c>
      <c r="E7713" s="2" t="s">
        <v>821</v>
      </c>
    </row>
    <row r="7714" spans="1:6" x14ac:dyDescent="0.2">
      <c r="A7714">
        <v>7653</v>
      </c>
      <c r="B7714" s="1814">
        <f>'Rest Tax Levies-Tort Im 25'!K9</f>
        <v>0</v>
      </c>
      <c r="D7714" s="2" t="str">
        <f t="shared" si="126"/>
        <v>Error?</v>
      </c>
      <c r="E7714" s="2" t="s">
        <v>821</v>
      </c>
    </row>
    <row r="7715" spans="1:6" x14ac:dyDescent="0.2">
      <c r="A7715">
        <v>7654</v>
      </c>
      <c r="B7715" s="1814">
        <f>'Rest Tax Levies-Tort Im 25'!J10</f>
        <v>0</v>
      </c>
      <c r="D7715" s="2" t="str">
        <f t="shared" si="126"/>
        <v>Error?</v>
      </c>
      <c r="E7715" s="2" t="s">
        <v>821</v>
      </c>
    </row>
    <row r="7716" spans="1:6" x14ac:dyDescent="0.2">
      <c r="A7716">
        <v>7655</v>
      </c>
      <c r="B7716" s="1814">
        <f>'Rest Tax Levies-Tort Im 25'!K10</f>
        <v>0</v>
      </c>
      <c r="D7716" s="2" t="str">
        <f t="shared" si="126"/>
        <v>Error?</v>
      </c>
      <c r="E7716" s="2" t="s">
        <v>821</v>
      </c>
    </row>
    <row r="7717" spans="1:6" x14ac:dyDescent="0.2">
      <c r="A7717">
        <v>7656</v>
      </c>
      <c r="B7717" s="1814">
        <f>'Rest Tax Levies-Tort Im 25'!J11</f>
        <v>0</v>
      </c>
      <c r="D7717" s="2" t="str">
        <f t="shared" si="126"/>
        <v>Error?</v>
      </c>
      <c r="E7717" s="2" t="s">
        <v>821</v>
      </c>
    </row>
    <row r="7718" spans="1:6" x14ac:dyDescent="0.2">
      <c r="A7718">
        <v>7657</v>
      </c>
      <c r="B7718" s="1814">
        <f>'Rest Tax Levies-Tort Im 25'!J12</f>
        <v>0</v>
      </c>
      <c r="D7718" s="2" t="str">
        <f t="shared" si="126"/>
        <v>Error?</v>
      </c>
      <c r="E7718" s="2" t="s">
        <v>821</v>
      </c>
    </row>
    <row r="7719" spans="1:6" x14ac:dyDescent="0.2">
      <c r="A7719">
        <v>7658</v>
      </c>
      <c r="B7719" s="1814">
        <f>'Rest Tax Levies-Tort Im 25'!K12</f>
        <v>0</v>
      </c>
      <c r="D7719" s="2" t="str">
        <f t="shared" si="126"/>
        <v>Error?</v>
      </c>
      <c r="E7719" s="2" t="s">
        <v>821</v>
      </c>
    </row>
    <row r="7720" spans="1:6" x14ac:dyDescent="0.2">
      <c r="A7720">
        <v>7659</v>
      </c>
      <c r="B7720" s="1814">
        <f>'Rest Tax Levies-Tort Im 25'!H14</f>
        <v>0</v>
      </c>
      <c r="D7720" s="2" t="str">
        <f t="shared" si="126"/>
        <v>Error?</v>
      </c>
      <c r="E7720" s="2" t="s">
        <v>821</v>
      </c>
    </row>
    <row r="7721" spans="1:6" x14ac:dyDescent="0.2">
      <c r="A7721">
        <v>7660</v>
      </c>
      <c r="B7721" s="1814">
        <f>'Rest Tax Levies-Tort Im 25'!K14</f>
        <v>0</v>
      </c>
      <c r="D7721" s="2" t="str">
        <f t="shared" si="126"/>
        <v>Error?</v>
      </c>
      <c r="E7721" s="2" t="s">
        <v>821</v>
      </c>
    </row>
    <row r="7722" spans="1:6" x14ac:dyDescent="0.2">
      <c r="A7722">
        <v>7661</v>
      </c>
      <c r="B7722" s="1814">
        <f>'Rest Tax Levies-Tort Im 25'!J15</f>
        <v>0</v>
      </c>
      <c r="D7722" s="2" t="str">
        <f t="shared" si="126"/>
        <v>Error?</v>
      </c>
      <c r="E7722" s="2" t="s">
        <v>821</v>
      </c>
    </row>
    <row r="7723" spans="1:6" x14ac:dyDescent="0.2">
      <c r="A7723">
        <v>7662</v>
      </c>
      <c r="B7723" s="1814">
        <f>'Rest Tax Levies-Tort Im 25'!K15</f>
        <v>0</v>
      </c>
      <c r="D7723" s="2" t="str">
        <f t="shared" si="126"/>
        <v>Error?</v>
      </c>
      <c r="E7723" s="2" t="s">
        <v>821</v>
      </c>
    </row>
    <row r="7724" spans="1:6" x14ac:dyDescent="0.2">
      <c r="A7724">
        <v>7663</v>
      </c>
      <c r="B7724" s="1814">
        <f>'Rest Tax Levies-Tort Im 25'!J18</f>
        <v>0</v>
      </c>
      <c r="D7724" s="2" t="str">
        <f t="shared" si="126"/>
        <v>Error?</v>
      </c>
      <c r="E7724" s="2" t="s">
        <v>821</v>
      </c>
      <c r="F7724" s="2"/>
    </row>
    <row r="7725" spans="1:6" x14ac:dyDescent="0.2">
      <c r="A7725">
        <v>7664</v>
      </c>
      <c r="B7725" s="1814">
        <f>'Rest Tax Levies-Tort Im 25'!J19</f>
        <v>0</v>
      </c>
      <c r="D7725" s="2" t="str">
        <f t="shared" si="126"/>
        <v>Error?</v>
      </c>
      <c r="E7725" s="2" t="s">
        <v>821</v>
      </c>
    </row>
    <row r="7726" spans="1:6" x14ac:dyDescent="0.2">
      <c r="A7726">
        <v>7665</v>
      </c>
      <c r="B7726" s="1814">
        <f>'Rest Tax Levies-Tort Im 25'!J20</f>
        <v>0</v>
      </c>
      <c r="D7726" s="2" t="str">
        <f t="shared" si="126"/>
        <v>Error?</v>
      </c>
      <c r="E7726" s="2" t="s">
        <v>821</v>
      </c>
    </row>
    <row r="7727" spans="1:6" x14ac:dyDescent="0.2">
      <c r="A7727">
        <v>7666</v>
      </c>
      <c r="B7727" s="1814">
        <f>'Rest Tax Levies-Tort Im 25'!J21</f>
        <v>0</v>
      </c>
      <c r="D7727" s="2" t="str">
        <f t="shared" si="126"/>
        <v>Error?</v>
      </c>
      <c r="E7727" s="2" t="s">
        <v>821</v>
      </c>
    </row>
    <row r="7728" spans="1:6" x14ac:dyDescent="0.2">
      <c r="A7728">
        <v>7667</v>
      </c>
      <c r="B7728" s="1814">
        <f>'Revenues 9-14'!E103</f>
        <v>0</v>
      </c>
      <c r="D7728" s="2" t="str">
        <f t="shared" si="126"/>
        <v>Error?</v>
      </c>
      <c r="E7728" s="2" t="s">
        <v>821</v>
      </c>
    </row>
    <row r="7729" spans="1:6" x14ac:dyDescent="0.2">
      <c r="A7729">
        <v>7668</v>
      </c>
      <c r="B7729" s="1814">
        <f>'Rest Tax Levies-Tort Im 25'!K22</f>
        <v>0</v>
      </c>
      <c r="D7729" s="2" t="str">
        <f t="shared" si="126"/>
        <v>Error?</v>
      </c>
      <c r="E7729" s="2" t="s">
        <v>821</v>
      </c>
    </row>
    <row r="7730" spans="1:6" x14ac:dyDescent="0.2">
      <c r="A7730">
        <v>7669</v>
      </c>
      <c r="B7730" s="1814">
        <f>'Rest Tax Levies-Tort Im 25'!J23</f>
        <v>0</v>
      </c>
      <c r="D7730" s="2" t="str">
        <f t="shared" si="126"/>
        <v>Error?</v>
      </c>
      <c r="E7730" s="2" t="s">
        <v>821</v>
      </c>
    </row>
    <row r="7731" spans="1:6" x14ac:dyDescent="0.2">
      <c r="A7731">
        <v>7670</v>
      </c>
      <c r="B7731" s="1814">
        <f>'Revenues 9-14'!H103</f>
        <v>0</v>
      </c>
      <c r="D7731" s="2" t="str">
        <f t="shared" si="126"/>
        <v>Error?</v>
      </c>
      <c r="E7731" s="2" t="s">
        <v>821</v>
      </c>
    </row>
    <row r="7732" spans="1:6" x14ac:dyDescent="0.2">
      <c r="A7732">
        <v>7671</v>
      </c>
      <c r="B7732" s="1814">
        <f>'Rest Tax Levies-Tort Im 25'!J24</f>
        <v>0</v>
      </c>
      <c r="D7732" s="2" t="str">
        <f t="shared" si="126"/>
        <v>Error?</v>
      </c>
      <c r="E7732" s="2" t="s">
        <v>821</v>
      </c>
    </row>
    <row r="7733" spans="1:6" x14ac:dyDescent="0.2">
      <c r="A7733">
        <v>7672</v>
      </c>
      <c r="B7733" s="1814">
        <f>'Rest Tax Levies-Tort Im 25'!K24</f>
        <v>0</v>
      </c>
      <c r="D7733" s="2" t="str">
        <f t="shared" si="126"/>
        <v>Error?</v>
      </c>
      <c r="E7733" s="2" t="s">
        <v>821</v>
      </c>
    </row>
    <row r="7734" spans="1:6" x14ac:dyDescent="0.2">
      <c r="A7734">
        <v>7673</v>
      </c>
      <c r="B7734" s="1814">
        <f>'Rest Tax Levies-Tort Im 25'!G25</f>
        <v>0</v>
      </c>
      <c r="D7734" s="2" t="str">
        <f t="shared" si="126"/>
        <v>Error?</v>
      </c>
      <c r="E7734" s="2" t="s">
        <v>821</v>
      </c>
    </row>
    <row r="7735" spans="1:6" x14ac:dyDescent="0.2">
      <c r="A7735">
        <v>7674</v>
      </c>
      <c r="B7735" s="1814">
        <f>'Rest Tax Levies-Tort Im 25'!H25</f>
        <v>0</v>
      </c>
      <c r="D7735" s="2" t="str">
        <f t="shared" si="126"/>
        <v>Error?</v>
      </c>
      <c r="E7735" s="2" t="s">
        <v>821</v>
      </c>
    </row>
    <row r="7736" spans="1:6" x14ac:dyDescent="0.2">
      <c r="A7736">
        <v>7675</v>
      </c>
      <c r="B7736" s="1814">
        <f>'Rest Tax Levies-Tort Im 25'!I25</f>
        <v>0</v>
      </c>
      <c r="D7736" s="2" t="str">
        <f t="shared" si="126"/>
        <v>Error?</v>
      </c>
      <c r="E7736" s="2" t="s">
        <v>821</v>
      </c>
    </row>
    <row r="7737" spans="1:6" x14ac:dyDescent="0.2">
      <c r="A7737">
        <v>7676</v>
      </c>
      <c r="B7737" s="1814">
        <f>'Rest Tax Levies-Tort Im 25'!J25</f>
        <v>0</v>
      </c>
      <c r="D7737" s="2" t="str">
        <f t="shared" si="126"/>
        <v>Error?</v>
      </c>
      <c r="E7737" s="2" t="s">
        <v>821</v>
      </c>
    </row>
    <row r="7738" spans="1:6" x14ac:dyDescent="0.2">
      <c r="A7738">
        <v>7677</v>
      </c>
      <c r="B7738" s="1814">
        <f>'Rest Tax Levies-Tort Im 25'!K25</f>
        <v>0</v>
      </c>
      <c r="D7738" s="2" t="str">
        <f t="shared" si="126"/>
        <v>Error?</v>
      </c>
      <c r="E7738" s="2" t="s">
        <v>821</v>
      </c>
    </row>
    <row r="7739" spans="1:6" x14ac:dyDescent="0.2">
      <c r="A7739">
        <v>7678</v>
      </c>
      <c r="B7739" s="1814">
        <f>'Rest Tax Levies-Tort Im 25'!G26</f>
        <v>0</v>
      </c>
      <c r="D7739" s="2" t="str">
        <f t="shared" si="126"/>
        <v>Error?</v>
      </c>
      <c r="E7739" s="2" t="s">
        <v>821</v>
      </c>
    </row>
    <row r="7740" spans="1:6" x14ac:dyDescent="0.2">
      <c r="A7740">
        <v>7679</v>
      </c>
      <c r="B7740" s="1814">
        <f>'Rest Tax Levies-Tort Im 25'!H26</f>
        <v>0</v>
      </c>
      <c r="D7740" s="2" t="str">
        <f t="shared" si="126"/>
        <v>Error?</v>
      </c>
      <c r="E7740" s="2" t="s">
        <v>821</v>
      </c>
    </row>
    <row r="7741" spans="1:6" x14ac:dyDescent="0.2">
      <c r="A7741">
        <v>7680</v>
      </c>
      <c r="B7741" s="1814">
        <f>'Rest Tax Levies-Tort Im 25'!I26</f>
        <v>0</v>
      </c>
      <c r="D7741" s="2" t="str">
        <f t="shared" si="126"/>
        <v>Error?</v>
      </c>
      <c r="E7741" s="2" t="s">
        <v>821</v>
      </c>
    </row>
    <row r="7742" spans="1:6" x14ac:dyDescent="0.2">
      <c r="A7742">
        <v>7681</v>
      </c>
      <c r="B7742" s="1814">
        <f>'Rest Tax Levies-Tort Im 25'!J26</f>
        <v>0</v>
      </c>
      <c r="D7742" s="2" t="str">
        <f t="shared" si="126"/>
        <v>Error?</v>
      </c>
      <c r="E7742" s="2" t="s">
        <v>821</v>
      </c>
    </row>
    <row r="7743" spans="1:6" x14ac:dyDescent="0.2">
      <c r="A7743">
        <v>7682</v>
      </c>
      <c r="B7743" s="1814">
        <f>'Rest Tax Levies-Tort Im 25'!K26</f>
        <v>0</v>
      </c>
      <c r="D7743" s="2" t="str">
        <f t="shared" ref="D7743:D7806" si="127">IF(ISBLANK(B7743),"OK",IF(A7743-B7743=0,"OK","Error?"))</f>
        <v>Error?</v>
      </c>
      <c r="E7743" s="2" t="s">
        <v>821</v>
      </c>
    </row>
    <row r="7744" spans="1:6" x14ac:dyDescent="0.2">
      <c r="A7744" s="126">
        <v>7683</v>
      </c>
      <c r="B7744" s="1814"/>
      <c r="D7744" s="2" t="str">
        <f t="shared" si="127"/>
        <v>OK</v>
      </c>
      <c r="E7744" s="4" t="s">
        <v>1322</v>
      </c>
      <c r="F7744" s="1"/>
    </row>
    <row r="7745" spans="1:6" x14ac:dyDescent="0.2">
      <c r="A7745">
        <v>7684</v>
      </c>
      <c r="B7745" s="1814">
        <f>'Expenditures 15-22'!H364</f>
        <v>0</v>
      </c>
      <c r="D7745" s="2" t="str">
        <f t="shared" si="127"/>
        <v>Error?</v>
      </c>
      <c r="E7745" s="2" t="s">
        <v>821</v>
      </c>
    </row>
    <row r="7746" spans="1:6" x14ac:dyDescent="0.2">
      <c r="A7746">
        <v>7685</v>
      </c>
      <c r="B7746" s="1814">
        <f>'Expenditures 15-22'!K364</f>
        <v>0</v>
      </c>
      <c r="D7746" s="2" t="str">
        <f t="shared" si="127"/>
        <v>Error?</v>
      </c>
      <c r="E7746" s="2" t="s">
        <v>821</v>
      </c>
    </row>
    <row r="7747" spans="1:6" x14ac:dyDescent="0.2">
      <c r="A7747">
        <v>7686</v>
      </c>
      <c r="B7747" s="1814">
        <f>'Revenues 9-14'!E266</f>
        <v>0</v>
      </c>
      <c r="D7747" s="2" t="str">
        <f t="shared" si="127"/>
        <v>Error?</v>
      </c>
      <c r="E7747" s="2" t="s">
        <v>821</v>
      </c>
      <c r="F7747" s="2" t="s">
        <v>822</v>
      </c>
    </row>
    <row r="7748" spans="1:6" x14ac:dyDescent="0.2">
      <c r="A7748">
        <v>7687</v>
      </c>
      <c r="B7748" s="1814">
        <f>'Acct Summary 7-8'!C25</f>
        <v>0</v>
      </c>
      <c r="D7748" s="2" t="str">
        <f t="shared" si="127"/>
        <v>Error?</v>
      </c>
      <c r="E7748" s="4" t="s">
        <v>1321</v>
      </c>
    </row>
    <row r="7749" spans="1:6" x14ac:dyDescent="0.2">
      <c r="A7749">
        <v>7688</v>
      </c>
      <c r="B7749" s="1814">
        <f>'Acct Summary 7-8'!D25</f>
        <v>0</v>
      </c>
      <c r="D7749" s="2" t="str">
        <f t="shared" si="127"/>
        <v>Error?</v>
      </c>
      <c r="E7749" s="4" t="s">
        <v>1321</v>
      </c>
    </row>
    <row r="7750" spans="1:6" x14ac:dyDescent="0.2">
      <c r="A7750">
        <v>7689</v>
      </c>
      <c r="B7750" s="1814">
        <f>'Acct Summary 7-8'!E25</f>
        <v>0</v>
      </c>
      <c r="D7750" s="2" t="str">
        <f t="shared" si="127"/>
        <v>Error?</v>
      </c>
      <c r="E7750" s="4" t="s">
        <v>1321</v>
      </c>
    </row>
    <row r="7751" spans="1:6" x14ac:dyDescent="0.2">
      <c r="A7751">
        <v>7690</v>
      </c>
      <c r="B7751" s="1814">
        <f>'Acct Summary 7-8'!F25</f>
        <v>0</v>
      </c>
      <c r="D7751" s="2" t="str">
        <f t="shared" si="127"/>
        <v>Error?</v>
      </c>
      <c r="E7751" s="4" t="s">
        <v>1321</v>
      </c>
    </row>
    <row r="7752" spans="1:6" x14ac:dyDescent="0.2">
      <c r="A7752">
        <v>7691</v>
      </c>
      <c r="B7752" s="1814">
        <f>'Acct Summary 7-8'!G25</f>
        <v>0</v>
      </c>
      <c r="D7752" s="2" t="str">
        <f t="shared" si="127"/>
        <v>Error?</v>
      </c>
      <c r="E7752" s="4" t="s">
        <v>1321</v>
      </c>
    </row>
    <row r="7753" spans="1:6" x14ac:dyDescent="0.2">
      <c r="A7753">
        <v>7692</v>
      </c>
      <c r="B7753" s="1814">
        <f>'Acct Summary 7-8'!H25</f>
        <v>0</v>
      </c>
      <c r="D7753" s="2" t="str">
        <f t="shared" si="127"/>
        <v>Error?</v>
      </c>
      <c r="E7753" s="4" t="s">
        <v>1321</v>
      </c>
    </row>
    <row r="7754" spans="1:6" x14ac:dyDescent="0.2">
      <c r="A7754">
        <v>7693</v>
      </c>
      <c r="B7754" s="1814">
        <f>'Acct Summary 7-8'!J25</f>
        <v>0</v>
      </c>
      <c r="D7754" s="2" t="str">
        <f t="shared" si="127"/>
        <v>Error?</v>
      </c>
      <c r="E7754" s="4" t="s">
        <v>1321</v>
      </c>
    </row>
    <row r="7755" spans="1:6" x14ac:dyDescent="0.2">
      <c r="A7755">
        <v>7694</v>
      </c>
      <c r="B7755" s="1814">
        <f>'Acct Summary 7-8'!K25</f>
        <v>0</v>
      </c>
      <c r="D7755" s="2" t="str">
        <f t="shared" si="127"/>
        <v>Error?</v>
      </c>
      <c r="E7755" s="4" t="s">
        <v>1321</v>
      </c>
    </row>
    <row r="7756" spans="1:6" x14ac:dyDescent="0.2">
      <c r="A7756" s="126">
        <v>7695</v>
      </c>
      <c r="B7756" s="1814"/>
      <c r="D7756" s="2" t="str">
        <f t="shared" si="127"/>
        <v>OK</v>
      </c>
      <c r="E7756" s="4" t="s">
        <v>1321</v>
      </c>
      <c r="F7756" t="s">
        <v>1425</v>
      </c>
    </row>
    <row r="7757" spans="1:6" x14ac:dyDescent="0.2">
      <c r="A7757" s="126">
        <v>7696</v>
      </c>
      <c r="B7757" s="1814"/>
      <c r="D7757" s="2" t="str">
        <f t="shared" si="127"/>
        <v>OK</v>
      </c>
      <c r="E7757" s="4" t="s">
        <v>1321</v>
      </c>
      <c r="F7757" t="s">
        <v>1425</v>
      </c>
    </row>
    <row r="7758" spans="1:6" x14ac:dyDescent="0.2">
      <c r="A7758">
        <v>7697</v>
      </c>
      <c r="B7758" s="1814">
        <f>'Aud Quest 2'!J85</f>
        <v>0</v>
      </c>
      <c r="D7758" s="2" t="str">
        <f t="shared" si="127"/>
        <v>Error?</v>
      </c>
      <c r="E7758" s="4" t="s">
        <v>1321</v>
      </c>
    </row>
    <row r="7759" spans="1:6" x14ac:dyDescent="0.2">
      <c r="A7759">
        <v>7698</v>
      </c>
      <c r="B7759" s="1814">
        <f>'Aud Quest 2'!J88</f>
        <v>194254</v>
      </c>
      <c r="D7759" s="2" t="str">
        <f t="shared" si="127"/>
        <v>Error?</v>
      </c>
      <c r="E7759" s="4" t="s">
        <v>1321</v>
      </c>
    </row>
    <row r="7760" spans="1:6" x14ac:dyDescent="0.2">
      <c r="A7760">
        <v>7699</v>
      </c>
      <c r="B7760" s="1814">
        <f>'Aud Quest 2'!J90</f>
        <v>194254</v>
      </c>
      <c r="D7760" s="2" t="str">
        <f t="shared" si="127"/>
        <v>Error?</v>
      </c>
      <c r="E7760" s="4" t="s">
        <v>1321</v>
      </c>
    </row>
    <row r="7761" spans="1:5" x14ac:dyDescent="0.2">
      <c r="A7761">
        <v>7700</v>
      </c>
      <c r="B7761" s="1814">
        <f>'Revenues 9-14'!C253</f>
        <v>0</v>
      </c>
      <c r="D7761" s="2" t="str">
        <f t="shared" si="127"/>
        <v>Error?</v>
      </c>
      <c r="E7761" s="4" t="s">
        <v>1402</v>
      </c>
    </row>
    <row r="7762" spans="1:5" x14ac:dyDescent="0.2">
      <c r="A7762">
        <v>7701</v>
      </c>
      <c r="B7762" s="1814">
        <f>'Expenditures 15-22'!E6</f>
        <v>0</v>
      </c>
      <c r="D7762" s="2" t="str">
        <f t="shared" si="127"/>
        <v>Error?</v>
      </c>
      <c r="E7762" s="4" t="s">
        <v>1412</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1440</v>
      </c>
    </row>
    <row r="7765" spans="1:5" x14ac:dyDescent="0.2">
      <c r="A7765">
        <v>7704</v>
      </c>
      <c r="B7765" s="1814">
        <f>'Revenues 9-14'!C254</f>
        <v>0</v>
      </c>
      <c r="D7765" s="2" t="str">
        <f t="shared" si="127"/>
        <v>Error?</v>
      </c>
      <c r="E7765" s="4" t="s">
        <v>1444</v>
      </c>
    </row>
    <row r="7766" spans="1:5" x14ac:dyDescent="0.2">
      <c r="A7766">
        <v>7705</v>
      </c>
      <c r="B7766" s="1814">
        <f>'Revenues 9-14'!D254</f>
        <v>0</v>
      </c>
      <c r="D7766" s="2" t="str">
        <f t="shared" si="127"/>
        <v>Error?</v>
      </c>
      <c r="E7766" s="4" t="s">
        <v>1444</v>
      </c>
    </row>
    <row r="7767" spans="1:5" x14ac:dyDescent="0.2">
      <c r="A7767" s="126">
        <v>7706</v>
      </c>
      <c r="B7767" s="1814"/>
      <c r="D7767" s="4" t="s">
        <v>1991</v>
      </c>
      <c r="E7767" s="4"/>
    </row>
    <row r="7768" spans="1:5" x14ac:dyDescent="0.2">
      <c r="A7768">
        <v>7707</v>
      </c>
      <c r="B7768" s="1814">
        <f>'Revenues 9-14'!F254</f>
        <v>0</v>
      </c>
      <c r="D7768" s="2" t="str">
        <f t="shared" si="127"/>
        <v>Error?</v>
      </c>
      <c r="E7768" s="4" t="s">
        <v>1444</v>
      </c>
    </row>
    <row r="7769" spans="1:5" x14ac:dyDescent="0.2">
      <c r="A7769">
        <v>7708</v>
      </c>
      <c r="B7769" s="1814">
        <f>'Revenues 9-14'!G254</f>
        <v>0</v>
      </c>
      <c r="D7769" s="2" t="str">
        <f t="shared" si="127"/>
        <v>Error?</v>
      </c>
      <c r="E7769" s="4" t="s">
        <v>1444</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1445</v>
      </c>
    </row>
    <row r="7773" spans="1:5" x14ac:dyDescent="0.2">
      <c r="A7773">
        <v>7712</v>
      </c>
      <c r="B7773" s="1814">
        <f>'Rest Tax Levies-Tort Im 25'!J22</f>
        <v>0</v>
      </c>
      <c r="D7773" s="2" t="str">
        <f t="shared" si="127"/>
        <v>Error?</v>
      </c>
      <c r="E7773" s="4" t="s">
        <v>1533</v>
      </c>
    </row>
    <row r="7774" spans="1:5" x14ac:dyDescent="0.2">
      <c r="A7774">
        <v>7713</v>
      </c>
      <c r="B7774" s="1814">
        <f>'Expenditures 15-22'!E133</f>
        <v>0</v>
      </c>
      <c r="D7774" s="2" t="str">
        <f t="shared" si="127"/>
        <v>Error?</v>
      </c>
      <c r="E7774" s="4" t="s">
        <v>1820</v>
      </c>
    </row>
    <row r="7775" spans="1:5" x14ac:dyDescent="0.2">
      <c r="A7775">
        <v>7714</v>
      </c>
      <c r="B7775" s="1814">
        <f>'Expenditures 15-22'!H133</f>
        <v>0</v>
      </c>
      <c r="D7775" s="2" t="str">
        <f t="shared" si="127"/>
        <v>Error?</v>
      </c>
      <c r="E7775" s="4" t="s">
        <v>1820</v>
      </c>
    </row>
    <row r="7776" spans="1:5" x14ac:dyDescent="0.2">
      <c r="A7776">
        <v>7715</v>
      </c>
      <c r="B7776" s="1814">
        <f>'Expenditures 15-22'!K133</f>
        <v>0</v>
      </c>
      <c r="D7776" s="2" t="str">
        <f t="shared" si="127"/>
        <v>Error?</v>
      </c>
      <c r="E7776" s="4" t="s">
        <v>1820</v>
      </c>
    </row>
    <row r="7777" spans="1:5" x14ac:dyDescent="0.2">
      <c r="A7777">
        <v>7716</v>
      </c>
      <c r="B7777" s="1814">
        <f>'Expenditures 15-22'!H157</f>
        <v>0</v>
      </c>
      <c r="D7777" s="2" t="str">
        <f t="shared" si="127"/>
        <v>Error?</v>
      </c>
      <c r="E7777" s="4" t="s">
        <v>1820</v>
      </c>
    </row>
    <row r="7778" spans="1:5" x14ac:dyDescent="0.2">
      <c r="A7778">
        <v>7717</v>
      </c>
      <c r="B7778" s="1814">
        <f>'Expenditures 15-22'!K157</f>
        <v>0</v>
      </c>
      <c r="D7778" s="2" t="str">
        <f t="shared" si="127"/>
        <v>Error?</v>
      </c>
      <c r="E7778" s="4" t="s">
        <v>1820</v>
      </c>
    </row>
    <row r="7779" spans="1:5" x14ac:dyDescent="0.2">
      <c r="A7779">
        <v>7718</v>
      </c>
      <c r="B7779" s="1814">
        <f>'Expenditures 15-22'!H158</f>
        <v>0</v>
      </c>
      <c r="D7779" s="2" t="str">
        <f t="shared" si="127"/>
        <v>Error?</v>
      </c>
      <c r="E7779" s="4" t="s">
        <v>1820</v>
      </c>
    </row>
    <row r="7780" spans="1:5" x14ac:dyDescent="0.2">
      <c r="A7780">
        <v>7719</v>
      </c>
      <c r="B7780" s="1814">
        <f>'Expenditures 15-22'!K158</f>
        <v>0</v>
      </c>
      <c r="D7780" s="2" t="str">
        <f t="shared" si="127"/>
        <v>Error?</v>
      </c>
      <c r="E7780" s="4" t="s">
        <v>1820</v>
      </c>
    </row>
    <row r="7781" spans="1:5" x14ac:dyDescent="0.2">
      <c r="A7781">
        <v>7720</v>
      </c>
      <c r="B7781" s="1814">
        <f>'Expenditures 15-22'!H159</f>
        <v>0</v>
      </c>
      <c r="D7781" s="2" t="str">
        <f t="shared" si="127"/>
        <v>Error?</v>
      </c>
      <c r="E7781" s="4" t="s">
        <v>1820</v>
      </c>
    </row>
    <row r="7782" spans="1:5" x14ac:dyDescent="0.2">
      <c r="A7782">
        <v>7721</v>
      </c>
      <c r="B7782" s="1814">
        <f>'Expenditures 15-22'!K159</f>
        <v>0</v>
      </c>
      <c r="D7782" s="2" t="str">
        <f t="shared" si="127"/>
        <v>Error?</v>
      </c>
      <c r="E7782" s="4" t="s">
        <v>1820</v>
      </c>
    </row>
    <row r="7783" spans="1:5" x14ac:dyDescent="0.2">
      <c r="A7783">
        <v>7722</v>
      </c>
      <c r="B7783" s="1814">
        <f>'Expenditures 15-22'!D282</f>
        <v>0</v>
      </c>
      <c r="D7783" s="2" t="str">
        <f t="shared" si="127"/>
        <v>Error?</v>
      </c>
      <c r="E7783" s="4" t="s">
        <v>1820</v>
      </c>
    </row>
    <row r="7784" spans="1:5" x14ac:dyDescent="0.2">
      <c r="A7784">
        <v>7723</v>
      </c>
      <c r="B7784" s="1814">
        <f>'Expenditures 15-22'!K282</f>
        <v>0</v>
      </c>
      <c r="D7784" s="2" t="str">
        <f t="shared" si="127"/>
        <v>Error?</v>
      </c>
      <c r="E7784" s="4" t="s">
        <v>1820</v>
      </c>
    </row>
    <row r="7785" spans="1:5" x14ac:dyDescent="0.2">
      <c r="A7785">
        <v>7724</v>
      </c>
      <c r="B7785" s="1814">
        <f>'Expenditures 15-22'!H332</f>
        <v>0</v>
      </c>
      <c r="D7785" s="2" t="str">
        <f t="shared" si="127"/>
        <v>Error?</v>
      </c>
      <c r="E7785" s="4" t="s">
        <v>1820</v>
      </c>
    </row>
    <row r="7786" spans="1:5" x14ac:dyDescent="0.2">
      <c r="A7786">
        <v>7725</v>
      </c>
      <c r="B7786" s="1814">
        <f>'Expenditures 15-22'!K332</f>
        <v>0</v>
      </c>
      <c r="D7786" s="2" t="str">
        <f t="shared" si="127"/>
        <v>Error?</v>
      </c>
      <c r="E7786" s="4" t="s">
        <v>1820</v>
      </c>
    </row>
    <row r="7787" spans="1:5" x14ac:dyDescent="0.2">
      <c r="A7787">
        <v>7726</v>
      </c>
      <c r="B7787" s="1814">
        <f>'Expenditures 15-22'!H333</f>
        <v>0</v>
      </c>
      <c r="D7787" s="2" t="str">
        <f t="shared" si="127"/>
        <v>Error?</v>
      </c>
      <c r="E7787" s="4" t="s">
        <v>1820</v>
      </c>
    </row>
    <row r="7788" spans="1:5" x14ac:dyDescent="0.2">
      <c r="A7788">
        <v>7727</v>
      </c>
      <c r="B7788" s="1814">
        <f>'Expenditures 15-22'!K333</f>
        <v>0</v>
      </c>
      <c r="D7788" s="2" t="str">
        <f t="shared" si="127"/>
        <v>Error?</v>
      </c>
      <c r="E7788" s="4" t="s">
        <v>1820</v>
      </c>
    </row>
    <row r="7789" spans="1:5" x14ac:dyDescent="0.2">
      <c r="A7789">
        <v>7728</v>
      </c>
      <c r="B7789" s="1814">
        <f>'Expenditures 15-22'!H334</f>
        <v>0</v>
      </c>
      <c r="D7789" s="2" t="str">
        <f t="shared" si="127"/>
        <v>Error?</v>
      </c>
      <c r="E7789" s="4" t="s">
        <v>1820</v>
      </c>
    </row>
    <row r="7790" spans="1:5" x14ac:dyDescent="0.2">
      <c r="A7790">
        <v>7729</v>
      </c>
      <c r="B7790" s="1814">
        <f>'Expenditures 15-22'!K334</f>
        <v>0</v>
      </c>
      <c r="D7790" s="2" t="str">
        <f t="shared" si="127"/>
        <v>Error?</v>
      </c>
      <c r="E7790" s="4" t="s">
        <v>1820</v>
      </c>
    </row>
    <row r="7791" spans="1:5" x14ac:dyDescent="0.2">
      <c r="A7791">
        <v>7730</v>
      </c>
      <c r="B7791" s="1814">
        <f>'Expenditures 15-22'!H354</f>
        <v>0</v>
      </c>
      <c r="D7791" s="2" t="str">
        <f t="shared" si="127"/>
        <v>Error?</v>
      </c>
      <c r="E7791" s="4" t="s">
        <v>1820</v>
      </c>
    </row>
    <row r="7792" spans="1:5" x14ac:dyDescent="0.2">
      <c r="A7792">
        <v>7731</v>
      </c>
      <c r="B7792" s="1814">
        <f>'Expenditures 15-22'!K354</f>
        <v>0</v>
      </c>
      <c r="D7792" s="2" t="str">
        <f t="shared" si="127"/>
        <v>Error?</v>
      </c>
      <c r="E7792" s="4" t="s">
        <v>1820</v>
      </c>
    </row>
    <row r="7793" spans="1:5" x14ac:dyDescent="0.2">
      <c r="A7793">
        <v>7732</v>
      </c>
      <c r="B7793" s="1814">
        <f>'Expenditures 15-22'!H355</f>
        <v>0</v>
      </c>
      <c r="D7793" s="2" t="str">
        <f t="shared" si="127"/>
        <v>Error?</v>
      </c>
      <c r="E7793" s="4" t="s">
        <v>1820</v>
      </c>
    </row>
    <row r="7794" spans="1:5" x14ac:dyDescent="0.2">
      <c r="A7794">
        <v>7733</v>
      </c>
      <c r="B7794" s="1814">
        <f>'Expenditures 15-22'!K355</f>
        <v>0</v>
      </c>
      <c r="D7794" s="2" t="str">
        <f t="shared" si="127"/>
        <v>Error?</v>
      </c>
      <c r="E7794" s="4" t="s">
        <v>1820</v>
      </c>
    </row>
    <row r="7795" spans="1:5" x14ac:dyDescent="0.2">
      <c r="A7795">
        <v>7734</v>
      </c>
      <c r="B7795" s="1814">
        <f>'Expenditures 15-22'!E138</f>
        <v>0</v>
      </c>
      <c r="D7795" s="2" t="str">
        <f t="shared" si="127"/>
        <v>Error?</v>
      </c>
      <c r="E7795" s="4" t="s">
        <v>1820</v>
      </c>
    </row>
    <row r="7796" spans="1:5" x14ac:dyDescent="0.2">
      <c r="A7796">
        <v>7735</v>
      </c>
      <c r="B7796" s="1814">
        <f>'Acct Summary 7-8'!J15</f>
        <v>0</v>
      </c>
      <c r="D7796" s="2" t="str">
        <f t="shared" si="127"/>
        <v>Error?</v>
      </c>
      <c r="E7796" s="4" t="s">
        <v>1820</v>
      </c>
    </row>
    <row r="7797" spans="1:5" x14ac:dyDescent="0.2">
      <c r="A7797" s="126">
        <v>7736</v>
      </c>
      <c r="B7797" s="1814"/>
      <c r="D7797" s="2" t="str">
        <f t="shared" si="127"/>
        <v>OK</v>
      </c>
      <c r="E7797" s="4" t="s">
        <v>1973</v>
      </c>
    </row>
    <row r="7798" spans="1:5" x14ac:dyDescent="0.2">
      <c r="A7798" s="126">
        <v>7737</v>
      </c>
      <c r="B7798" s="1814"/>
      <c r="D7798" s="2" t="str">
        <f t="shared" si="127"/>
        <v>OK</v>
      </c>
      <c r="E7798" s="4" t="s">
        <v>1973</v>
      </c>
    </row>
    <row r="7799" spans="1:5" x14ac:dyDescent="0.2">
      <c r="A7799" s="126">
        <v>7738</v>
      </c>
      <c r="B7799" s="1814"/>
      <c r="D7799" s="2" t="str">
        <f t="shared" si="127"/>
        <v>OK</v>
      </c>
      <c r="E7799" s="4" t="s">
        <v>1973</v>
      </c>
    </row>
    <row r="7800" spans="1:5" x14ac:dyDescent="0.2">
      <c r="A7800">
        <v>7739</v>
      </c>
      <c r="B7800" s="1814">
        <f>'Rest Tax Levies-Tort Im 25'!K23</f>
        <v>0</v>
      </c>
      <c r="D7800" s="2" t="str">
        <f t="shared" si="127"/>
        <v>Error?</v>
      </c>
      <c r="E7800" s="4" t="s">
        <v>1960</v>
      </c>
    </row>
    <row r="7801" spans="1:5" x14ac:dyDescent="0.2">
      <c r="A7801">
        <v>7740</v>
      </c>
      <c r="B7801" s="1814">
        <f>'Revenues 9-14'!C120</f>
        <v>0</v>
      </c>
      <c r="D7801" s="2" t="str">
        <f t="shared" si="127"/>
        <v>Error?</v>
      </c>
      <c r="E7801" s="4" t="s">
        <v>1894</v>
      </c>
    </row>
    <row r="7802" spans="1:5" x14ac:dyDescent="0.2">
      <c r="A7802">
        <v>7741</v>
      </c>
      <c r="B7802" s="1814">
        <f>'Revenues 9-14'!D120</f>
        <v>0</v>
      </c>
      <c r="D7802" s="2" t="str">
        <f t="shared" si="127"/>
        <v>Error?</v>
      </c>
      <c r="E7802" s="4" t="s">
        <v>1894</v>
      </c>
    </row>
    <row r="7803" spans="1:5" x14ac:dyDescent="0.2">
      <c r="A7803">
        <v>7742</v>
      </c>
      <c r="B7803" s="1814">
        <f>'Revenues 9-14'!E120</f>
        <v>0</v>
      </c>
      <c r="D7803" s="2" t="str">
        <f t="shared" si="127"/>
        <v>Error?</v>
      </c>
      <c r="E7803" s="4" t="s">
        <v>1894</v>
      </c>
    </row>
    <row r="7804" spans="1:5" x14ac:dyDescent="0.2">
      <c r="A7804">
        <v>7743</v>
      </c>
      <c r="B7804" s="1814">
        <f>'Revenues 9-14'!F120</f>
        <v>0</v>
      </c>
      <c r="D7804" s="2" t="str">
        <f t="shared" si="127"/>
        <v>Error?</v>
      </c>
      <c r="E7804" s="4" t="s">
        <v>1894</v>
      </c>
    </row>
    <row r="7805" spans="1:5" x14ac:dyDescent="0.2">
      <c r="A7805">
        <v>7744</v>
      </c>
      <c r="B7805" s="1814">
        <f>'Revenues 9-14'!G120</f>
        <v>0</v>
      </c>
      <c r="D7805" s="2" t="str">
        <f t="shared" si="127"/>
        <v>Error?</v>
      </c>
      <c r="E7805" s="4" t="s">
        <v>1894</v>
      </c>
    </row>
    <row r="7806" spans="1:5" x14ac:dyDescent="0.2">
      <c r="A7806">
        <v>7745</v>
      </c>
      <c r="B7806" s="1814">
        <f>'Revenues 9-14'!H120</f>
        <v>0</v>
      </c>
      <c r="D7806" s="2" t="str">
        <f t="shared" si="127"/>
        <v>Error?</v>
      </c>
      <c r="E7806" s="4" t="s">
        <v>1894</v>
      </c>
    </row>
    <row r="7807" spans="1:5" x14ac:dyDescent="0.2">
      <c r="A7807">
        <v>7746</v>
      </c>
      <c r="B7807" s="1814">
        <f>'Revenues 9-14'!J120</f>
        <v>0</v>
      </c>
      <c r="D7807" s="2" t="str">
        <f t="shared" ref="D7807:D7821" si="128">IF(ISBLANK(B7807),"OK",IF(A7807-B7807=0,"OK","Error?"))</f>
        <v>Error?</v>
      </c>
      <c r="E7807" s="4" t="s">
        <v>1894</v>
      </c>
    </row>
    <row r="7808" spans="1:5" x14ac:dyDescent="0.2">
      <c r="A7808">
        <v>7747</v>
      </c>
      <c r="B7808" s="1814">
        <f>'Revenues 9-14'!K120</f>
        <v>0</v>
      </c>
      <c r="D7808" s="2" t="str">
        <f t="shared" si="128"/>
        <v>Error?</v>
      </c>
      <c r="E7808" s="4" t="s">
        <v>1894</v>
      </c>
    </row>
    <row r="7809" spans="1:5" x14ac:dyDescent="0.2">
      <c r="A7809">
        <v>7748</v>
      </c>
      <c r="B7809" s="1814">
        <f>'Revenues 9-14'!C261</f>
        <v>0</v>
      </c>
      <c r="D7809" s="2" t="str">
        <f t="shared" si="128"/>
        <v>Error?</v>
      </c>
      <c r="E7809" s="4" t="s">
        <v>1895</v>
      </c>
    </row>
    <row r="7810" spans="1:5" x14ac:dyDescent="0.2">
      <c r="A7810">
        <v>7749</v>
      </c>
      <c r="B7810" s="1814">
        <f>'Revenues 9-14'!D261</f>
        <v>0</v>
      </c>
      <c r="D7810" s="2" t="str">
        <f t="shared" si="128"/>
        <v>Error?</v>
      </c>
      <c r="E7810" s="4" t="s">
        <v>1895</v>
      </c>
    </row>
    <row r="7811" spans="1:5" x14ac:dyDescent="0.2">
      <c r="A7811">
        <v>7750</v>
      </c>
      <c r="B7811" s="1814">
        <f>'Revenues 9-14'!F261</f>
        <v>0</v>
      </c>
      <c r="D7811" s="2" t="str">
        <f t="shared" si="128"/>
        <v>Error?</v>
      </c>
      <c r="E7811" s="4" t="s">
        <v>1895</v>
      </c>
    </row>
    <row r="7812" spans="1:5" x14ac:dyDescent="0.2">
      <c r="A7812">
        <v>7751</v>
      </c>
      <c r="B7812" s="1814">
        <f>'Revenues 9-14'!G261</f>
        <v>0</v>
      </c>
      <c r="D7812" s="2" t="str">
        <f t="shared" si="128"/>
        <v>Error?</v>
      </c>
      <c r="E7812" s="4" t="s">
        <v>1895</v>
      </c>
    </row>
    <row r="7813" spans="1:5" x14ac:dyDescent="0.2">
      <c r="A7813">
        <v>7752</v>
      </c>
      <c r="B7813" s="1814">
        <f>'Revenues 9-14'!C262</f>
        <v>0</v>
      </c>
      <c r="D7813" s="2" t="str">
        <f t="shared" si="128"/>
        <v>Error?</v>
      </c>
      <c r="E7813" s="4" t="s">
        <v>1896</v>
      </c>
    </row>
    <row r="7814" spans="1:5" x14ac:dyDescent="0.2">
      <c r="A7814">
        <v>7753</v>
      </c>
      <c r="B7814" s="1814">
        <f>'Revenues 9-14'!D262</f>
        <v>0</v>
      </c>
      <c r="D7814" s="2" t="str">
        <f t="shared" si="128"/>
        <v>Error?</v>
      </c>
      <c r="E7814" s="4" t="s">
        <v>1896</v>
      </c>
    </row>
    <row r="7815" spans="1:5" x14ac:dyDescent="0.2">
      <c r="A7815">
        <v>7754</v>
      </c>
      <c r="B7815" s="1814">
        <f>'Revenues 9-14'!F262</f>
        <v>0</v>
      </c>
      <c r="D7815" s="2" t="str">
        <f t="shared" si="128"/>
        <v>Error?</v>
      </c>
      <c r="E7815" s="4" t="s">
        <v>1896</v>
      </c>
    </row>
    <row r="7816" spans="1:5" x14ac:dyDescent="0.2">
      <c r="A7816">
        <v>7755</v>
      </c>
      <c r="B7816" s="1814">
        <f>'Revenues 9-14'!G262</f>
        <v>0</v>
      </c>
      <c r="D7816" s="2" t="str">
        <f t="shared" si="128"/>
        <v>Error?</v>
      </c>
      <c r="E7816" s="4" t="s">
        <v>1896</v>
      </c>
    </row>
    <row r="7817" spans="1:5" x14ac:dyDescent="0.2">
      <c r="A7817">
        <v>7756</v>
      </c>
      <c r="B7817" s="1814">
        <f>'Short-Term Long-Term Debt 24'!C49</f>
        <v>4845000</v>
      </c>
      <c r="D7817" s="2" t="str">
        <f t="shared" si="128"/>
        <v>Error?</v>
      </c>
      <c r="E7817" s="4" t="s">
        <v>1960</v>
      </c>
    </row>
    <row r="7818" spans="1:5" x14ac:dyDescent="0.2">
      <c r="A7818">
        <v>7757</v>
      </c>
      <c r="B7818" s="1814">
        <f>'PCTC-OEPP 27-28'!F172</f>
        <v>0</v>
      </c>
      <c r="D7818" s="2" t="str">
        <f t="shared" si="128"/>
        <v>Error?</v>
      </c>
      <c r="E7818" s="4" t="s">
        <v>1974</v>
      </c>
    </row>
    <row r="7819" spans="1:5" x14ac:dyDescent="0.2">
      <c r="A7819">
        <v>7758</v>
      </c>
      <c r="B7819" s="1814">
        <f>'PCTC-OEPP 27-28'!F173</f>
        <v>0</v>
      </c>
      <c r="D7819" s="2" t="str">
        <f t="shared" si="128"/>
        <v>Error?</v>
      </c>
      <c r="E7819" s="4" t="s">
        <v>1974</v>
      </c>
    </row>
    <row r="7820" spans="1:5" x14ac:dyDescent="0.2">
      <c r="A7820">
        <v>7759</v>
      </c>
      <c r="B7820" s="1814">
        <f>'ICR Computation 30'!E40</f>
        <v>0</v>
      </c>
      <c r="D7820" s="2" t="str">
        <f t="shared" si="128"/>
        <v>Error?</v>
      </c>
    </row>
    <row r="7821" spans="1:5" x14ac:dyDescent="0.2">
      <c r="A7821">
        <v>7760</v>
      </c>
      <c r="B7821" s="1814">
        <f>'ICR Computation 30'!G40</f>
        <v>0</v>
      </c>
      <c r="D7821" s="2" t="str">
        <f t="shared" si="128"/>
        <v>Error?</v>
      </c>
    </row>
    <row r="7822" spans="1:5" x14ac:dyDescent="0.2">
      <c r="A7822" s="1">
        <v>7761</v>
      </c>
      <c r="B7822" s="1814">
        <f>'PCTC-OEPP 27-28'!F14</f>
        <v>67631013</v>
      </c>
      <c r="D7822" s="4" t="s">
        <v>1991</v>
      </c>
      <c r="E7822" s="4" t="s">
        <v>1992</v>
      </c>
    </row>
    <row r="7823" spans="1:5" x14ac:dyDescent="0.2">
      <c r="A7823" s="1">
        <v>7762</v>
      </c>
      <c r="B7823" s="1814">
        <f>'PCTC-OEPP 27-28'!F30</f>
        <v>0</v>
      </c>
      <c r="D7823" s="4" t="s">
        <v>1991</v>
      </c>
      <c r="E7823" s="4" t="s">
        <v>1992</v>
      </c>
    </row>
    <row r="7824" spans="1:5" x14ac:dyDescent="0.2">
      <c r="A7824" s="1">
        <v>7763</v>
      </c>
      <c r="B7824" s="1814">
        <f>'PCTC-OEPP 27-28'!F31</f>
        <v>0</v>
      </c>
      <c r="D7824" s="4" t="s">
        <v>1991</v>
      </c>
      <c r="E7824" s="4" t="s">
        <v>1992</v>
      </c>
    </row>
    <row r="7825" spans="1:5" x14ac:dyDescent="0.2">
      <c r="A7825" s="1">
        <v>7764</v>
      </c>
      <c r="B7825" s="1814">
        <f>'PCTC-OEPP 27-28'!F32</f>
        <v>0</v>
      </c>
      <c r="D7825" s="2" t="str">
        <f t="shared" ref="D7825:D7887" si="129">IF(ISBLANK(B7825),"OK",IF(A7825-B7825=0,"OK","Error?"))</f>
        <v>Error?</v>
      </c>
      <c r="E7825" s="4" t="s">
        <v>1992</v>
      </c>
    </row>
    <row r="7826" spans="1:5" x14ac:dyDescent="0.2">
      <c r="A7826">
        <v>7765</v>
      </c>
      <c r="B7826" s="1814">
        <f>'PCTC-OEPP 27-28'!F34</f>
        <v>0</v>
      </c>
      <c r="D7826" s="2" t="str">
        <f t="shared" si="129"/>
        <v>Error?</v>
      </c>
      <c r="E7826" s="4" t="s">
        <v>1992</v>
      </c>
    </row>
    <row r="7827" spans="1:5" x14ac:dyDescent="0.2">
      <c r="A7827">
        <v>7766</v>
      </c>
      <c r="B7827" s="1814">
        <f>'PCTC-OEPP 27-28'!F35</f>
        <v>1074515</v>
      </c>
      <c r="D7827" s="2" t="str">
        <f t="shared" si="129"/>
        <v>Error?</v>
      </c>
      <c r="E7827" s="4" t="s">
        <v>1992</v>
      </c>
    </row>
    <row r="7828" spans="1:5" x14ac:dyDescent="0.2">
      <c r="A7828">
        <v>7767</v>
      </c>
      <c r="B7828" s="1814">
        <f>'PCTC-OEPP 27-28'!F36</f>
        <v>0</v>
      </c>
      <c r="D7828" s="2" t="str">
        <f t="shared" si="129"/>
        <v>Error?</v>
      </c>
      <c r="E7828" s="4" t="s">
        <v>1992</v>
      </c>
    </row>
    <row r="7829" spans="1:5" x14ac:dyDescent="0.2">
      <c r="A7829">
        <v>7768</v>
      </c>
      <c r="B7829" s="1814">
        <f>'PCTC-OEPP 27-28'!F37</f>
        <v>0</v>
      </c>
      <c r="D7829" s="2" t="str">
        <f t="shared" si="129"/>
        <v>Error?</v>
      </c>
      <c r="E7829" s="4" t="s">
        <v>1992</v>
      </c>
    </row>
    <row r="7830" spans="1:5" x14ac:dyDescent="0.2">
      <c r="A7830">
        <v>7769</v>
      </c>
      <c r="B7830" s="1814">
        <f>'PCTC-OEPP 27-28'!F38</f>
        <v>585513</v>
      </c>
      <c r="D7830" s="2" t="str">
        <f t="shared" si="129"/>
        <v>Error?</v>
      </c>
      <c r="E7830" s="4" t="s">
        <v>1992</v>
      </c>
    </row>
    <row r="7831" spans="1:5" x14ac:dyDescent="0.2">
      <c r="A7831">
        <v>7770</v>
      </c>
      <c r="B7831" s="1814">
        <f>'PCTC-OEPP 27-28'!F52</f>
        <v>451</v>
      </c>
      <c r="D7831" s="2" t="str">
        <f t="shared" si="129"/>
        <v>Error?</v>
      </c>
      <c r="E7831" s="4" t="s">
        <v>1992</v>
      </c>
    </row>
    <row r="7832" spans="1:5" x14ac:dyDescent="0.2">
      <c r="A7832">
        <v>7771</v>
      </c>
      <c r="B7832" s="1814">
        <f>'PCTC-OEPP 27-28'!F56</f>
        <v>0</v>
      </c>
      <c r="D7832" s="2" t="str">
        <f t="shared" si="129"/>
        <v>Error?</v>
      </c>
      <c r="E7832" s="4" t="s">
        <v>1992</v>
      </c>
    </row>
    <row r="7833" spans="1:5" x14ac:dyDescent="0.2">
      <c r="A7833">
        <v>7772</v>
      </c>
      <c r="B7833" s="1814">
        <f>'PCTC-OEPP 27-28'!F62</f>
        <v>0</v>
      </c>
      <c r="D7833" s="2" t="str">
        <f t="shared" si="129"/>
        <v>Error?</v>
      </c>
      <c r="E7833" s="4" t="s">
        <v>1992</v>
      </c>
    </row>
    <row r="7834" spans="1:5" x14ac:dyDescent="0.2">
      <c r="A7834">
        <v>7773</v>
      </c>
      <c r="B7834" s="1814">
        <f>'PCTC-OEPP 27-28'!F77</f>
        <v>18510082</v>
      </c>
      <c r="D7834" s="2" t="str">
        <f t="shared" si="129"/>
        <v>Error?</v>
      </c>
      <c r="E7834" s="4" t="s">
        <v>1992</v>
      </c>
    </row>
    <row r="7835" spans="1:5" x14ac:dyDescent="0.2">
      <c r="A7835">
        <v>7774</v>
      </c>
      <c r="B7835" s="1814">
        <f>'PCTC-OEPP 27-28'!F78</f>
        <v>49120931</v>
      </c>
      <c r="D7835" s="2" t="str">
        <f t="shared" si="129"/>
        <v>Error?</v>
      </c>
      <c r="E7835" s="4" t="s">
        <v>1992</v>
      </c>
    </row>
    <row r="7836" spans="1:5" x14ac:dyDescent="0.2">
      <c r="A7836" s="126">
        <v>7775</v>
      </c>
      <c r="B7836" s="1814"/>
      <c r="D7836" s="2" t="str">
        <f t="shared" si="129"/>
        <v>OK</v>
      </c>
      <c r="E7836" s="4" t="s">
        <v>1994</v>
      </c>
    </row>
    <row r="7837" spans="1:5" x14ac:dyDescent="0.2">
      <c r="A7837">
        <v>7776</v>
      </c>
      <c r="B7837" s="1814" t="str">
        <f>'PCTC-OEPP 27-28'!F80</f>
        <v xml:space="preserve"> Complete Line 79</v>
      </c>
      <c r="D7837" s="2" t="e">
        <f t="shared" si="129"/>
        <v>#VALUE!</v>
      </c>
      <c r="E7837" s="4" t="s">
        <v>1992</v>
      </c>
    </row>
    <row r="7838" spans="1:5" x14ac:dyDescent="0.2">
      <c r="A7838">
        <v>7777</v>
      </c>
      <c r="B7838" s="1814">
        <f>'PCTC-OEPP 27-28'!F96</f>
        <v>100</v>
      </c>
      <c r="D7838" s="2" t="str">
        <f t="shared" si="129"/>
        <v>Error?</v>
      </c>
      <c r="E7838" s="4" t="s">
        <v>1992</v>
      </c>
    </row>
    <row r="7839" spans="1:5" x14ac:dyDescent="0.2">
      <c r="A7839">
        <v>7778</v>
      </c>
      <c r="B7839" s="1814">
        <f>'PCTC-OEPP 27-28'!F102</f>
        <v>0</v>
      </c>
      <c r="D7839" s="2" t="str">
        <f t="shared" si="129"/>
        <v>Error?</v>
      </c>
      <c r="E7839" s="4" t="s">
        <v>1992</v>
      </c>
    </row>
    <row r="7840" spans="1:5" x14ac:dyDescent="0.2">
      <c r="A7840">
        <v>7779</v>
      </c>
      <c r="B7840" s="1814">
        <f>'PCTC-OEPP 27-28'!F103</f>
        <v>2532508</v>
      </c>
      <c r="D7840" s="2" t="str">
        <f t="shared" si="129"/>
        <v>Error?</v>
      </c>
      <c r="E7840" s="4" t="s">
        <v>1992</v>
      </c>
    </row>
    <row r="7841" spans="1:5" x14ac:dyDescent="0.2">
      <c r="A7841">
        <v>7780</v>
      </c>
      <c r="B7841" s="1814">
        <f>'PCTC-OEPP 27-28'!F104</f>
        <v>4584863</v>
      </c>
      <c r="D7841" s="2" t="str">
        <f t="shared" si="129"/>
        <v>Error?</v>
      </c>
      <c r="E7841" s="4" t="s">
        <v>1992</v>
      </c>
    </row>
    <row r="7842" spans="1:5" x14ac:dyDescent="0.2">
      <c r="A7842">
        <v>7781</v>
      </c>
      <c r="B7842" s="1814">
        <f>'PCTC-OEPP 27-28'!F106</f>
        <v>0</v>
      </c>
      <c r="D7842" s="2" t="str">
        <f t="shared" si="129"/>
        <v>Error?</v>
      </c>
      <c r="E7842" s="4" t="s">
        <v>1992</v>
      </c>
    </row>
    <row r="7843" spans="1:5" x14ac:dyDescent="0.2">
      <c r="A7843">
        <v>7782</v>
      </c>
      <c r="B7843" s="1814">
        <f>'PCTC-OEPP 27-28'!F107</f>
        <v>0</v>
      </c>
      <c r="D7843" s="2" t="str">
        <f t="shared" si="129"/>
        <v>Error?</v>
      </c>
      <c r="E7843" s="4" t="s">
        <v>1992</v>
      </c>
    </row>
    <row r="7844" spans="1:5" x14ac:dyDescent="0.2">
      <c r="A7844">
        <v>7783</v>
      </c>
      <c r="B7844" s="1814">
        <f>'PCTC-OEPP 27-28'!F108</f>
        <v>0</v>
      </c>
      <c r="D7844" s="2" t="str">
        <f t="shared" si="129"/>
        <v>Error?</v>
      </c>
      <c r="E7844" s="4" t="s">
        <v>1992</v>
      </c>
    </row>
    <row r="7845" spans="1:5" x14ac:dyDescent="0.2">
      <c r="A7845">
        <v>7784</v>
      </c>
      <c r="B7845" s="1814">
        <f>'PCTC-OEPP 27-28'!F110</f>
        <v>0</v>
      </c>
      <c r="D7845" s="2" t="str">
        <f t="shared" si="129"/>
        <v>Error?</v>
      </c>
      <c r="E7845" s="4" t="s">
        <v>1992</v>
      </c>
    </row>
    <row r="7846" spans="1:5" x14ac:dyDescent="0.2">
      <c r="A7846">
        <v>7785</v>
      </c>
      <c r="B7846" s="1814">
        <f>'PCTC-OEPP 27-28'!F111</f>
        <v>0</v>
      </c>
      <c r="D7846" s="2" t="str">
        <f t="shared" si="129"/>
        <v>Error?</v>
      </c>
      <c r="E7846" s="4" t="s">
        <v>1992</v>
      </c>
    </row>
    <row r="7847" spans="1:5" x14ac:dyDescent="0.2">
      <c r="A7847">
        <v>7786</v>
      </c>
      <c r="B7847" s="1814">
        <f>'PCTC-OEPP 27-28'!F112</f>
        <v>785311</v>
      </c>
      <c r="D7847" s="2" t="str">
        <f t="shared" si="129"/>
        <v>Error?</v>
      </c>
      <c r="E7847" s="4" t="s">
        <v>1992</v>
      </c>
    </row>
    <row r="7848" spans="1:5" x14ac:dyDescent="0.2">
      <c r="A7848">
        <v>7787</v>
      </c>
      <c r="B7848" s="1814">
        <f>'PCTC-OEPP 27-28'!F114</f>
        <v>0</v>
      </c>
      <c r="D7848" s="2" t="str">
        <f t="shared" si="129"/>
        <v>Error?</v>
      </c>
      <c r="E7848" s="4" t="s">
        <v>1992</v>
      </c>
    </row>
    <row r="7849" spans="1:5" x14ac:dyDescent="0.2">
      <c r="A7849">
        <v>7788</v>
      </c>
      <c r="B7849" s="1814">
        <f>'PCTC-OEPP 27-28'!F115</f>
        <v>0</v>
      </c>
      <c r="D7849" s="2" t="str">
        <f t="shared" si="129"/>
        <v>Error?</v>
      </c>
      <c r="E7849" s="4" t="s">
        <v>1992</v>
      </c>
    </row>
    <row r="7850" spans="1:5" x14ac:dyDescent="0.2">
      <c r="A7850">
        <v>7789</v>
      </c>
      <c r="B7850" s="1814">
        <f>'PCTC-OEPP 27-28'!F116</f>
        <v>0</v>
      </c>
      <c r="D7850" s="2" t="str">
        <f t="shared" si="129"/>
        <v>Error?</v>
      </c>
      <c r="E7850" s="4" t="s">
        <v>1992</v>
      </c>
    </row>
    <row r="7851" spans="1:5" x14ac:dyDescent="0.2">
      <c r="A7851">
        <v>7790</v>
      </c>
      <c r="B7851" s="1814">
        <f>'PCTC-OEPP 27-28'!F117</f>
        <v>0</v>
      </c>
      <c r="D7851" s="2" t="str">
        <f t="shared" si="129"/>
        <v>Error?</v>
      </c>
      <c r="E7851" s="4" t="s">
        <v>1992</v>
      </c>
    </row>
    <row r="7852" spans="1:5" x14ac:dyDescent="0.2">
      <c r="A7852">
        <v>7791</v>
      </c>
      <c r="B7852" s="1814">
        <f>'PCTC-OEPP 27-28'!F118</f>
        <v>0</v>
      </c>
      <c r="D7852" s="2" t="str">
        <f t="shared" si="129"/>
        <v>Error?</v>
      </c>
      <c r="E7852" s="4" t="s">
        <v>1992</v>
      </c>
    </row>
    <row r="7853" spans="1:5" x14ac:dyDescent="0.2">
      <c r="A7853">
        <v>7792</v>
      </c>
      <c r="B7853" s="1814">
        <f>'PCTC-OEPP 27-28'!F119</f>
        <v>0</v>
      </c>
      <c r="D7853" s="2" t="str">
        <f t="shared" si="129"/>
        <v>Error?</v>
      </c>
      <c r="E7853" s="4" t="s">
        <v>1992</v>
      </c>
    </row>
    <row r="7854" spans="1:5" x14ac:dyDescent="0.2">
      <c r="A7854">
        <v>7793</v>
      </c>
      <c r="B7854" s="1814">
        <f>'PCTC-OEPP 27-28'!F120</f>
        <v>0</v>
      </c>
      <c r="D7854" s="2" t="str">
        <f t="shared" si="129"/>
        <v>Error?</v>
      </c>
      <c r="E7854" s="4" t="s">
        <v>1992</v>
      </c>
    </row>
    <row r="7855" spans="1:5" x14ac:dyDescent="0.2">
      <c r="A7855">
        <v>7794</v>
      </c>
      <c r="B7855" s="1814">
        <f>'PCTC-OEPP 27-28'!F122</f>
        <v>450938</v>
      </c>
      <c r="D7855" s="2" t="str">
        <f t="shared" si="129"/>
        <v>Error?</v>
      </c>
      <c r="E7855" s="4" t="s">
        <v>1992</v>
      </c>
    </row>
    <row r="7856" spans="1:5" x14ac:dyDescent="0.2">
      <c r="A7856">
        <v>7795</v>
      </c>
      <c r="B7856" s="1814">
        <f>'PCTC-OEPP 27-28'!F124</f>
        <v>0</v>
      </c>
      <c r="D7856" s="2" t="str">
        <f t="shared" si="129"/>
        <v>Error?</v>
      </c>
      <c r="E7856" s="4" t="s">
        <v>1992</v>
      </c>
    </row>
    <row r="7857" spans="1:5" x14ac:dyDescent="0.2">
      <c r="A7857">
        <v>7796</v>
      </c>
      <c r="B7857" s="1814">
        <f>'PCTC-OEPP 27-28'!F125</f>
        <v>0</v>
      </c>
      <c r="D7857" s="2" t="str">
        <f t="shared" si="129"/>
        <v>Error?</v>
      </c>
      <c r="E7857" s="4" t="s">
        <v>1992</v>
      </c>
    </row>
    <row r="7858" spans="1:5" x14ac:dyDescent="0.2">
      <c r="A7858">
        <v>7797</v>
      </c>
      <c r="B7858" s="1814">
        <f>'PCTC-OEPP 27-28'!F126</f>
        <v>162317</v>
      </c>
      <c r="D7858" s="2" t="str">
        <f t="shared" si="129"/>
        <v>Error?</v>
      </c>
      <c r="E7858" s="4" t="s">
        <v>1992</v>
      </c>
    </row>
    <row r="7859" spans="1:5" x14ac:dyDescent="0.2">
      <c r="A7859">
        <v>7798</v>
      </c>
      <c r="B7859" s="1814">
        <f>'PCTC-OEPP 27-28'!F127</f>
        <v>0</v>
      </c>
      <c r="D7859" s="2" t="str">
        <f t="shared" si="129"/>
        <v>Error?</v>
      </c>
      <c r="E7859" s="4" t="s">
        <v>1992</v>
      </c>
    </row>
    <row r="7860" spans="1:5" x14ac:dyDescent="0.2">
      <c r="A7860">
        <v>7799</v>
      </c>
      <c r="B7860" s="1814">
        <f>'PCTC-OEPP 27-28'!F128</f>
        <v>0</v>
      </c>
      <c r="D7860" s="2" t="str">
        <f t="shared" si="129"/>
        <v>Error?</v>
      </c>
      <c r="E7860" s="4" t="s">
        <v>1992</v>
      </c>
    </row>
    <row r="7861" spans="1:5" x14ac:dyDescent="0.2">
      <c r="A7861">
        <v>7800</v>
      </c>
      <c r="B7861" s="1814">
        <f>'PCTC-OEPP 27-28'!F129</f>
        <v>7764501</v>
      </c>
      <c r="D7861" s="2" t="str">
        <f t="shared" si="129"/>
        <v>Error?</v>
      </c>
      <c r="E7861" s="4" t="s">
        <v>1992</v>
      </c>
    </row>
    <row r="7862" spans="1:5" x14ac:dyDescent="0.2">
      <c r="A7862">
        <v>7801</v>
      </c>
      <c r="B7862" s="1814">
        <f>'PCTC-OEPP 27-28'!F130</f>
        <v>0</v>
      </c>
      <c r="D7862" s="2" t="str">
        <f t="shared" si="129"/>
        <v>Error?</v>
      </c>
      <c r="E7862" s="4" t="s">
        <v>1992</v>
      </c>
    </row>
    <row r="7863" spans="1:5" x14ac:dyDescent="0.2">
      <c r="A7863">
        <v>7802</v>
      </c>
      <c r="B7863" s="1814">
        <f>'PCTC-OEPP 27-28'!F131</f>
        <v>0</v>
      </c>
      <c r="D7863" s="2" t="str">
        <f t="shared" si="129"/>
        <v>Error?</v>
      </c>
      <c r="E7863" s="4" t="s">
        <v>1992</v>
      </c>
    </row>
    <row r="7864" spans="1:5" x14ac:dyDescent="0.2">
      <c r="A7864">
        <v>7803</v>
      </c>
      <c r="B7864" s="1814">
        <f>'PCTC-OEPP 27-28'!F132</f>
        <v>0</v>
      </c>
      <c r="D7864" s="2" t="str">
        <f t="shared" si="129"/>
        <v>Error?</v>
      </c>
      <c r="E7864" s="4" t="s">
        <v>1992</v>
      </c>
    </row>
    <row r="7865" spans="1:5" x14ac:dyDescent="0.2">
      <c r="A7865">
        <v>7804</v>
      </c>
      <c r="B7865" s="1814">
        <f>'PCTC-OEPP 27-28'!F133</f>
        <v>0</v>
      </c>
      <c r="D7865" s="2" t="str">
        <f t="shared" si="129"/>
        <v>Error?</v>
      </c>
      <c r="E7865" s="4" t="s">
        <v>1992</v>
      </c>
    </row>
    <row r="7866" spans="1:5" x14ac:dyDescent="0.2">
      <c r="A7866">
        <v>7805</v>
      </c>
      <c r="B7866" s="1814">
        <f>'PCTC-OEPP 27-28'!F158</f>
        <v>0</v>
      </c>
      <c r="D7866" s="2" t="str">
        <f t="shared" si="129"/>
        <v>Error?</v>
      </c>
      <c r="E7866" s="4" t="s">
        <v>1992</v>
      </c>
    </row>
    <row r="7867" spans="1:5" x14ac:dyDescent="0.2">
      <c r="A7867">
        <v>7806</v>
      </c>
      <c r="B7867" s="1814">
        <f>'PCTC-OEPP 27-28'!F160</f>
        <v>0</v>
      </c>
      <c r="D7867" s="2" t="str">
        <f t="shared" si="129"/>
        <v>Error?</v>
      </c>
      <c r="E7867" s="4" t="s">
        <v>1992</v>
      </c>
    </row>
    <row r="7868" spans="1:5" x14ac:dyDescent="0.2">
      <c r="A7868">
        <v>7807</v>
      </c>
      <c r="B7868" s="1814">
        <f>'PCTC-OEPP 27-28'!F161</f>
        <v>0</v>
      </c>
      <c r="D7868" s="2" t="str">
        <f t="shared" si="129"/>
        <v>Error?</v>
      </c>
      <c r="E7868" s="4" t="s">
        <v>1992</v>
      </c>
    </row>
    <row r="7869" spans="1:5" x14ac:dyDescent="0.2">
      <c r="A7869">
        <v>7808</v>
      </c>
      <c r="B7869" s="1814">
        <f>'PCTC-OEPP 27-28'!F162</f>
        <v>0</v>
      </c>
      <c r="D7869" s="2" t="str">
        <f t="shared" si="129"/>
        <v>Error?</v>
      </c>
      <c r="E7869" s="4" t="s">
        <v>1992</v>
      </c>
    </row>
    <row r="7870" spans="1:5" x14ac:dyDescent="0.2">
      <c r="A7870">
        <v>7809</v>
      </c>
      <c r="B7870" s="1814">
        <f>'PCTC-OEPP 27-28'!F163</f>
        <v>0</v>
      </c>
      <c r="D7870" s="2" t="str">
        <f t="shared" si="129"/>
        <v>Error?</v>
      </c>
      <c r="E7870" s="4" t="s">
        <v>1992</v>
      </c>
    </row>
    <row r="7871" spans="1:5" x14ac:dyDescent="0.2">
      <c r="A7871">
        <v>7810</v>
      </c>
      <c r="B7871" s="1814">
        <f>'PCTC-OEPP 27-28'!F164</f>
        <v>0</v>
      </c>
      <c r="D7871" s="2" t="str">
        <f t="shared" si="129"/>
        <v>Error?</v>
      </c>
      <c r="E7871" s="4" t="s">
        <v>1992</v>
      </c>
    </row>
    <row r="7872" spans="1:5" x14ac:dyDescent="0.2">
      <c r="A7872">
        <v>7811</v>
      </c>
      <c r="B7872" s="1814">
        <f>'PCTC-OEPP 27-28'!F165</f>
        <v>0</v>
      </c>
      <c r="D7872" s="2" t="str">
        <f t="shared" si="129"/>
        <v>Error?</v>
      </c>
      <c r="E7872" s="4" t="s">
        <v>1992</v>
      </c>
    </row>
    <row r="7873" spans="1:5" x14ac:dyDescent="0.2">
      <c r="A7873">
        <v>7812</v>
      </c>
      <c r="B7873" s="1814">
        <f>'PCTC-OEPP 27-28'!F166</f>
        <v>0</v>
      </c>
      <c r="D7873" s="2" t="str">
        <f t="shared" si="129"/>
        <v>Error?</v>
      </c>
      <c r="E7873" s="4" t="s">
        <v>1992</v>
      </c>
    </row>
    <row r="7874" spans="1:5" x14ac:dyDescent="0.2">
      <c r="A7874">
        <v>7813</v>
      </c>
      <c r="B7874" s="1814">
        <f>'PCTC-OEPP 27-28'!F169</f>
        <v>360550</v>
      </c>
      <c r="D7874" s="2" t="str">
        <f t="shared" si="129"/>
        <v>Error?</v>
      </c>
      <c r="E7874" s="4" t="s">
        <v>1992</v>
      </c>
    </row>
    <row r="7875" spans="1:5" x14ac:dyDescent="0.2">
      <c r="A7875">
        <v>7814</v>
      </c>
      <c r="B7875" s="1814">
        <f>'PCTC-OEPP 27-28'!F170</f>
        <v>95183</v>
      </c>
      <c r="D7875" s="2" t="str">
        <f t="shared" si="129"/>
        <v>Error?</v>
      </c>
      <c r="E7875" s="4" t="s">
        <v>1992</v>
      </c>
    </row>
    <row r="7876" spans="1:5" x14ac:dyDescent="0.2">
      <c r="A7876">
        <v>7815</v>
      </c>
      <c r="B7876" s="1814">
        <f>'PCTC-OEPP 27-28'!F171</f>
        <v>0</v>
      </c>
      <c r="D7876" s="2" t="str">
        <f t="shared" si="129"/>
        <v>Error?</v>
      </c>
      <c r="E7876" s="4" t="s">
        <v>1992</v>
      </c>
    </row>
    <row r="7877" spans="1:5" x14ac:dyDescent="0.2">
      <c r="A7877">
        <v>7816</v>
      </c>
      <c r="B7877" s="1814">
        <f>'PCTC-OEPP 27-28'!F175</f>
        <v>19043178</v>
      </c>
      <c r="D7877" s="2" t="str">
        <f t="shared" si="129"/>
        <v>Error?</v>
      </c>
      <c r="E7877" s="4" t="s">
        <v>1992</v>
      </c>
    </row>
    <row r="7878" spans="1:5" x14ac:dyDescent="0.2">
      <c r="A7878">
        <v>7817</v>
      </c>
      <c r="B7878" s="1814">
        <f>'PCTC-OEPP 27-28'!F176</f>
        <v>30077753</v>
      </c>
      <c r="D7878" s="2" t="str">
        <f t="shared" si="129"/>
        <v>Error?</v>
      </c>
      <c r="E7878" s="4" t="s">
        <v>1992</v>
      </c>
    </row>
    <row r="7879" spans="1:5" x14ac:dyDescent="0.2">
      <c r="A7879">
        <v>7818</v>
      </c>
      <c r="B7879" s="1814">
        <f>'PCTC-OEPP 27-28'!F178</f>
        <v>31413617.899999999</v>
      </c>
      <c r="D7879" s="2" t="str">
        <f t="shared" si="129"/>
        <v>Error?</v>
      </c>
      <c r="E7879" s="4" t="s">
        <v>1992</v>
      </c>
    </row>
    <row r="7880" spans="1:5" x14ac:dyDescent="0.2">
      <c r="A7880">
        <v>7819</v>
      </c>
      <c r="B7880" s="1814"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8" t="s">
        <v>1180</v>
      </c>
      <c r="B2" s="2538"/>
      <c r="C2" s="2538"/>
      <c r="D2" s="2538"/>
      <c r="E2" s="2538"/>
      <c r="F2" s="2538"/>
      <c r="G2" s="2538"/>
      <c r="H2" s="2538"/>
      <c r="I2" s="2538"/>
      <c r="J2" s="2538"/>
      <c r="K2" s="2538"/>
      <c r="L2" s="2538"/>
    </row>
    <row r="3" spans="1:29" ht="13.5" customHeight="1" x14ac:dyDescent="0.2">
      <c r="A3" s="2570" t="s">
        <v>1179</v>
      </c>
      <c r="B3" s="2570"/>
      <c r="C3" s="2570"/>
      <c r="D3" s="2570"/>
      <c r="E3" s="2570"/>
      <c r="F3" s="2570"/>
      <c r="G3" s="2570"/>
      <c r="H3" s="2570"/>
      <c r="I3" s="2570"/>
      <c r="J3" s="2570"/>
      <c r="K3" s="2570"/>
      <c r="L3" s="2570"/>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61" t="str">
        <f>COVER!A17</f>
        <v xml:space="preserve">  Special Ed Dist of Lake Cty (SEDOL)</v>
      </c>
      <c r="B7" s="2562"/>
      <c r="C7" s="2562"/>
      <c r="D7" s="2563"/>
      <c r="E7" s="2564">
        <f>COVER!A13</f>
        <v>34049825060</v>
      </c>
      <c r="F7" s="2565"/>
      <c r="G7" s="2571" t="str">
        <f>COVER!T23</f>
        <v>066-005142</v>
      </c>
      <c r="H7" s="2572"/>
      <c r="I7" s="2572"/>
      <c r="J7" s="2572"/>
      <c r="K7" s="2572"/>
      <c r="L7" s="2573"/>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74"/>
      <c r="B9" s="2575"/>
      <c r="C9" s="2575"/>
      <c r="D9" s="2575"/>
      <c r="E9" s="2575"/>
      <c r="F9" s="2576"/>
      <c r="G9" s="2544" t="str">
        <f>COVER!T13</f>
        <v>EDER, CASELLA &amp; CO.</v>
      </c>
      <c r="H9" s="2577"/>
      <c r="I9" s="2577"/>
      <c r="J9" s="2577"/>
      <c r="K9" s="2577"/>
      <c r="L9" s="2578"/>
    </row>
    <row r="10" spans="1:29" ht="13.5" customHeight="1" x14ac:dyDescent="0.2">
      <c r="A10" s="2550">
        <f>COVER!A38</f>
        <v>0</v>
      </c>
      <c r="B10" s="2551"/>
      <c r="C10" s="2551"/>
      <c r="D10" s="2551"/>
      <c r="E10" s="2551"/>
      <c r="F10" s="2552"/>
      <c r="G10" s="2544" t="str">
        <f>COVER!T17</f>
        <v>5400 WEST ELM STREET, SUITE 203</v>
      </c>
      <c r="H10" s="2545"/>
      <c r="I10" s="2545"/>
      <c r="J10" s="2545"/>
      <c r="K10" s="2545"/>
      <c r="L10" s="2546"/>
    </row>
    <row r="11" spans="1:29" ht="13.5" customHeight="1" x14ac:dyDescent="0.2">
      <c r="A11" s="956" t="s">
        <v>1499</v>
      </c>
      <c r="B11" s="957"/>
      <c r="C11" s="958"/>
      <c r="D11" s="963"/>
      <c r="E11" s="958"/>
      <c r="F11" s="962"/>
      <c r="G11" s="2544" t="str">
        <f>COVER!T19</f>
        <v>MCHENRY</v>
      </c>
      <c r="H11" s="2545"/>
      <c r="I11" s="2545"/>
      <c r="J11" s="2545"/>
      <c r="K11" s="2545"/>
      <c r="L11" s="2546"/>
    </row>
    <row r="12" spans="1:29" ht="13.5" customHeight="1" x14ac:dyDescent="0.2">
      <c r="A12" s="2553" t="s">
        <v>1498</v>
      </c>
      <c r="B12" s="2554"/>
      <c r="C12" s="2554"/>
      <c r="D12" s="2554"/>
      <c r="E12" s="2554"/>
      <c r="F12" s="2555"/>
      <c r="G12" s="2547"/>
      <c r="H12" s="2548"/>
      <c r="I12" s="2548"/>
      <c r="J12" s="2548"/>
      <c r="K12" s="2548"/>
      <c r="L12" s="2549"/>
    </row>
    <row r="13" spans="1:29" ht="13.5" customHeight="1" x14ac:dyDescent="0.2">
      <c r="A13" s="2544"/>
      <c r="B13" s="2545"/>
      <c r="C13" s="2545"/>
      <c r="D13" s="2545"/>
      <c r="E13" s="2545"/>
      <c r="F13" s="2546"/>
      <c r="G13" s="2539" t="s">
        <v>1500</v>
      </c>
      <c r="H13" s="2540"/>
      <c r="I13" s="2556" t="str">
        <f>COVER!T25</f>
        <v>CPAS@EDERCASELLA.COM</v>
      </c>
      <c r="J13" s="2557"/>
      <c r="K13" s="2557"/>
      <c r="L13" s="2558"/>
    </row>
    <row r="14" spans="1:29" ht="13.5" customHeight="1" x14ac:dyDescent="0.2">
      <c r="A14" s="2544" t="str">
        <f>COVER!A19</f>
        <v>18160 GAGES LAKE ROAD</v>
      </c>
      <c r="B14" s="2545"/>
      <c r="C14" s="2545"/>
      <c r="D14" s="2545"/>
      <c r="E14" s="2545"/>
      <c r="F14" s="2546"/>
      <c r="G14" s="967" t="s">
        <v>1174</v>
      </c>
      <c r="H14" s="965"/>
      <c r="I14" s="965"/>
      <c r="J14" s="965"/>
      <c r="K14" s="965"/>
      <c r="L14" s="966"/>
    </row>
    <row r="15" spans="1:29" ht="13.5" customHeight="1" x14ac:dyDescent="0.2">
      <c r="A15" s="2544" t="str">
        <f>COVER!A21</f>
        <v>GAGES LAKE</v>
      </c>
      <c r="B15" s="2545"/>
      <c r="C15" s="2545"/>
      <c r="D15" s="2545"/>
      <c r="E15" s="2545"/>
      <c r="F15" s="2546"/>
      <c r="G15" s="2541" t="str">
        <f>COVER!T15</f>
        <v>KEVIN SMITH</v>
      </c>
      <c r="H15" s="2542"/>
      <c r="I15" s="2542"/>
      <c r="J15" s="2542"/>
      <c r="K15" s="2542"/>
      <c r="L15" s="2543"/>
    </row>
    <row r="16" spans="1:29" ht="12.2" customHeight="1" x14ac:dyDescent="0.2">
      <c r="A16" s="2567">
        <f>COVER!A25</f>
        <v>60030</v>
      </c>
      <c r="B16" s="2568"/>
      <c r="C16" s="2568"/>
      <c r="D16" s="2568"/>
      <c r="E16" s="2568"/>
      <c r="F16" s="2569"/>
      <c r="G16" s="2579"/>
      <c r="H16" s="2580"/>
      <c r="I16" s="2580"/>
      <c r="J16" s="2580"/>
      <c r="K16" s="2580"/>
      <c r="L16" s="2581"/>
    </row>
    <row r="17" spans="1:13" ht="12.2" customHeight="1" x14ac:dyDescent="0.2">
      <c r="A17" s="2582"/>
      <c r="B17" s="2568"/>
      <c r="C17" s="2568"/>
      <c r="D17" s="2568"/>
      <c r="E17" s="2568"/>
      <c r="F17" s="2569"/>
      <c r="G17" s="967" t="s">
        <v>1173</v>
      </c>
      <c r="H17" s="965"/>
      <c r="I17" s="965"/>
      <c r="J17" s="965"/>
      <c r="K17" s="969" t="s">
        <v>1172</v>
      </c>
      <c r="L17" s="962"/>
      <c r="M17" s="955"/>
    </row>
    <row r="18" spans="1:13" ht="12.2" customHeight="1" x14ac:dyDescent="0.2">
      <c r="A18" s="2550"/>
      <c r="B18" s="2551"/>
      <c r="C18" s="2551"/>
      <c r="D18" s="2551"/>
      <c r="E18" s="2551"/>
      <c r="F18" s="2552"/>
      <c r="G18" s="2561" t="str">
        <f>COVER!T21</f>
        <v>815-344-1300</v>
      </c>
      <c r="H18" s="2562"/>
      <c r="I18" s="2562"/>
      <c r="J18" s="2562"/>
      <c r="K18" s="2561" t="str">
        <f>COVER!X21</f>
        <v>815-344-1320</v>
      </c>
      <c r="L18" s="2566"/>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2068</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2068</v>
      </c>
      <c r="C26" s="974" t="s">
        <v>1674</v>
      </c>
    </row>
    <row r="27" spans="1:13" s="970" customFormat="1" ht="9" customHeight="1" x14ac:dyDescent="0.2">
      <c r="B27" s="975"/>
      <c r="C27" s="974"/>
    </row>
    <row r="28" spans="1:13" s="970" customFormat="1" ht="12.2" customHeight="1" x14ac:dyDescent="0.2">
      <c r="A28" s="977"/>
      <c r="B28" s="973" t="s">
        <v>2068</v>
      </c>
      <c r="C28" s="974" t="s">
        <v>1675</v>
      </c>
    </row>
    <row r="29" spans="1:13" s="970" customFormat="1" ht="9" customHeight="1" x14ac:dyDescent="0.2">
      <c r="A29" s="977"/>
      <c r="B29" s="975"/>
      <c r="C29" s="974"/>
    </row>
    <row r="30" spans="1:13" s="970" customFormat="1" ht="12.2" customHeight="1" x14ac:dyDescent="0.2">
      <c r="B30" s="973" t="s">
        <v>2068</v>
      </c>
      <c r="C30" s="974" t="s">
        <v>1542</v>
      </c>
      <c r="D30" s="968"/>
      <c r="E30" s="968"/>
    </row>
    <row r="31" spans="1:13" s="970" customFormat="1" ht="9" customHeight="1" x14ac:dyDescent="0.2">
      <c r="B31" s="975"/>
      <c r="C31" s="974"/>
      <c r="D31" s="968"/>
      <c r="E31" s="968"/>
    </row>
    <row r="32" spans="1:13" s="970" customFormat="1" ht="12.2" customHeight="1" x14ac:dyDescent="0.2">
      <c r="B32" s="973" t="s">
        <v>2068</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2068</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2068</v>
      </c>
      <c r="C38" s="974" t="s">
        <v>1546</v>
      </c>
    </row>
    <row r="39" spans="1:8" ht="9" customHeight="1" x14ac:dyDescent="0.2">
      <c r="B39" s="975"/>
      <c r="C39" s="978"/>
    </row>
    <row r="40" spans="1:8" s="970" customFormat="1" ht="13.5" customHeight="1" x14ac:dyDescent="0.2">
      <c r="B40" s="973" t="s">
        <v>2068</v>
      </c>
      <c r="C40" s="974" t="s">
        <v>1547</v>
      </c>
    </row>
    <row r="41" spans="1:8" ht="9" customHeight="1" x14ac:dyDescent="0.2">
      <c r="A41" s="979"/>
      <c r="B41" s="975"/>
      <c r="C41" s="978"/>
    </row>
    <row r="42" spans="1:8" s="970" customFormat="1" ht="13.5" customHeight="1" x14ac:dyDescent="0.2">
      <c r="B42" s="973" t="s">
        <v>2068</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3"/>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1"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3" t="str">
        <f>'Single Audit Cover'!A7</f>
        <v xml:space="preserve">  Special Ed Dist of Lake Cty (SEDOL)</v>
      </c>
      <c r="B1" s="2584"/>
      <c r="C1" s="2584"/>
      <c r="D1" s="2584"/>
    </row>
    <row r="2" spans="1:11" s="984" customFormat="1" ht="12.75" x14ac:dyDescent="0.2">
      <c r="A2" s="2585">
        <f>'Single Audit Cover'!E7</f>
        <v>34049825060</v>
      </c>
      <c r="B2" s="2586"/>
      <c r="C2" s="2586"/>
      <c r="D2" s="2586"/>
    </row>
    <row r="3" spans="1:11" s="984" customFormat="1" ht="12.75" x14ac:dyDescent="0.2">
      <c r="A3" s="2583" t="s">
        <v>1493</v>
      </c>
      <c r="B3" s="2584"/>
      <c r="C3" s="2584"/>
      <c r="D3" s="2584"/>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M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8" t="str">
        <f>'Single Audit Cover'!A7</f>
        <v xml:space="preserve">  Special Ed Dist of Lake Cty (SEDOL)</v>
      </c>
      <c r="B1" s="2588"/>
      <c r="C1" s="2588"/>
      <c r="D1" s="2588"/>
      <c r="E1" s="2588"/>
    </row>
    <row r="2" spans="1:5" x14ac:dyDescent="0.2">
      <c r="A2" s="2589">
        <f>'Single Audit Cover'!E7</f>
        <v>34049825060</v>
      </c>
      <c r="B2" s="2589"/>
      <c r="C2" s="2589"/>
      <c r="D2" s="2589"/>
      <c r="E2" s="2589"/>
    </row>
    <row r="3" spans="1:5" ht="4.5" customHeight="1" x14ac:dyDescent="0.2"/>
    <row r="4" spans="1:5" x14ac:dyDescent="0.2">
      <c r="A4" s="2588" t="s">
        <v>1233</v>
      </c>
      <c r="B4" s="2588"/>
      <c r="C4" s="2588"/>
      <c r="D4" s="2588"/>
      <c r="E4" s="2588"/>
    </row>
    <row r="5" spans="1:5" x14ac:dyDescent="0.2">
      <c r="A5" s="2591" t="str">
        <f>'Single Audit Cover'!A4</f>
        <v>Year Ending June 30, 2020</v>
      </c>
      <c r="B5" s="2591"/>
      <c r="C5" s="2591"/>
      <c r="D5" s="2591"/>
      <c r="E5" s="2591"/>
    </row>
    <row r="6" spans="1:5" x14ac:dyDescent="0.2">
      <c r="A6" s="2588" t="s">
        <v>1232</v>
      </c>
      <c r="B6" s="2588"/>
      <c r="C6" s="2588"/>
      <c r="D6" s="2588"/>
      <c r="E6" s="2588"/>
    </row>
    <row r="8" spans="1:5" x14ac:dyDescent="0.2">
      <c r="A8" s="1029" t="s">
        <v>1231</v>
      </c>
    </row>
    <row r="10" spans="1:5" x14ac:dyDescent="0.2">
      <c r="A10" s="1030" t="s">
        <v>1230</v>
      </c>
      <c r="B10" s="1031" t="s">
        <v>1229</v>
      </c>
      <c r="C10" s="1031"/>
      <c r="D10" s="1032">
        <f>SUM('Acct Summary 7-8'!C7:K7)</f>
        <v>8409223</v>
      </c>
    </row>
    <row r="11" spans="1:5" ht="18" customHeight="1" x14ac:dyDescent="0.2">
      <c r="A11" s="1030" t="s">
        <v>1228</v>
      </c>
      <c r="B11" s="1031"/>
      <c r="C11" s="1031"/>
    </row>
    <row r="12" spans="1:5" x14ac:dyDescent="0.2">
      <c r="A12" s="1030" t="s">
        <v>1227</v>
      </c>
      <c r="B12" s="1031" t="s">
        <v>1226</v>
      </c>
      <c r="C12" s="1031"/>
      <c r="D12" s="1033">
        <f>SUM('Revenues 9-14'!C112:D112,'Revenues 9-14'!F112:G112)</f>
        <v>10641153</v>
      </c>
    </row>
    <row r="13" spans="1:5" x14ac:dyDescent="0.2">
      <c r="A13" s="1030" t="s">
        <v>1225</v>
      </c>
      <c r="B13" s="1031"/>
      <c r="C13" s="1031"/>
    </row>
    <row r="14" spans="1:5" x14ac:dyDescent="0.2">
      <c r="A14" s="1030" t="s">
        <v>1998</v>
      </c>
      <c r="B14" s="1031"/>
      <c r="C14" s="1031"/>
      <c r="D14" s="1033">
        <f>'ICR Computation 30'!E11</f>
        <v>15932</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-95183</v>
      </c>
    </row>
    <row r="19" spans="1:4" ht="13.5" thickBot="1" x14ac:dyDescent="0.25">
      <c r="A19" s="1034" t="s">
        <v>1223</v>
      </c>
      <c r="D19" s="1035">
        <f>SUM(D10:D17)</f>
        <v>18971125</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90" t="s">
        <v>2123</v>
      </c>
      <c r="B24" s="2590"/>
      <c r="D24" s="1037">
        <v>-1076371</v>
      </c>
    </row>
    <row r="25" spans="1:4" x14ac:dyDescent="0.2">
      <c r="A25" s="2587" t="s">
        <v>2124</v>
      </c>
      <c r="B25" s="2587"/>
      <c r="D25" s="1037">
        <v>15023</v>
      </c>
    </row>
    <row r="26" spans="1:4" x14ac:dyDescent="0.2">
      <c r="A26" s="2587"/>
      <c r="B26" s="2587"/>
      <c r="D26" s="1037"/>
    </row>
    <row r="27" spans="1:4" x14ac:dyDescent="0.2">
      <c r="A27" s="2587"/>
      <c r="B27" s="2587"/>
      <c r="D27" s="1037"/>
    </row>
    <row r="28" spans="1:4" x14ac:dyDescent="0.2">
      <c r="A28" s="2587"/>
      <c r="B28" s="2587"/>
      <c r="D28" s="1037"/>
    </row>
    <row r="29" spans="1:4" x14ac:dyDescent="0.2">
      <c r="A29" s="2587"/>
      <c r="B29" s="2587"/>
      <c r="D29" s="1037"/>
    </row>
    <row r="30" spans="1:4" x14ac:dyDescent="0.2">
      <c r="A30" s="2587"/>
      <c r="B30" s="2587"/>
      <c r="D30" s="1037"/>
    </row>
    <row r="32" spans="1:4" x14ac:dyDescent="0.2">
      <c r="A32" s="1029" t="s">
        <v>1221</v>
      </c>
      <c r="D32" s="1032">
        <f>SUM(D19:D30)</f>
        <v>17909777</v>
      </c>
    </row>
    <row r="33" spans="1:4" x14ac:dyDescent="0.2">
      <c r="D33" s="1038"/>
    </row>
    <row r="34" spans="1:4" x14ac:dyDescent="0.2">
      <c r="A34" s="295" t="s">
        <v>1220</v>
      </c>
    </row>
    <row r="35" spans="1:4" x14ac:dyDescent="0.2">
      <c r="A35" s="295" t="s">
        <v>1219</v>
      </c>
      <c r="B35" s="1027" t="s">
        <v>1218</v>
      </c>
      <c r="D35" s="1039">
        <f>+' SEFA (2)'!I29</f>
        <v>17909777</v>
      </c>
    </row>
    <row r="37" spans="1:4" x14ac:dyDescent="0.2">
      <c r="A37" s="1029" t="s">
        <v>1217</v>
      </c>
    </row>
    <row r="39" spans="1:4" ht="13.35" customHeight="1" x14ac:dyDescent="0.2">
      <c r="A39" s="1036" t="s">
        <v>1216</v>
      </c>
    </row>
    <row r="40" spans="1:4" x14ac:dyDescent="0.2">
      <c r="A40" s="2587"/>
      <c r="B40" s="2587"/>
      <c r="D40" s="1037"/>
    </row>
    <row r="41" spans="1:4" x14ac:dyDescent="0.2">
      <c r="A41" s="2587"/>
      <c r="B41" s="2587"/>
      <c r="D41" s="1040"/>
    </row>
    <row r="42" spans="1:4" x14ac:dyDescent="0.2">
      <c r="A42" s="2587"/>
      <c r="B42" s="2587"/>
      <c r="D42" s="1040"/>
    </row>
    <row r="43" spans="1:4" x14ac:dyDescent="0.2">
      <c r="A43" s="2587"/>
      <c r="B43" s="2587"/>
      <c r="D43" s="1040"/>
    </row>
    <row r="44" spans="1:4" x14ac:dyDescent="0.2">
      <c r="A44" s="2587"/>
      <c r="B44" s="2587"/>
      <c r="D44" s="1040"/>
    </row>
    <row r="45" spans="1:4" x14ac:dyDescent="0.2">
      <c r="A45" s="2587"/>
      <c r="B45" s="2587"/>
      <c r="D45" s="1040"/>
    </row>
    <row r="47" spans="1:4" x14ac:dyDescent="0.2">
      <c r="B47" s="1041" t="s">
        <v>1215</v>
      </c>
      <c r="C47" s="1041"/>
      <c r="D47" s="1042">
        <f>SUM(D35:D45)</f>
        <v>17909777</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0" t="str">
        <f>'Single Audit Cover'!A7</f>
        <v xml:space="preserve">  Special Ed Dist of Lake Cty (SEDOL)</v>
      </c>
      <c r="C1" s="2592"/>
      <c r="D1" s="2592"/>
      <c r="E1" s="2592"/>
      <c r="F1" s="2592"/>
      <c r="G1" s="2592"/>
      <c r="H1" s="2592"/>
      <c r="I1" s="2592"/>
      <c r="J1" s="2592"/>
      <c r="K1" s="2592"/>
      <c r="L1" s="2592"/>
      <c r="M1" s="2592"/>
    </row>
    <row r="2" spans="2:14" ht="15" x14ac:dyDescent="0.2">
      <c r="B2" s="2593">
        <f>'Single Audit Cover'!E7</f>
        <v>34049825060</v>
      </c>
      <c r="C2" s="2593"/>
      <c r="D2" s="2593"/>
      <c r="E2" s="2593"/>
      <c r="F2" s="2593"/>
      <c r="G2" s="2593"/>
      <c r="H2" s="2593"/>
      <c r="I2" s="2593"/>
      <c r="J2" s="2593"/>
      <c r="K2" s="2593"/>
      <c r="L2" s="2593"/>
      <c r="M2" s="2593"/>
      <c r="N2" s="1071"/>
    </row>
    <row r="3" spans="2:14" ht="15" x14ac:dyDescent="0.2">
      <c r="B3" s="2594" t="s">
        <v>1207</v>
      </c>
      <c r="C3" s="2594"/>
      <c r="D3" s="2594"/>
      <c r="E3" s="2594"/>
      <c r="F3" s="2594"/>
      <c r="G3" s="2594"/>
      <c r="H3" s="2594"/>
      <c r="I3" s="2594"/>
      <c r="J3" s="2594"/>
      <c r="K3" s="2594"/>
      <c r="L3" s="2594"/>
      <c r="M3" s="2594"/>
      <c r="N3" s="1071"/>
    </row>
    <row r="4" spans="2:14" ht="15" x14ac:dyDescent="0.2">
      <c r="B4" s="2595" t="str">
        <f>'Single Audit Cover'!A4</f>
        <v>Year Ending June 30, 2020</v>
      </c>
      <c r="C4" s="2595"/>
      <c r="D4" s="2595"/>
      <c r="E4" s="2595"/>
      <c r="F4" s="2595"/>
      <c r="G4" s="2595"/>
      <c r="H4" s="2595"/>
      <c r="I4" s="2595"/>
      <c r="J4" s="2595"/>
      <c r="K4" s="2595"/>
      <c r="L4" s="2595"/>
      <c r="M4" s="2595"/>
      <c r="N4" s="1071"/>
    </row>
    <row r="5" spans="2:14" x14ac:dyDescent="0.2">
      <c r="H5" s="1895"/>
      <c r="J5" s="1895"/>
    </row>
    <row r="6" spans="2:14" x14ac:dyDescent="0.2">
      <c r="B6" s="1072"/>
      <c r="C6" s="1073"/>
      <c r="D6" s="1074" t="s">
        <v>1253</v>
      </c>
      <c r="E6" s="1075" t="s">
        <v>524</v>
      </c>
      <c r="F6" s="1076"/>
      <c r="G6" s="1077" t="s">
        <v>1705</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1"/>
      <c r="C8" s="1082" t="s">
        <v>1252</v>
      </c>
      <c r="D8" s="1083" t="s">
        <v>1251</v>
      </c>
      <c r="E8" s="1091" t="s">
        <v>1250</v>
      </c>
      <c r="F8" s="1092" t="s">
        <v>1250</v>
      </c>
      <c r="G8" s="1093" t="s">
        <v>1250</v>
      </c>
      <c r="H8" s="1807" t="str">
        <f>"7/1/"&amp;MID('AFR20'!$E$2,3,2)-2&amp;"-6/30/"&amp;MID('AFR20'!$E$2,3,2)-1</f>
        <v>7/1/18-6/30/19</v>
      </c>
      <c r="I8" s="1088" t="s">
        <v>1250</v>
      </c>
      <c r="J8" s="1808" t="str">
        <f>"7/1/"&amp;MID('AFR20'!$E$2,3,2)-1&amp;"-6/30/"&amp;MID('AFR20'!$E$2,3,2)</f>
        <v>7/1/19-6/30/20</v>
      </c>
      <c r="K8" s="1088" t="s">
        <v>1249</v>
      </c>
      <c r="L8" s="1089" t="s">
        <v>1245</v>
      </c>
      <c r="M8" s="1090" t="s">
        <v>30</v>
      </c>
    </row>
    <row r="9" spans="2:14" ht="14.25" x14ac:dyDescent="0.2">
      <c r="B9" s="1094" t="s">
        <v>1247</v>
      </c>
      <c r="C9" s="1082" t="s">
        <v>1706</v>
      </c>
      <c r="D9" s="1083" t="s">
        <v>1707</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8" t="s">
        <v>2105</v>
      </c>
      <c r="C11" s="2053"/>
      <c r="D11" s="2054"/>
      <c r="E11" s="2049"/>
      <c r="F11" s="2049"/>
      <c r="G11" s="2049"/>
      <c r="H11" s="2049"/>
      <c r="I11" s="2049"/>
      <c r="J11" s="2049"/>
      <c r="K11" s="2049"/>
      <c r="L11" s="2049"/>
      <c r="M11" s="2049"/>
    </row>
    <row r="12" spans="2:14" ht="20.100000000000001" customHeight="1" x14ac:dyDescent="0.2">
      <c r="B12" s="2048" t="s">
        <v>2106</v>
      </c>
      <c r="C12" s="2053"/>
      <c r="D12" s="2054"/>
      <c r="E12" s="2049"/>
      <c r="F12" s="2049"/>
      <c r="G12" s="2049"/>
      <c r="H12" s="2049"/>
      <c r="I12" s="2049"/>
      <c r="J12" s="2049"/>
      <c r="K12" s="2049"/>
      <c r="L12" s="2049"/>
      <c r="M12" s="2049"/>
    </row>
    <row r="13" spans="2:14" ht="20.100000000000001" customHeight="1" x14ac:dyDescent="0.2">
      <c r="B13" s="2056" t="s">
        <v>2107</v>
      </c>
      <c r="C13" s="2050">
        <v>10.555</v>
      </c>
      <c r="D13" s="2051" t="s">
        <v>2108</v>
      </c>
      <c r="E13" s="2052"/>
      <c r="F13" s="2052">
        <v>15932</v>
      </c>
      <c r="G13" s="2052"/>
      <c r="H13" s="2052"/>
      <c r="I13" s="2052">
        <v>15932</v>
      </c>
      <c r="J13" s="2052"/>
      <c r="K13" s="2052"/>
      <c r="L13" s="2049">
        <v>15932</v>
      </c>
      <c r="M13" s="2052" t="s">
        <v>2109</v>
      </c>
    </row>
    <row r="14" spans="2:14" ht="20.100000000000001" customHeight="1" x14ac:dyDescent="0.2">
      <c r="B14" s="2048"/>
      <c r="C14" s="2050"/>
      <c r="D14" s="2051"/>
      <c r="E14" s="2052"/>
      <c r="F14" s="2052"/>
      <c r="G14" s="2052"/>
      <c r="H14" s="2055"/>
      <c r="I14" s="2052"/>
      <c r="J14" s="2052"/>
      <c r="K14" s="2052"/>
      <c r="L14" s="2049"/>
      <c r="M14" s="2052"/>
    </row>
    <row r="15" spans="2:14" ht="20.100000000000001" customHeight="1" x14ac:dyDescent="0.2">
      <c r="B15" s="2048" t="s">
        <v>2110</v>
      </c>
      <c r="C15" s="2050"/>
      <c r="D15" s="2051"/>
      <c r="E15" s="2052"/>
      <c r="F15" s="2052"/>
      <c r="G15" s="2052"/>
      <c r="H15" s="2055"/>
      <c r="I15" s="2052"/>
      <c r="J15" s="2052"/>
      <c r="K15" s="2052"/>
      <c r="L15" s="2049"/>
      <c r="M15" s="2052"/>
    </row>
    <row r="16" spans="2:14" ht="20.100000000000001" customHeight="1" x14ac:dyDescent="0.2">
      <c r="B16" s="2048" t="s">
        <v>2111</v>
      </c>
      <c r="C16" s="2050"/>
      <c r="D16" s="2051"/>
      <c r="E16" s="2052"/>
      <c r="F16" s="2052"/>
      <c r="G16" s="2052"/>
      <c r="H16" s="2052"/>
      <c r="I16" s="2052"/>
      <c r="J16" s="2052"/>
      <c r="K16" s="2052"/>
      <c r="L16" s="2049"/>
      <c r="M16" s="2052"/>
    </row>
    <row r="17" spans="2:14" ht="20.100000000000001" customHeight="1" x14ac:dyDescent="0.2">
      <c r="B17" s="2056" t="s">
        <v>2112</v>
      </c>
      <c r="C17" s="2050">
        <v>10.555</v>
      </c>
      <c r="D17" s="2051" t="s">
        <v>2113</v>
      </c>
      <c r="E17" s="2052">
        <v>132167</v>
      </c>
      <c r="F17" s="2052">
        <v>29866</v>
      </c>
      <c r="G17" s="2052">
        <v>132167</v>
      </c>
      <c r="H17" s="2052"/>
      <c r="I17" s="2052">
        <v>29866</v>
      </c>
      <c r="J17" s="2052"/>
      <c r="K17" s="2052"/>
      <c r="L17" s="2049">
        <v>162033</v>
      </c>
      <c r="M17" s="2052" t="s">
        <v>2109</v>
      </c>
    </row>
    <row r="18" spans="2:14" ht="20.100000000000001" customHeight="1" x14ac:dyDescent="0.2">
      <c r="B18" s="2056" t="s">
        <v>2112</v>
      </c>
      <c r="C18" s="2050">
        <v>10.555</v>
      </c>
      <c r="D18" s="2051" t="s">
        <v>2114</v>
      </c>
      <c r="E18" s="2052"/>
      <c r="F18" s="2052">
        <v>86594</v>
      </c>
      <c r="G18" s="2052"/>
      <c r="H18" s="2052"/>
      <c r="I18" s="2052">
        <v>86594</v>
      </c>
      <c r="J18" s="2052"/>
      <c r="K18" s="2052"/>
      <c r="L18" s="2049">
        <v>86594</v>
      </c>
      <c r="M18" s="2052" t="s">
        <v>2109</v>
      </c>
    </row>
    <row r="19" spans="2:14" ht="20.100000000000001" customHeight="1" x14ac:dyDescent="0.2">
      <c r="B19" s="2048" t="s">
        <v>2115</v>
      </c>
      <c r="C19" s="2050"/>
      <c r="D19" s="2051"/>
      <c r="E19" s="2052">
        <v>132167</v>
      </c>
      <c r="F19" s="2052">
        <v>132392</v>
      </c>
      <c r="G19" s="2052">
        <v>132167</v>
      </c>
      <c r="H19" s="2052"/>
      <c r="I19" s="2052">
        <v>132392</v>
      </c>
      <c r="J19" s="2052"/>
      <c r="K19" s="2052"/>
      <c r="L19" s="2049">
        <v>264559</v>
      </c>
      <c r="M19" s="2052"/>
    </row>
    <row r="20" spans="2:14" ht="20.100000000000001" customHeight="1" x14ac:dyDescent="0.2">
      <c r="B20" s="2056" t="s">
        <v>2116</v>
      </c>
      <c r="C20" s="2050">
        <v>10.553000000000001</v>
      </c>
      <c r="D20" s="2051" t="s">
        <v>2117</v>
      </c>
      <c r="E20" s="2052">
        <v>65978</v>
      </c>
      <c r="F20" s="2052">
        <v>10971</v>
      </c>
      <c r="G20" s="2052">
        <v>65978</v>
      </c>
      <c r="H20" s="2055"/>
      <c r="I20" s="2052">
        <v>10971</v>
      </c>
      <c r="J20" s="2052"/>
      <c r="K20" s="2052"/>
      <c r="L20" s="2049">
        <v>76949</v>
      </c>
      <c r="M20" s="2052" t="s">
        <v>2109</v>
      </c>
    </row>
    <row r="21" spans="2:14" ht="20.100000000000001" customHeight="1" x14ac:dyDescent="0.2">
      <c r="B21" s="2056" t="s">
        <v>2118</v>
      </c>
      <c r="C21" s="2050">
        <v>10.553000000000001</v>
      </c>
      <c r="D21" s="2051" t="s">
        <v>2119</v>
      </c>
      <c r="E21" s="2052"/>
      <c r="F21" s="2052">
        <v>34886</v>
      </c>
      <c r="G21" s="2052"/>
      <c r="H21" s="2052"/>
      <c r="I21" s="2052">
        <v>34886</v>
      </c>
      <c r="J21" s="2052"/>
      <c r="K21" s="2052"/>
      <c r="L21" s="2049">
        <v>34886</v>
      </c>
      <c r="M21" s="2052" t="s">
        <v>2109</v>
      </c>
    </row>
    <row r="22" spans="2:14" ht="20.100000000000001" customHeight="1" x14ac:dyDescent="0.2">
      <c r="B22" s="2048" t="s">
        <v>2120</v>
      </c>
      <c r="C22" s="2050"/>
      <c r="D22" s="2051"/>
      <c r="E22" s="2052">
        <v>65978</v>
      </c>
      <c r="F22" s="2052">
        <v>45857</v>
      </c>
      <c r="G22" s="2052">
        <v>65978</v>
      </c>
      <c r="H22" s="2052"/>
      <c r="I22" s="2052">
        <v>45857</v>
      </c>
      <c r="J22" s="2052"/>
      <c r="K22" s="2052"/>
      <c r="L22" s="2049">
        <v>111835</v>
      </c>
      <c r="M22" s="2052"/>
    </row>
    <row r="23" spans="2:14" ht="20.100000000000001" customHeight="1" x14ac:dyDescent="0.2">
      <c r="B23" s="2048"/>
      <c r="C23" s="2050"/>
      <c r="D23" s="2051"/>
      <c r="E23" s="2052"/>
      <c r="F23" s="2052"/>
      <c r="G23" s="2052"/>
      <c r="H23" s="2052"/>
      <c r="I23" s="2052"/>
      <c r="J23" s="2052"/>
      <c r="K23" s="2052"/>
      <c r="L23" s="2049"/>
      <c r="M23" s="2052"/>
    </row>
    <row r="24" spans="2:14" ht="20.100000000000001" customHeight="1" x14ac:dyDescent="0.2">
      <c r="B24" s="2048" t="s">
        <v>2121</v>
      </c>
      <c r="C24" s="2050"/>
      <c r="D24" s="2051"/>
      <c r="E24" s="2052">
        <v>198145</v>
      </c>
      <c r="F24" s="2052">
        <v>178249</v>
      </c>
      <c r="G24" s="2052">
        <v>198145</v>
      </c>
      <c r="H24" s="2052"/>
      <c r="I24" s="2052">
        <v>178249</v>
      </c>
      <c r="J24" s="2052"/>
      <c r="K24" s="2052"/>
      <c r="L24" s="2049">
        <v>376394</v>
      </c>
      <c r="M24" s="2052"/>
    </row>
    <row r="25" spans="2:14" ht="20.100000000000001" customHeight="1" x14ac:dyDescent="0.2">
      <c r="B25" s="2048"/>
      <c r="C25" s="2050"/>
      <c r="D25" s="2051"/>
      <c r="E25" s="2052"/>
      <c r="F25" s="2052"/>
      <c r="G25" s="2052"/>
      <c r="H25" s="2052"/>
      <c r="I25" s="2052"/>
      <c r="J25" s="2052"/>
      <c r="K25" s="2052"/>
      <c r="L25" s="2049"/>
      <c r="M25" s="2052"/>
    </row>
    <row r="26" spans="2:14" ht="20.100000000000001" customHeight="1" x14ac:dyDescent="0.2">
      <c r="B26" s="2048" t="s">
        <v>2122</v>
      </c>
      <c r="C26" s="2050"/>
      <c r="D26" s="2051"/>
      <c r="E26" s="2052">
        <f>+E13+E19+E22</f>
        <v>198145</v>
      </c>
      <c r="F26" s="2052">
        <f>+F19+F22</f>
        <v>178249</v>
      </c>
      <c r="G26" s="2052">
        <f>+G13+G19+G22</f>
        <v>198145</v>
      </c>
      <c r="H26" s="2052"/>
      <c r="I26" s="2052">
        <f>+I19+I22</f>
        <v>178249</v>
      </c>
      <c r="J26" s="2052"/>
      <c r="K26" s="2052"/>
      <c r="L26" s="2052">
        <f>+L19+L22</f>
        <v>376394</v>
      </c>
      <c r="M26" s="2052"/>
    </row>
    <row r="27" spans="2:14" ht="20.100000000000001" customHeight="1" x14ac:dyDescent="0.2">
      <c r="B27" s="2048"/>
      <c r="C27" s="2050"/>
      <c r="D27" s="2051"/>
      <c r="E27" s="2052"/>
      <c r="F27" s="2052"/>
      <c r="G27" s="2052"/>
      <c r="H27" s="2052"/>
      <c r="I27" s="2052"/>
      <c r="J27" s="2052"/>
      <c r="K27" s="2052"/>
      <c r="L27" s="2049"/>
      <c r="M27" s="2052"/>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1708</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1806</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1234</v>
      </c>
      <c r="G34" s="295"/>
      <c r="H34" s="295"/>
      <c r="I34" s="295"/>
      <c r="J34" s="295"/>
    </row>
    <row r="35" spans="2:13" ht="13.5" customHeight="1" x14ac:dyDescent="0.2">
      <c r="B35" s="1121"/>
      <c r="C35" s="1122"/>
      <c r="D35" s="1123"/>
      <c r="E35" s="1066"/>
      <c r="F35" s="1066"/>
      <c r="G35" s="1066"/>
      <c r="H35" s="1066"/>
      <c r="I35" s="1066"/>
      <c r="J35" s="1066"/>
      <c r="K35" s="1124"/>
      <c r="L35" s="1124"/>
      <c r="M35" s="1066"/>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9" t="s">
        <v>1565</v>
      </c>
      <c r="C41" s="1130"/>
      <c r="D41" s="1131"/>
      <c r="E41" s="1069"/>
      <c r="F41" s="1069"/>
      <c r="G41" s="1069"/>
      <c r="H41" s="1069"/>
      <c r="I41" s="1069"/>
      <c r="J41" s="1069"/>
      <c r="K41" s="1132"/>
      <c r="L41" s="1132"/>
      <c r="M41" s="1069"/>
    </row>
    <row r="42" spans="2:13" ht="3.95" customHeight="1" x14ac:dyDescent="0.2">
      <c r="B42" s="1069"/>
      <c r="C42" s="1130"/>
      <c r="D42" s="1131"/>
      <c r="E42" s="1069"/>
      <c r="F42" s="1069"/>
      <c r="G42" s="1069"/>
      <c r="H42" s="1069"/>
      <c r="I42" s="1069"/>
      <c r="J42" s="1069"/>
      <c r="K42" s="1132"/>
      <c r="L42" s="1132"/>
      <c r="M42" s="1069"/>
    </row>
    <row r="43" spans="2:13" ht="11.25" customHeight="1" x14ac:dyDescent="0.2">
      <c r="B43" s="1133" t="s">
        <v>1711</v>
      </c>
      <c r="C43" s="1130"/>
      <c r="D43" s="1131"/>
      <c r="E43" s="1069"/>
      <c r="F43" s="1069"/>
      <c r="G43" s="1069"/>
      <c r="H43" s="1069"/>
      <c r="I43" s="1069"/>
      <c r="J43" s="1069"/>
      <c r="K43" s="1132"/>
      <c r="L43" s="1132"/>
      <c r="M43" s="1069"/>
    </row>
    <row r="44" spans="2:13" ht="3.95" customHeight="1" x14ac:dyDescent="0.2">
      <c r="B44" s="1133"/>
      <c r="C44" s="1130"/>
      <c r="D44" s="1131"/>
      <c r="E44" s="1069"/>
      <c r="F44" s="1069"/>
      <c r="G44" s="1069"/>
      <c r="H44" s="1069"/>
      <c r="I44" s="1069"/>
      <c r="J44" s="1069"/>
      <c r="K44" s="1132"/>
      <c r="L44" s="1132"/>
      <c r="M44" s="1069"/>
    </row>
    <row r="45" spans="2:13" ht="11.25" customHeight="1" x14ac:dyDescent="0.2">
      <c r="B45" s="1134" t="s">
        <v>1712</v>
      </c>
      <c r="C45" s="1130"/>
      <c r="D45" s="1131"/>
      <c r="E45" s="1069"/>
      <c r="F45" s="1069"/>
      <c r="G45" s="1069"/>
      <c r="H45" s="1069"/>
      <c r="I45" s="1069"/>
      <c r="J45" s="1069"/>
      <c r="K45" s="1132"/>
      <c r="L45" s="1132"/>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AF5B-F12E-45F1-9B22-224D7A6A5943}">
  <sheetPr>
    <tabColor rgb="FF00B050"/>
  </sheetPr>
  <dimension ref="B1:N155"/>
  <sheetViews>
    <sheetView showGridLines="0" topLeftCell="A7" zoomScaleNormal="100" workbookViewId="0">
      <selection sqref="A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5.5703125" style="295" customWidth="1"/>
    <col min="14" max="14" width="2.7109375" style="295" customWidth="1"/>
    <col min="15" max="16384" width="33.5703125" style="295"/>
  </cols>
  <sheetData>
    <row r="1" spans="2:14" ht="11.85" customHeight="1" x14ac:dyDescent="0.2">
      <c r="B1" s="2570" t="str">
        <f>'Single Audit Cover'!A7</f>
        <v xml:space="preserve">  Special Ed Dist of Lake Cty (SEDOL)</v>
      </c>
      <c r="C1" s="2592"/>
      <c r="D1" s="2592"/>
      <c r="E1" s="2592"/>
      <c r="F1" s="2592"/>
      <c r="G1" s="2592"/>
      <c r="H1" s="2592"/>
      <c r="I1" s="2592"/>
      <c r="J1" s="2592"/>
      <c r="K1" s="2592"/>
      <c r="L1" s="2592"/>
      <c r="M1" s="2592"/>
    </row>
    <row r="2" spans="2:14" ht="15" x14ac:dyDescent="0.2">
      <c r="B2" s="2593">
        <f>'Single Audit Cover'!E7</f>
        <v>34049825060</v>
      </c>
      <c r="C2" s="2593"/>
      <c r="D2" s="2593"/>
      <c r="E2" s="2593"/>
      <c r="F2" s="2593"/>
      <c r="G2" s="2593"/>
      <c r="H2" s="2593"/>
      <c r="I2" s="2593"/>
      <c r="J2" s="2593"/>
      <c r="K2" s="2593"/>
      <c r="L2" s="2593"/>
      <c r="M2" s="2593"/>
      <c r="N2" s="1071"/>
    </row>
    <row r="3" spans="2:14" ht="15" x14ac:dyDescent="0.2">
      <c r="B3" s="2594" t="s">
        <v>1207</v>
      </c>
      <c r="C3" s="2594"/>
      <c r="D3" s="2594"/>
      <c r="E3" s="2594"/>
      <c r="F3" s="2594"/>
      <c r="G3" s="2594"/>
      <c r="H3" s="2594"/>
      <c r="I3" s="2594"/>
      <c r="J3" s="2594"/>
      <c r="K3" s="2594"/>
      <c r="L3" s="2594"/>
      <c r="M3" s="2594"/>
      <c r="N3" s="1071"/>
    </row>
    <row r="4" spans="2:14" ht="15" x14ac:dyDescent="0.2">
      <c r="B4" s="2595" t="str">
        <f>'Single Audit Cover'!A4</f>
        <v>Year Ending June 30, 2020</v>
      </c>
      <c r="C4" s="2595"/>
      <c r="D4" s="2595"/>
      <c r="E4" s="2595"/>
      <c r="F4" s="2595"/>
      <c r="G4" s="2595"/>
      <c r="H4" s="2595"/>
      <c r="I4" s="2595"/>
      <c r="J4" s="2595"/>
      <c r="K4" s="2595"/>
      <c r="L4" s="2595"/>
      <c r="M4" s="2595"/>
      <c r="N4" s="1071"/>
    </row>
    <row r="5" spans="2:14" x14ac:dyDescent="0.2">
      <c r="H5" s="1895"/>
      <c r="J5" s="1895"/>
    </row>
    <row r="6" spans="2:14" x14ac:dyDescent="0.2">
      <c r="B6" s="1072"/>
      <c r="C6" s="1073"/>
      <c r="D6" s="1074" t="s">
        <v>1253</v>
      </c>
      <c r="E6" s="1075" t="s">
        <v>524</v>
      </c>
      <c r="F6" s="1076"/>
      <c r="G6" s="1077" t="s">
        <v>1705</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1"/>
      <c r="C8" s="1082" t="s">
        <v>1252</v>
      </c>
      <c r="D8" s="1083" t="s">
        <v>1251</v>
      </c>
      <c r="E8" s="1091" t="s">
        <v>1250</v>
      </c>
      <c r="F8" s="1092" t="s">
        <v>1250</v>
      </c>
      <c r="G8" s="1093" t="s">
        <v>1250</v>
      </c>
      <c r="H8" s="1807" t="str">
        <f>"7/1/"&amp;MID('AFR20'!$E$2,3,2)-2&amp;"-6/30/"&amp;MID('AFR20'!$E$2,3,2)-1</f>
        <v>7/1/18-6/30/19</v>
      </c>
      <c r="I8" s="1088" t="s">
        <v>1250</v>
      </c>
      <c r="J8" s="1808" t="str">
        <f>"7/1/"&amp;MID('AFR20'!$E$2,3,2)-1&amp;"-6/30/"&amp;MID('AFR20'!$E$2,3,2)</f>
        <v>7/1/19-6/30/20</v>
      </c>
      <c r="K8" s="1088" t="s">
        <v>1249</v>
      </c>
      <c r="L8" s="1089" t="s">
        <v>1245</v>
      </c>
      <c r="M8" s="1090" t="s">
        <v>30</v>
      </c>
    </row>
    <row r="9" spans="2:14" ht="14.25" x14ac:dyDescent="0.2">
      <c r="B9" s="1094" t="s">
        <v>1247</v>
      </c>
      <c r="C9" s="1082" t="s">
        <v>1706</v>
      </c>
      <c r="D9" s="1083" t="s">
        <v>1707</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0" t="s">
        <v>2098</v>
      </c>
      <c r="C11" s="2041"/>
      <c r="D11" s="2042"/>
      <c r="E11" s="2043"/>
      <c r="F11" s="2043"/>
      <c r="G11" s="2043"/>
      <c r="H11" s="2043"/>
      <c r="I11" s="2043"/>
      <c r="J11" s="2043"/>
      <c r="K11" s="2043"/>
      <c r="L11" s="2043"/>
      <c r="M11" s="2043"/>
    </row>
    <row r="12" spans="2:14" ht="20.100000000000001" customHeight="1" x14ac:dyDescent="0.2">
      <c r="B12" s="2040" t="s">
        <v>2082</v>
      </c>
      <c r="C12" s="2041"/>
      <c r="D12" s="2042"/>
      <c r="E12" s="2043"/>
      <c r="F12" s="2043"/>
      <c r="G12" s="2043"/>
      <c r="H12" s="2043"/>
      <c r="I12" s="2043"/>
      <c r="J12" s="2043"/>
      <c r="K12" s="2043"/>
      <c r="L12" s="2043"/>
      <c r="M12" s="2043"/>
    </row>
    <row r="13" spans="2:14" ht="20.100000000000001" customHeight="1" x14ac:dyDescent="0.2">
      <c r="B13" s="2040" t="s">
        <v>2083</v>
      </c>
      <c r="C13" s="2044"/>
      <c r="D13" s="2045"/>
      <c r="E13" s="2046"/>
      <c r="F13" s="2046"/>
      <c r="G13" s="2046"/>
      <c r="H13" s="2046"/>
      <c r="I13" s="2046"/>
      <c r="J13" s="2046"/>
      <c r="K13" s="2046"/>
      <c r="L13" s="2043"/>
      <c r="M13" s="2046"/>
    </row>
    <row r="14" spans="2:14" ht="20.100000000000001" customHeight="1" x14ac:dyDescent="0.2">
      <c r="B14" s="2040" t="s">
        <v>2084</v>
      </c>
      <c r="C14" s="2044">
        <v>84.027000000000001</v>
      </c>
      <c r="D14" s="2045" t="s">
        <v>2085</v>
      </c>
      <c r="E14" s="2046">
        <v>17731079</v>
      </c>
      <c r="F14" s="2046"/>
      <c r="G14" s="2046">
        <v>17731079</v>
      </c>
      <c r="H14" s="2047">
        <v>10012059</v>
      </c>
      <c r="I14" s="2046"/>
      <c r="J14" s="2046"/>
      <c r="K14" s="2046"/>
      <c r="L14" s="2043">
        <v>17731079</v>
      </c>
      <c r="M14" s="2046">
        <v>19060128</v>
      </c>
    </row>
    <row r="15" spans="2:14" ht="20.100000000000001" customHeight="1" x14ac:dyDescent="0.2">
      <c r="B15" s="2040" t="s">
        <v>2084</v>
      </c>
      <c r="C15" s="2044">
        <v>84.027000000000001</v>
      </c>
      <c r="D15" s="2045" t="s">
        <v>2095</v>
      </c>
      <c r="E15" s="2046"/>
      <c r="F15" s="2046">
        <v>16852680</v>
      </c>
      <c r="G15" s="2046"/>
      <c r="H15" s="2047"/>
      <c r="I15" s="2046">
        <v>16852680</v>
      </c>
      <c r="J15" s="2046">
        <v>9088179</v>
      </c>
      <c r="K15" s="2046"/>
      <c r="L15" s="2043">
        <v>16852680</v>
      </c>
      <c r="M15" s="2046">
        <v>18350479</v>
      </c>
    </row>
    <row r="16" spans="2:14" ht="20.100000000000001" customHeight="1" x14ac:dyDescent="0.2">
      <c r="B16" s="2040" t="s">
        <v>2099</v>
      </c>
      <c r="C16" s="2044"/>
      <c r="D16" s="2045"/>
      <c r="E16" s="2046">
        <v>17731079</v>
      </c>
      <c r="F16" s="2046">
        <v>16852680</v>
      </c>
      <c r="G16" s="2046">
        <v>17731079</v>
      </c>
      <c r="H16" s="2046">
        <v>10012059</v>
      </c>
      <c r="I16" s="2046">
        <v>16852680</v>
      </c>
      <c r="J16" s="2046">
        <v>9088179</v>
      </c>
      <c r="K16" s="2046">
        <v>0</v>
      </c>
      <c r="L16" s="2046">
        <v>34583759</v>
      </c>
      <c r="M16" s="2046"/>
    </row>
    <row r="17" spans="2:14" ht="20.100000000000001" customHeight="1" x14ac:dyDescent="0.2">
      <c r="B17" s="2040" t="s">
        <v>2086</v>
      </c>
      <c r="C17" s="2044">
        <v>84.173000000000002</v>
      </c>
      <c r="D17" s="2045" t="s">
        <v>2087</v>
      </c>
      <c r="E17" s="2046">
        <v>497499</v>
      </c>
      <c r="F17" s="2046"/>
      <c r="G17" s="2046">
        <v>497499</v>
      </c>
      <c r="H17" s="2047">
        <v>465899</v>
      </c>
      <c r="I17" s="2046"/>
      <c r="J17" s="2046"/>
      <c r="K17" s="2046"/>
      <c r="L17" s="2043">
        <v>497499</v>
      </c>
      <c r="M17" s="2046">
        <v>576096</v>
      </c>
    </row>
    <row r="18" spans="2:14" ht="20.100000000000001" customHeight="1" x14ac:dyDescent="0.2">
      <c r="B18" s="2040" t="s">
        <v>2086</v>
      </c>
      <c r="C18" s="2044">
        <v>84.173000000000002</v>
      </c>
      <c r="D18" s="2045" t="s">
        <v>2096</v>
      </c>
      <c r="E18" s="2046"/>
      <c r="F18" s="2046">
        <v>503275</v>
      </c>
      <c r="G18" s="2046"/>
      <c r="H18" s="2046"/>
      <c r="I18" s="2046">
        <v>503275</v>
      </c>
      <c r="J18" s="2046">
        <v>474939</v>
      </c>
      <c r="K18" s="2046"/>
      <c r="L18" s="2043">
        <v>503275</v>
      </c>
      <c r="M18" s="2046">
        <v>597963</v>
      </c>
    </row>
    <row r="19" spans="2:14" ht="20.100000000000001" customHeight="1" x14ac:dyDescent="0.2">
      <c r="B19" s="2040" t="s">
        <v>2100</v>
      </c>
      <c r="C19" s="2044"/>
      <c r="D19" s="2045"/>
      <c r="E19" s="2046">
        <v>497499</v>
      </c>
      <c r="F19" s="2046">
        <v>503275</v>
      </c>
      <c r="G19" s="2046">
        <v>497499</v>
      </c>
      <c r="H19" s="2046">
        <v>465899</v>
      </c>
      <c r="I19" s="2046">
        <v>503275</v>
      </c>
      <c r="J19" s="2046">
        <v>474939</v>
      </c>
      <c r="K19" s="2046">
        <v>0</v>
      </c>
      <c r="L19" s="2046">
        <v>1000774</v>
      </c>
      <c r="M19" s="2046"/>
    </row>
    <row r="20" spans="2:14" ht="20.100000000000001" customHeight="1" x14ac:dyDescent="0.2">
      <c r="B20" s="2040" t="s">
        <v>2101</v>
      </c>
      <c r="C20" s="2044"/>
      <c r="D20" s="2045"/>
      <c r="E20" s="2046">
        <v>18228578</v>
      </c>
      <c r="F20" s="2046">
        <v>17355955</v>
      </c>
      <c r="G20" s="2046">
        <v>18228578</v>
      </c>
      <c r="H20" s="2046">
        <v>10477958</v>
      </c>
      <c r="I20" s="2046">
        <v>17355955</v>
      </c>
      <c r="J20" s="2046">
        <v>9563118</v>
      </c>
      <c r="K20" s="2046">
        <v>0</v>
      </c>
      <c r="L20" s="2043">
        <v>35584533</v>
      </c>
      <c r="M20" s="2046"/>
    </row>
    <row r="21" spans="2:14" ht="20.100000000000001" customHeight="1" x14ac:dyDescent="0.2">
      <c r="B21" s="2040" t="s">
        <v>2088</v>
      </c>
      <c r="C21" s="2044"/>
      <c r="D21" s="2045"/>
      <c r="E21" s="2046">
        <v>18228578</v>
      </c>
      <c r="F21" s="2046">
        <v>17355955</v>
      </c>
      <c r="G21" s="2046">
        <v>18228578</v>
      </c>
      <c r="H21" s="2046">
        <v>10477958</v>
      </c>
      <c r="I21" s="2046">
        <v>17355955</v>
      </c>
      <c r="J21" s="2046">
        <v>9563118</v>
      </c>
      <c r="K21" s="2046">
        <v>0</v>
      </c>
      <c r="L21" s="2043">
        <v>35584533</v>
      </c>
      <c r="M21" s="2046"/>
    </row>
    <row r="22" spans="2:14" ht="20.100000000000001" customHeight="1" x14ac:dyDescent="0.2">
      <c r="B22" s="2040" t="s">
        <v>2102</v>
      </c>
      <c r="C22" s="2044"/>
      <c r="D22" s="2045"/>
      <c r="E22" s="2046"/>
      <c r="F22" s="2046"/>
      <c r="G22" s="2046"/>
      <c r="H22" s="2046"/>
      <c r="I22" s="2046"/>
      <c r="J22" s="2046"/>
      <c r="K22" s="2046"/>
      <c r="L22" s="2043"/>
      <c r="M22" s="2046"/>
    </row>
    <row r="23" spans="2:14" ht="20.100000000000001" customHeight="1" x14ac:dyDescent="0.2">
      <c r="B23" s="2040" t="s">
        <v>2089</v>
      </c>
      <c r="C23" s="2044"/>
      <c r="D23" s="2045"/>
      <c r="E23" s="2046"/>
      <c r="F23" s="2046"/>
      <c r="G23" s="2046"/>
      <c r="H23" s="2046"/>
      <c r="I23" s="2046"/>
      <c r="J23" s="2046"/>
      <c r="K23" s="2046"/>
      <c r="L23" s="2043"/>
      <c r="M23" s="2046"/>
    </row>
    <row r="24" spans="2:14" ht="20.100000000000001" customHeight="1" x14ac:dyDescent="0.2">
      <c r="B24" s="2040" t="s">
        <v>2090</v>
      </c>
      <c r="C24" s="2044"/>
      <c r="D24" s="2045"/>
      <c r="E24" s="2046"/>
      <c r="F24" s="2046"/>
      <c r="G24" s="2046"/>
      <c r="H24" s="2046"/>
      <c r="I24" s="2046"/>
      <c r="J24" s="2046"/>
      <c r="K24" s="2046"/>
      <c r="L24" s="2043"/>
      <c r="M24" s="2046"/>
    </row>
    <row r="25" spans="2:14" ht="20.100000000000001" customHeight="1" x14ac:dyDescent="0.2">
      <c r="B25" s="2040" t="s">
        <v>2091</v>
      </c>
      <c r="C25" s="2044"/>
      <c r="D25" s="2045"/>
      <c r="E25" s="2046"/>
      <c r="F25" s="2046"/>
      <c r="G25" s="2046"/>
      <c r="H25" s="2046"/>
      <c r="I25" s="2046"/>
      <c r="J25" s="2046"/>
      <c r="K25" s="2046"/>
      <c r="L25" s="2043"/>
      <c r="M25" s="2046"/>
    </row>
    <row r="26" spans="2:14" ht="20.100000000000001" customHeight="1" x14ac:dyDescent="0.2">
      <c r="B26" s="2040" t="s">
        <v>2092</v>
      </c>
      <c r="C26" s="2044">
        <v>93.778000000000006</v>
      </c>
      <c r="D26" s="2045" t="s">
        <v>2097</v>
      </c>
      <c r="E26" s="2046"/>
      <c r="F26" s="2046">
        <v>375573</v>
      </c>
      <c r="G26" s="2046"/>
      <c r="H26" s="2046"/>
      <c r="I26" s="2046">
        <f>+F26</f>
        <v>375573</v>
      </c>
      <c r="J26" s="2046"/>
      <c r="K26" s="2046"/>
      <c r="L26" s="2043">
        <f>+I26</f>
        <v>375573</v>
      </c>
      <c r="M26" s="2046" t="s">
        <v>2109</v>
      </c>
    </row>
    <row r="27" spans="2:14" ht="20.100000000000001" customHeight="1" x14ac:dyDescent="0.2">
      <c r="B27" s="2040" t="s">
        <v>2103</v>
      </c>
      <c r="C27" s="2044"/>
      <c r="D27" s="2045"/>
      <c r="E27" s="2046"/>
      <c r="F27" s="2046">
        <v>375573</v>
      </c>
      <c r="G27" s="2046"/>
      <c r="H27" s="2046"/>
      <c r="I27" s="2046">
        <v>375573</v>
      </c>
      <c r="J27" s="2046"/>
      <c r="K27" s="2046"/>
      <c r="L27" s="2043">
        <v>375573</v>
      </c>
      <c r="M27" s="2046"/>
    </row>
    <row r="28" spans="2:14" ht="20.100000000000001" customHeight="1" x14ac:dyDescent="0.2">
      <c r="B28" s="2040" t="s">
        <v>2104</v>
      </c>
      <c r="C28" s="2044"/>
      <c r="D28" s="2045"/>
      <c r="E28" s="2046"/>
      <c r="F28" s="2046">
        <v>375573</v>
      </c>
      <c r="G28" s="2046"/>
      <c r="H28" s="2046"/>
      <c r="I28" s="2046">
        <v>375573</v>
      </c>
      <c r="J28" s="2046"/>
      <c r="K28" s="2046"/>
      <c r="L28" s="2043">
        <v>375573</v>
      </c>
      <c r="M28" s="2046"/>
    </row>
    <row r="29" spans="2:14" ht="20.100000000000001" customHeight="1" x14ac:dyDescent="0.2">
      <c r="B29" s="2040" t="s">
        <v>2093</v>
      </c>
      <c r="C29" s="2044"/>
      <c r="D29" s="2045"/>
      <c r="E29" s="2046">
        <v>18426723</v>
      </c>
      <c r="F29" s="2046">
        <v>17909777</v>
      </c>
      <c r="G29" s="2046">
        <v>18426723</v>
      </c>
      <c r="H29" s="2046">
        <v>10477958</v>
      </c>
      <c r="I29" s="2046">
        <v>17909777</v>
      </c>
      <c r="J29" s="2046">
        <v>9563118</v>
      </c>
      <c r="K29" s="2046">
        <v>0</v>
      </c>
      <c r="L29" s="2046">
        <v>36336500</v>
      </c>
      <c r="M29" s="2046"/>
    </row>
    <row r="30" spans="2:14" ht="20.100000000000001" customHeight="1" x14ac:dyDescent="0.2">
      <c r="B30" s="2040" t="s">
        <v>2094</v>
      </c>
      <c r="C30" s="2044"/>
      <c r="D30" s="2045"/>
      <c r="E30" s="2046"/>
      <c r="F30" s="2046"/>
      <c r="G30" s="2046"/>
      <c r="H30" s="2046"/>
      <c r="I30" s="2046"/>
      <c r="J30" s="2046"/>
      <c r="K30" s="2046"/>
      <c r="L30" s="2043"/>
      <c r="M30" s="2046"/>
      <c r="N30" s="1106"/>
    </row>
    <row r="31" spans="2:14" ht="12.75" customHeight="1" x14ac:dyDescent="0.2">
      <c r="B31" s="1107"/>
      <c r="C31" s="1108"/>
      <c r="D31" s="1109"/>
      <c r="E31" s="1110"/>
      <c r="F31" s="1110"/>
      <c r="G31" s="1110"/>
      <c r="H31" s="1110"/>
      <c r="I31" s="1110"/>
      <c r="J31" s="1110"/>
      <c r="K31" s="1110"/>
      <c r="L31" s="1110"/>
      <c r="M31" s="1110"/>
      <c r="N31" s="1106"/>
    </row>
    <row r="32" spans="2:14" x14ac:dyDescent="0.2">
      <c r="B32" s="1026"/>
      <c r="C32" s="1111"/>
      <c r="D32" s="1112"/>
      <c r="E32" s="1026"/>
      <c r="F32" s="1026"/>
      <c r="G32" s="1019"/>
      <c r="H32" s="1019"/>
      <c r="I32" s="1019"/>
      <c r="J32" s="1019"/>
      <c r="K32" s="1019"/>
      <c r="L32" s="1019"/>
      <c r="M32" s="1026"/>
      <c r="N32" s="1106"/>
    </row>
    <row r="33" spans="2:14" ht="13.5" customHeight="1" x14ac:dyDescent="0.2">
      <c r="B33" s="1051" t="s">
        <v>1708</v>
      </c>
      <c r="C33" s="1111"/>
      <c r="D33" s="1112"/>
      <c r="E33" s="1026"/>
      <c r="F33" s="1026"/>
      <c r="G33" s="1019"/>
      <c r="H33" s="1019"/>
      <c r="I33" s="1019"/>
      <c r="J33" s="1019"/>
      <c r="K33" s="1019"/>
      <c r="L33" s="1019"/>
      <c r="M33" s="1026"/>
      <c r="N33" s="1106"/>
    </row>
    <row r="34" spans="2:14" ht="8.25" customHeight="1" x14ac:dyDescent="0.2">
      <c r="B34" s="1051"/>
      <c r="C34" s="1111"/>
      <c r="D34" s="1112"/>
      <c r="E34" s="1026"/>
      <c r="F34" s="1026"/>
      <c r="G34" s="1019"/>
      <c r="H34" s="1019"/>
      <c r="I34" s="1019"/>
      <c r="J34" s="1019"/>
      <c r="K34" s="1019"/>
      <c r="L34" s="1019"/>
      <c r="M34" s="1026"/>
      <c r="N34" s="1106"/>
    </row>
    <row r="35" spans="2:14" x14ac:dyDescent="0.2">
      <c r="B35" s="1113" t="s">
        <v>1806</v>
      </c>
      <c r="C35" s="1114"/>
      <c r="D35" s="1115"/>
      <c r="E35" s="1116"/>
      <c r="F35" s="1116"/>
      <c r="G35" s="1116"/>
      <c r="H35" s="1116"/>
      <c r="I35" s="295"/>
      <c r="J35" s="295"/>
    </row>
    <row r="36" spans="2:14" x14ac:dyDescent="0.2">
      <c r="B36" s="1046"/>
      <c r="C36" s="1117"/>
      <c r="D36" s="1118"/>
      <c r="E36" s="1047"/>
      <c r="F36" s="1047"/>
      <c r="G36" s="295"/>
      <c r="H36" s="295"/>
      <c r="I36" s="295"/>
      <c r="J36" s="295"/>
    </row>
    <row r="37" spans="2:14" ht="13.5" customHeight="1" x14ac:dyDescent="0.2">
      <c r="B37" s="1045" t="s">
        <v>1234</v>
      </c>
      <c r="G37" s="295"/>
      <c r="H37" s="295"/>
      <c r="I37" s="295"/>
      <c r="J37" s="295"/>
    </row>
    <row r="38" spans="2:14" ht="13.5" customHeight="1" x14ac:dyDescent="0.2">
      <c r="B38" s="1121"/>
      <c r="C38" s="1122"/>
      <c r="D38" s="1123"/>
      <c r="E38" s="1066"/>
      <c r="F38" s="1066"/>
      <c r="G38" s="1066"/>
      <c r="H38" s="1066"/>
      <c r="I38" s="1066"/>
      <c r="J38" s="1066"/>
      <c r="K38" s="1124"/>
      <c r="L38" s="1124"/>
      <c r="M38" s="1066"/>
    </row>
    <row r="39" spans="2:14" ht="9.6" customHeight="1" x14ac:dyDescent="0.2">
      <c r="B39" s="1125"/>
      <c r="G39" s="295"/>
      <c r="H39" s="295"/>
      <c r="I39" s="295"/>
      <c r="J39" s="295"/>
    </row>
    <row r="40" spans="2:14" ht="11.25" customHeight="1" x14ac:dyDescent="0.2">
      <c r="B40" s="1126" t="s">
        <v>1709</v>
      </c>
      <c r="C40" s="1127"/>
      <c r="D40" s="1127"/>
      <c r="E40" s="1127"/>
      <c r="F40" s="1127"/>
      <c r="G40" s="1127"/>
      <c r="H40" s="1127"/>
      <c r="I40" s="1128"/>
      <c r="J40" s="1128"/>
      <c r="K40" s="1128"/>
      <c r="L40" s="1128"/>
      <c r="M40" s="1128"/>
    </row>
    <row r="41" spans="2:14" ht="11.25" customHeight="1" x14ac:dyDescent="0.2">
      <c r="B41" s="1129" t="s">
        <v>1564</v>
      </c>
      <c r="C41" s="1128"/>
      <c r="D41" s="1128"/>
      <c r="E41" s="1128"/>
      <c r="F41" s="1128"/>
      <c r="G41" s="1128"/>
      <c r="H41" s="1128"/>
      <c r="I41" s="1128"/>
      <c r="J41" s="1128"/>
      <c r="K41" s="1128"/>
      <c r="L41" s="1128"/>
      <c r="M41" s="1128"/>
    </row>
    <row r="42" spans="2:14" ht="3.95" customHeight="1" x14ac:dyDescent="0.2">
      <c r="B42" s="1129"/>
      <c r="C42" s="1128"/>
      <c r="D42" s="1128"/>
      <c r="E42" s="1128"/>
      <c r="F42" s="1128"/>
      <c r="G42" s="1128"/>
      <c r="H42" s="1128"/>
      <c r="I42" s="1128"/>
      <c r="J42" s="1128"/>
      <c r="K42" s="1128"/>
      <c r="L42" s="1128"/>
      <c r="M42" s="1128"/>
    </row>
    <row r="43" spans="2:14" ht="11.25" customHeight="1" x14ac:dyDescent="0.2">
      <c r="B43" s="1126" t="s">
        <v>1710</v>
      </c>
      <c r="C43" s="1128"/>
      <c r="D43" s="1128"/>
      <c r="E43" s="1128"/>
      <c r="F43" s="1128"/>
      <c r="G43" s="1128"/>
      <c r="H43" s="1128"/>
      <c r="I43" s="1128"/>
      <c r="J43" s="1128"/>
      <c r="K43" s="1128"/>
      <c r="L43" s="1128"/>
      <c r="M43" s="1128"/>
    </row>
    <row r="44" spans="2:14" ht="11.25" customHeight="1" x14ac:dyDescent="0.2">
      <c r="B44" s="1069" t="s">
        <v>1565</v>
      </c>
      <c r="C44" s="1130"/>
      <c r="D44" s="1131"/>
      <c r="E44" s="1069"/>
      <c r="F44" s="1069"/>
      <c r="G44" s="1069"/>
      <c r="H44" s="1069"/>
      <c r="I44" s="1069"/>
      <c r="J44" s="1069"/>
      <c r="K44" s="1132"/>
      <c r="L44" s="1132"/>
      <c r="M44" s="1069"/>
    </row>
    <row r="45" spans="2:14" ht="3.95" customHeight="1" x14ac:dyDescent="0.2">
      <c r="B45" s="1069"/>
      <c r="C45" s="1130"/>
      <c r="D45" s="1131"/>
      <c r="E45" s="1069"/>
      <c r="F45" s="1069"/>
      <c r="G45" s="1069"/>
      <c r="H45" s="1069"/>
      <c r="I45" s="1069"/>
      <c r="J45" s="1069"/>
      <c r="K45" s="1132"/>
      <c r="L45" s="1132"/>
      <c r="M45" s="1069"/>
    </row>
    <row r="46" spans="2:14" ht="11.25" customHeight="1" x14ac:dyDescent="0.2">
      <c r="B46" s="1133" t="s">
        <v>1711</v>
      </c>
      <c r="C46" s="1130"/>
      <c r="D46" s="1131"/>
      <c r="E46" s="1069"/>
      <c r="F46" s="1069"/>
      <c r="G46" s="1069"/>
      <c r="H46" s="1069"/>
      <c r="I46" s="1069"/>
      <c r="J46" s="1069"/>
      <c r="K46" s="1132"/>
      <c r="L46" s="1132"/>
      <c r="M46" s="1069"/>
    </row>
    <row r="47" spans="2:14" ht="3.95" customHeight="1" x14ac:dyDescent="0.2">
      <c r="B47" s="1133"/>
      <c r="C47" s="1130"/>
      <c r="D47" s="1131"/>
      <c r="E47" s="1069"/>
      <c r="F47" s="1069"/>
      <c r="G47" s="1069"/>
      <c r="H47" s="1069"/>
      <c r="I47" s="1069"/>
      <c r="J47" s="1069"/>
      <c r="K47" s="1132"/>
      <c r="L47" s="1132"/>
      <c r="M47" s="1069"/>
    </row>
    <row r="48" spans="2:14" ht="11.25" customHeight="1" x14ac:dyDescent="0.2">
      <c r="B48" s="1134" t="s">
        <v>1712</v>
      </c>
      <c r="C48" s="1130"/>
      <c r="D48" s="1131"/>
      <c r="E48" s="1069"/>
      <c r="F48" s="1069"/>
      <c r="G48" s="1069"/>
      <c r="H48" s="1069"/>
      <c r="I48" s="1069"/>
      <c r="J48" s="1069"/>
      <c r="K48" s="1132"/>
      <c r="L48" s="1132"/>
      <c r="M48" s="1069"/>
    </row>
    <row r="49" spans="2:13" ht="11.25" customHeight="1" x14ac:dyDescent="0.2">
      <c r="B49" s="1069" t="s">
        <v>1566</v>
      </c>
      <c r="G49" s="295"/>
      <c r="H49" s="295"/>
      <c r="I49" s="295"/>
      <c r="J49" s="295"/>
    </row>
    <row r="50" spans="2:13" ht="11.1" customHeight="1" x14ac:dyDescent="0.2">
      <c r="B50" s="1069"/>
      <c r="G50" s="295"/>
      <c r="H50" s="295"/>
      <c r="I50" s="295"/>
      <c r="J50" s="295"/>
    </row>
    <row r="51" spans="2:13" ht="11.1" customHeight="1" x14ac:dyDescent="0.2">
      <c r="B51" s="1069"/>
      <c r="G51" s="295"/>
      <c r="H51" s="295"/>
      <c r="I51" s="295"/>
      <c r="J51" s="295"/>
    </row>
    <row r="52" spans="2:13" ht="13.5" customHeight="1" x14ac:dyDescent="0.2">
      <c r="M52" s="1135"/>
    </row>
    <row r="53" spans="2:13" ht="13.5" customHeight="1" x14ac:dyDescent="0.2">
      <c r="M53" s="1135"/>
    </row>
    <row r="54" spans="2:13" ht="13.5" customHeight="1" x14ac:dyDescent="0.2">
      <c r="M54" s="113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H127" sqref="H12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1157</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9" t="s">
        <v>1613</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9" t="s">
        <v>310</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1311</v>
      </c>
      <c r="B70" s="2192"/>
      <c r="C70" s="2192"/>
      <c r="D70" s="2192"/>
      <c r="E70" s="2193"/>
      <c r="F70" s="2193"/>
      <c r="G70" s="2193"/>
      <c r="H70" s="2193"/>
      <c r="I70" s="219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3"/>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1308</v>
      </c>
      <c r="B83" s="2194"/>
      <c r="C83" s="2194"/>
      <c r="D83" s="219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05" t="s">
        <v>1983</v>
      </c>
      <c r="B85" s="2205"/>
      <c r="C85" s="2205"/>
      <c r="D85" s="2206"/>
      <c r="E85" s="1536"/>
      <c r="F85" s="1536"/>
      <c r="G85" s="1536"/>
      <c r="H85" s="1536"/>
      <c r="I85" s="1884"/>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207" t="s">
        <v>1983</v>
      </c>
      <c r="B88" s="2208"/>
      <c r="C88" s="2208"/>
      <c r="D88" s="2209"/>
      <c r="E88" s="1536"/>
      <c r="F88" s="1536"/>
      <c r="G88" s="1536"/>
      <c r="H88" s="1536">
        <v>194254</v>
      </c>
      <c r="I88" s="1884"/>
      <c r="J88" s="1715">
        <f>SUM(E88:I88)</f>
        <v>194254</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7"/>
      <c r="F90" s="1537"/>
      <c r="G90" s="1537"/>
      <c r="H90" s="1537"/>
      <c r="I90" s="1885"/>
      <c r="J90" s="1717">
        <f>SUM(J85:J89)</f>
        <v>194254</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2012</v>
      </c>
      <c r="D114" s="218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1318</v>
      </c>
      <c r="D117" s="2187"/>
      <c r="E117" s="2188"/>
      <c r="F117" s="2188"/>
      <c r="G117" s="2188"/>
      <c r="H117" s="2188"/>
      <c r="I117" s="282"/>
    </row>
    <row r="118" spans="1:9" s="176" customFormat="1" ht="24" customHeight="1" x14ac:dyDescent="0.2">
      <c r="A118" s="294"/>
      <c r="B118" s="294"/>
      <c r="C118" s="294"/>
      <c r="D118" s="301" t="s">
        <v>2144</v>
      </c>
      <c r="E118" s="300"/>
      <c r="F118" s="302"/>
      <c r="G118" s="1465"/>
      <c r="H118" s="300"/>
      <c r="I118" s="282"/>
    </row>
    <row r="119" spans="1:9" s="176" customFormat="1" ht="11.25" customHeight="1" x14ac:dyDescent="0.2">
      <c r="A119" s="303"/>
      <c r="B119" s="303"/>
      <c r="C119" s="304"/>
      <c r="D119" s="305" t="s">
        <v>358</v>
      </c>
      <c r="E119" s="288"/>
      <c r="F119" s="1464" t="s">
        <v>1867</v>
      </c>
      <c r="G119" s="306"/>
      <c r="H119" s="306"/>
      <c r="I119" s="282"/>
    </row>
    <row r="120" spans="1:9" x14ac:dyDescent="0.2">
      <c r="A120" s="307"/>
      <c r="B120" s="175"/>
      <c r="C120" s="308"/>
      <c r="D120" s="251"/>
      <c r="E120" s="251"/>
      <c r="F120" s="251"/>
      <c r="G120" s="251"/>
      <c r="H120" s="251"/>
      <c r="I120" s="282"/>
    </row>
    <row r="121" spans="1:9" x14ac:dyDescent="0.2">
      <c r="A121" s="307"/>
      <c r="B121" s="1251"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1"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 xml:space="preserve">  Special Ed Dist of Lake Cty (SEDOL)</v>
      </c>
      <c r="B1" s="2605"/>
      <c r="C1" s="2605"/>
      <c r="D1" s="2605"/>
      <c r="E1" s="2605"/>
      <c r="F1" s="2605"/>
    </row>
    <row r="2" spans="1:7" ht="13.5" customHeight="1" x14ac:dyDescent="0.2">
      <c r="A2" s="2593">
        <f>'Single Audit Cover'!E7</f>
        <v>34049825060</v>
      </c>
      <c r="B2" s="2593"/>
      <c r="C2" s="2593"/>
      <c r="D2" s="2593"/>
      <c r="E2" s="2593"/>
      <c r="F2" s="2593"/>
      <c r="G2" s="1044"/>
    </row>
    <row r="3" spans="1:7" ht="15.75" customHeight="1" x14ac:dyDescent="0.2">
      <c r="A3" s="2606" t="s">
        <v>1259</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45" t="s">
        <v>1702</v>
      </c>
      <c r="C6" s="295"/>
      <c r="D6" s="295"/>
    </row>
    <row r="7" spans="1:7" ht="60.95" customHeight="1" x14ac:dyDescent="0.2">
      <c r="A7" s="2604" t="s">
        <v>2129</v>
      </c>
      <c r="B7" s="2604"/>
      <c r="C7" s="2604"/>
      <c r="D7" s="2604"/>
      <c r="E7" s="2604"/>
      <c r="F7" s="2604"/>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2130</v>
      </c>
      <c r="F10" s="1049" t="s">
        <v>99</v>
      </c>
      <c r="G10" s="1047"/>
    </row>
    <row r="11" spans="1:7" ht="12" customHeight="1" x14ac:dyDescent="0.2">
      <c r="A11" s="1048"/>
      <c r="B11" s="1049"/>
      <c r="C11" s="1517"/>
      <c r="D11" s="1049"/>
      <c r="E11" s="1517"/>
      <c r="F11" s="1049"/>
      <c r="G11" s="1047"/>
    </row>
    <row r="12" spans="1:7" x14ac:dyDescent="0.2">
      <c r="A12" s="1045" t="s">
        <v>1567</v>
      </c>
      <c r="C12" s="1029"/>
      <c r="D12" s="1029"/>
    </row>
    <row r="13" spans="1:7" ht="21.6" customHeight="1" x14ac:dyDescent="0.2">
      <c r="A13" s="2604" t="s">
        <v>2131</v>
      </c>
      <c r="B13" s="2604"/>
      <c r="C13" s="2604"/>
      <c r="D13" s="2604"/>
      <c r="E13" s="2604"/>
      <c r="F13" s="2604"/>
    </row>
    <row r="14" spans="1:7" ht="9.75" customHeight="1" x14ac:dyDescent="0.2">
      <c r="C14" s="1029"/>
      <c r="D14" s="1029"/>
    </row>
    <row r="15" spans="1:7" ht="13.5" customHeight="1" x14ac:dyDescent="0.2">
      <c r="C15" s="1468" t="s">
        <v>1258</v>
      </c>
      <c r="D15" s="2602" t="s">
        <v>1257</v>
      </c>
      <c r="E15" s="2602"/>
      <c r="F15" s="2602"/>
    </row>
    <row r="16" spans="1:7" ht="13.5" customHeight="1" x14ac:dyDescent="0.2">
      <c r="A16" s="1051"/>
      <c r="B16" s="1045" t="s">
        <v>1256</v>
      </c>
      <c r="C16" s="1468" t="s">
        <v>1255</v>
      </c>
      <c r="D16" s="2603" t="s">
        <v>1568</v>
      </c>
      <c r="E16" s="2603"/>
      <c r="F16" s="2603"/>
    </row>
    <row r="17" spans="1:6" ht="20.45" customHeight="1" x14ac:dyDescent="0.2">
      <c r="A17" s="1052"/>
      <c r="B17" s="1053" t="s">
        <v>2127</v>
      </c>
      <c r="C17" s="1054">
        <v>84.027000000000001</v>
      </c>
      <c r="D17" s="2597">
        <v>9088179</v>
      </c>
      <c r="E17" s="2597"/>
      <c r="F17" s="2597"/>
    </row>
    <row r="18" spans="1:6" ht="20.65" customHeight="1" x14ac:dyDescent="0.2">
      <c r="A18" s="1052"/>
      <c r="B18" s="1053" t="s">
        <v>2132</v>
      </c>
      <c r="C18" s="1054">
        <v>84.173000000000002</v>
      </c>
      <c r="D18" s="2597">
        <v>474939</v>
      </c>
      <c r="E18" s="2597"/>
      <c r="F18" s="2597"/>
    </row>
    <row r="19" spans="1:6" ht="20.65" customHeight="1" x14ac:dyDescent="0.2">
      <c r="A19" s="1052"/>
      <c r="B19" s="1053"/>
      <c r="C19" s="1054"/>
      <c r="D19" s="2597"/>
      <c r="E19" s="2597"/>
      <c r="F19" s="2597"/>
    </row>
    <row r="20" spans="1:6" ht="20.65" customHeight="1" x14ac:dyDescent="0.2">
      <c r="A20" s="1052"/>
      <c r="B20" s="1053"/>
      <c r="C20" s="1054"/>
      <c r="D20" s="2597"/>
      <c r="E20" s="2597"/>
      <c r="F20" s="2597"/>
    </row>
    <row r="21" spans="1:6" ht="20.65" customHeight="1" x14ac:dyDescent="0.2">
      <c r="A21" s="1052"/>
      <c r="B21" s="1053"/>
      <c r="C21" s="1054"/>
      <c r="D21" s="2597"/>
      <c r="E21" s="2597"/>
      <c r="F21" s="2597"/>
    </row>
    <row r="22" spans="1:6" ht="20.65" customHeight="1" x14ac:dyDescent="0.2">
      <c r="A22" s="1052"/>
      <c r="B22" s="1053"/>
      <c r="C22" s="1054"/>
      <c r="D22" s="2597"/>
      <c r="E22" s="2597"/>
      <c r="F22" s="2597"/>
    </row>
    <row r="23" spans="1:6" ht="20.65" customHeight="1" x14ac:dyDescent="0.2">
      <c r="A23" s="1052"/>
      <c r="B23" s="1053"/>
      <c r="C23" s="1054"/>
      <c r="D23" s="2597"/>
      <c r="E23" s="2597"/>
      <c r="F23" s="2597"/>
    </row>
    <row r="24" spans="1:6" ht="20.65" customHeight="1" x14ac:dyDescent="0.2">
      <c r="A24" s="1052"/>
      <c r="B24" s="1053"/>
      <c r="C24" s="1054"/>
      <c r="D24" s="2597"/>
      <c r="E24" s="2597"/>
      <c r="F24" s="2597"/>
    </row>
    <row r="25" spans="1:6" ht="20.65" customHeight="1" x14ac:dyDescent="0.2">
      <c r="A25" s="1052"/>
      <c r="B25" s="1053"/>
      <c r="C25" s="1054"/>
      <c r="D25" s="2597"/>
      <c r="E25" s="2597"/>
      <c r="F25" s="2597"/>
    </row>
    <row r="26" spans="1:6" ht="20.65" customHeight="1" x14ac:dyDescent="0.2">
      <c r="A26" s="1052"/>
      <c r="B26" s="1053"/>
      <c r="C26" s="1054"/>
      <c r="D26" s="2597"/>
      <c r="E26" s="2597"/>
      <c r="F26" s="2597"/>
    </row>
    <row r="27" spans="1:6" ht="20.65" customHeight="1" x14ac:dyDescent="0.2">
      <c r="A27" s="1052"/>
      <c r="B27" s="1053"/>
      <c r="C27" s="1054"/>
      <c r="D27" s="2597"/>
      <c r="E27" s="2597"/>
      <c r="F27" s="2597"/>
    </row>
    <row r="28" spans="1:6" ht="20.65" customHeight="1" x14ac:dyDescent="0.2">
      <c r="A28" s="1052"/>
      <c r="B28" s="1053"/>
      <c r="C28" s="1054"/>
      <c r="D28" s="2597"/>
      <c r="E28" s="2597"/>
      <c r="F28" s="2597"/>
    </row>
    <row r="29" spans="1:6" ht="20.65" customHeight="1" x14ac:dyDescent="0.2">
      <c r="A29" s="1052"/>
      <c r="B29" s="1053"/>
      <c r="C29" s="1054"/>
      <c r="D29" s="2597"/>
      <c r="E29" s="2597"/>
      <c r="F29" s="2597"/>
    </row>
    <row r="30" spans="1:6" ht="12" customHeight="1" x14ac:dyDescent="0.2">
      <c r="A30" s="306"/>
      <c r="B30" s="306"/>
      <c r="C30" s="1225"/>
      <c r="D30" s="1518"/>
      <c r="E30" s="1055"/>
    </row>
    <row r="31" spans="1:6" ht="12" customHeight="1" x14ac:dyDescent="0.2">
      <c r="A31" s="1056" t="s">
        <v>1529</v>
      </c>
      <c r="B31" s="306"/>
      <c r="C31" s="1225"/>
      <c r="D31" s="1518"/>
      <c r="E31" s="1055"/>
    </row>
    <row r="32" spans="1:6" ht="30" customHeight="1" x14ac:dyDescent="0.2">
      <c r="A32" s="2598" t="s">
        <v>2133</v>
      </c>
      <c r="B32" s="2598"/>
      <c r="C32" s="2598"/>
      <c r="D32" s="2598"/>
      <c r="E32" s="2598"/>
      <c r="F32" s="2598"/>
    </row>
    <row r="33" spans="1:6" ht="13.5" customHeight="1" x14ac:dyDescent="0.2">
      <c r="A33" s="306" t="s">
        <v>1414</v>
      </c>
      <c r="B33" s="306"/>
      <c r="C33" s="1057">
        <v>15932</v>
      </c>
      <c r="D33" s="1518"/>
      <c r="E33" s="1055"/>
    </row>
    <row r="34" spans="1:6" ht="13.5" customHeight="1" x14ac:dyDescent="0.2">
      <c r="A34" s="306" t="s">
        <v>1805</v>
      </c>
      <c r="B34" s="306"/>
      <c r="C34" s="1058">
        <v>0</v>
      </c>
      <c r="D34" s="1518" t="s">
        <v>1569</v>
      </c>
      <c r="E34" s="2599">
        <f>+C33+C34</f>
        <v>15932</v>
      </c>
      <c r="F34" s="2600"/>
    </row>
    <row r="35" spans="1:6" ht="12" customHeight="1" x14ac:dyDescent="0.2">
      <c r="A35" s="306"/>
      <c r="B35" s="306"/>
      <c r="C35" s="1519"/>
      <c r="D35" s="1518"/>
      <c r="E35" s="1059"/>
      <c r="F35" s="1060"/>
    </row>
    <row r="36" spans="1:6" ht="13.5" customHeight="1" x14ac:dyDescent="0.2">
      <c r="A36" s="1056" t="s">
        <v>1530</v>
      </c>
      <c r="B36" s="306"/>
      <c r="C36" s="1225"/>
      <c r="D36" s="1518"/>
      <c r="E36" s="1055"/>
    </row>
    <row r="37" spans="1:6" ht="14.25" customHeight="1" x14ac:dyDescent="0.2">
      <c r="A37" s="306" t="s">
        <v>1464</v>
      </c>
      <c r="B37" s="306"/>
      <c r="C37" s="1520"/>
      <c r="D37" s="1518"/>
      <c r="E37" s="1055"/>
    </row>
    <row r="38" spans="1:6" ht="14.25" customHeight="1" x14ac:dyDescent="0.2">
      <c r="A38" s="306"/>
      <c r="B38" s="306" t="s">
        <v>1415</v>
      </c>
      <c r="C38" s="1061" t="s">
        <v>380</v>
      </c>
      <c r="D38" s="1518"/>
      <c r="E38" s="1055"/>
    </row>
    <row r="39" spans="1:6" ht="14.25" customHeight="1" x14ac:dyDescent="0.2">
      <c r="A39" s="306"/>
      <c r="B39" s="306" t="s">
        <v>1416</v>
      </c>
      <c r="C39" s="1061" t="s">
        <v>380</v>
      </c>
      <c r="D39" s="1518"/>
      <c r="E39" s="1055"/>
    </row>
    <row r="40" spans="1:6" ht="14.25" customHeight="1" x14ac:dyDescent="0.2">
      <c r="A40" s="306"/>
      <c r="B40" s="306" t="s">
        <v>1417</v>
      </c>
      <c r="C40" s="1061" t="s">
        <v>380</v>
      </c>
      <c r="D40" s="1518"/>
      <c r="E40" s="1055"/>
    </row>
    <row r="41" spans="1:6" ht="14.25" customHeight="1" x14ac:dyDescent="0.2">
      <c r="A41" s="306"/>
      <c r="B41" s="306" t="s">
        <v>1418</v>
      </c>
      <c r="C41" s="1061" t="s">
        <v>380</v>
      </c>
      <c r="D41" s="1518"/>
      <c r="E41" s="1055"/>
    </row>
    <row r="42" spans="1:6" ht="14.25" customHeight="1" x14ac:dyDescent="0.2">
      <c r="A42" s="306" t="s">
        <v>1419</v>
      </c>
      <c r="B42" s="306"/>
      <c r="C42" s="1516" t="s">
        <v>380</v>
      </c>
      <c r="D42" s="1518"/>
      <c r="E42" s="1055"/>
    </row>
    <row r="43" spans="1:6" ht="14.25" customHeight="1" x14ac:dyDescent="0.2">
      <c r="A43" s="306" t="s">
        <v>1420</v>
      </c>
      <c r="B43" s="306"/>
      <c r="C43" s="1062" t="s">
        <v>380</v>
      </c>
      <c r="D43" s="1518"/>
      <c r="E43" s="1055"/>
    </row>
    <row r="44" spans="1:6" ht="14.25" customHeight="1" x14ac:dyDescent="0.2">
      <c r="A44" s="306"/>
      <c r="B44" s="306"/>
      <c r="C44" s="1520" t="s">
        <v>1421</v>
      </c>
      <c r="D44" s="1518"/>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1" t="s">
        <v>1570</v>
      </c>
      <c r="C49" s="2601"/>
      <c r="D49" s="2601"/>
      <c r="E49" s="1160"/>
    </row>
    <row r="50" spans="1:5" s="1069" customFormat="1" ht="3.75" customHeight="1" x14ac:dyDescent="0.2">
      <c r="A50" s="1068"/>
      <c r="B50" s="1467"/>
      <c r="C50" s="1467"/>
      <c r="D50" s="1467"/>
      <c r="E50" s="1160"/>
    </row>
    <row r="51" spans="1:5" s="1069" customFormat="1" ht="20.25" customHeight="1" x14ac:dyDescent="0.2">
      <c r="A51" s="1070">
        <v>6</v>
      </c>
      <c r="B51" s="2596" t="s">
        <v>1531</v>
      </c>
      <c r="C51" s="2596"/>
      <c r="D51" s="2596"/>
    </row>
    <row r="52" spans="1:5" ht="14.25" customHeight="1" x14ac:dyDescent="0.2">
      <c r="A52" s="1070"/>
      <c r="B52" s="2596"/>
      <c r="C52" s="2596"/>
      <c r="D52" s="259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E50" sqref="E50"/>
    </sheetView>
  </sheetViews>
  <sheetFormatPr defaultColWidth="9.140625" defaultRowHeight="12.75" x14ac:dyDescent="0.2"/>
  <cols>
    <col min="1" max="1" width="1.42578125" style="1069" customWidth="1"/>
    <col min="2" max="2" width="24.42578125" style="1119"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9" t="str">
        <f>'Single Audit Cover'!A7</f>
        <v xml:space="preserve">  Special Ed Dist of Lake Cty (SEDOL)</v>
      </c>
      <c r="C1" s="2620"/>
      <c r="D1" s="2620"/>
      <c r="E1" s="2620"/>
      <c r="F1" s="2620"/>
      <c r="G1" s="2620"/>
      <c r="H1" s="2620"/>
      <c r="I1" s="2620"/>
      <c r="J1" s="1170"/>
    </row>
    <row r="2" spans="2:10" s="295" customFormat="1" ht="12.75" customHeight="1" x14ac:dyDescent="0.2">
      <c r="B2" s="2621">
        <f>'Single Audit Cover'!E7</f>
        <v>34049825060</v>
      </c>
      <c r="C2" s="2622"/>
      <c r="D2" s="2622"/>
      <c r="E2" s="2622"/>
      <c r="F2" s="2622"/>
      <c r="G2" s="2622"/>
      <c r="H2" s="2622"/>
      <c r="I2" s="2622"/>
      <c r="J2" s="1170"/>
    </row>
    <row r="3" spans="2:10" s="295" customFormat="1" ht="12.75" customHeight="1" x14ac:dyDescent="0.2">
      <c r="B3" s="2623" t="s">
        <v>1273</v>
      </c>
      <c r="C3" s="2624"/>
      <c r="D3" s="2624"/>
      <c r="E3" s="2624"/>
      <c r="F3" s="2624"/>
      <c r="G3" s="2624"/>
      <c r="H3" s="2624"/>
      <c r="I3" s="2624"/>
      <c r="J3" s="1171"/>
    </row>
    <row r="4" spans="2:10" s="295" customFormat="1" ht="12.75" customHeight="1" x14ac:dyDescent="0.2">
      <c r="B4" s="2623" t="str">
        <f>'Single Audit Cover'!A4</f>
        <v>Year Ending June 30, 2020</v>
      </c>
      <c r="C4" s="2624"/>
      <c r="D4" s="2624"/>
      <c r="E4" s="2624"/>
      <c r="F4" s="2624"/>
      <c r="G4" s="2624"/>
      <c r="H4" s="2624"/>
      <c r="I4" s="2624"/>
    </row>
    <row r="5" spans="2:10" s="295" customFormat="1" ht="6.2" customHeight="1" x14ac:dyDescent="0.2">
      <c r="B5" s="1172" t="s">
        <v>1158</v>
      </c>
      <c r="C5" s="1063"/>
      <c r="D5" s="1063"/>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23" t="s">
        <v>1272</v>
      </c>
      <c r="C7" s="2624"/>
      <c r="D7" s="2624"/>
      <c r="E7" s="2624"/>
      <c r="F7" s="2624"/>
      <c r="G7" s="2624"/>
      <c r="H7" s="2624"/>
      <c r="I7" s="2624"/>
    </row>
    <row r="8" spans="2:10" s="295" customFormat="1" ht="6.2" customHeight="1" x14ac:dyDescent="0.2">
      <c r="B8" s="1174" t="s">
        <v>1158</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1271</v>
      </c>
      <c r="C10" s="1179"/>
      <c r="D10" s="1179"/>
      <c r="E10" s="1027"/>
    </row>
    <row r="11" spans="2:10" s="295" customFormat="1" ht="13.5" customHeight="1" x14ac:dyDescent="0.2">
      <c r="B11" s="1111" t="s">
        <v>1270</v>
      </c>
      <c r="C11" s="2625" t="s">
        <v>2126</v>
      </c>
      <c r="D11" s="2625"/>
      <c r="E11" s="1180"/>
      <c r="F11" s="1180"/>
      <c r="G11" s="1180"/>
    </row>
    <row r="12" spans="2:10" s="295" customFormat="1" ht="11.45" customHeight="1" x14ac:dyDescent="0.2">
      <c r="B12" s="1119"/>
      <c r="C12" s="1181" t="s">
        <v>1422</v>
      </c>
      <c r="D12" s="1182"/>
      <c r="E12" s="1027"/>
    </row>
    <row r="13" spans="2:10" s="295" customFormat="1" ht="12.75" customHeight="1" x14ac:dyDescent="0.2">
      <c r="B13" s="1183"/>
      <c r="C13" s="1148"/>
      <c r="D13" s="1148"/>
      <c r="E13" s="1027"/>
    </row>
    <row r="14" spans="2:10" s="295" customFormat="1" ht="12.75" customHeight="1" x14ac:dyDescent="0.2">
      <c r="B14" s="1130" t="s">
        <v>1269</v>
      </c>
      <c r="C14" s="1051"/>
      <c r="E14" s="1027"/>
    </row>
    <row r="15" spans="2:10" s="295" customFormat="1" ht="13.5" customHeight="1" x14ac:dyDescent="0.2">
      <c r="B15" s="1184" t="s">
        <v>1266</v>
      </c>
      <c r="C15" s="1185"/>
      <c r="D15" s="1159"/>
      <c r="E15" s="1186"/>
      <c r="F15" s="1069" t="s">
        <v>878</v>
      </c>
      <c r="G15" s="1186" t="s">
        <v>2068</v>
      </c>
      <c r="H15" s="1069" t="s">
        <v>1264</v>
      </c>
      <c r="I15" s="1069"/>
    </row>
    <row r="16" spans="2:10" s="295" customFormat="1" ht="8.4499999999999993" customHeight="1" x14ac:dyDescent="0.2">
      <c r="B16" s="1130"/>
      <c r="C16" s="1051"/>
      <c r="E16" s="1145"/>
      <c r="F16" s="1069"/>
      <c r="G16" s="300"/>
      <c r="H16" s="1069"/>
      <c r="I16" s="1069"/>
    </row>
    <row r="17" spans="2:9" s="295" customFormat="1" ht="13.5" customHeight="1" x14ac:dyDescent="0.2">
      <c r="B17" s="1184" t="s">
        <v>1265</v>
      </c>
      <c r="C17" s="1185"/>
      <c r="D17" s="1159"/>
      <c r="E17" s="1187"/>
      <c r="F17" s="1026"/>
      <c r="G17" s="1187"/>
      <c r="H17" s="1069"/>
      <c r="I17" s="1069"/>
    </row>
    <row r="18" spans="2:9" s="295" customFormat="1" ht="12.75" customHeight="1" x14ac:dyDescent="0.2">
      <c r="B18" s="1184" t="s">
        <v>1423</v>
      </c>
      <c r="C18" s="1185"/>
      <c r="D18" s="1159"/>
      <c r="E18" s="1186"/>
      <c r="F18" s="1069" t="s">
        <v>878</v>
      </c>
      <c r="G18" s="1186" t="s">
        <v>2068</v>
      </c>
      <c r="H18" s="1069" t="s">
        <v>1264</v>
      </c>
      <c r="I18" s="1069"/>
    </row>
    <row r="19" spans="2:9" s="295" customFormat="1" ht="8.4499999999999993" customHeight="1" x14ac:dyDescent="0.2">
      <c r="B19" s="1130"/>
      <c r="C19" s="1051"/>
      <c r="E19" s="1145"/>
      <c r="F19" s="1069"/>
      <c r="G19" s="300"/>
      <c r="H19" s="1069"/>
      <c r="I19" s="1069"/>
    </row>
    <row r="20" spans="2:9" s="295" customFormat="1" ht="13.5" customHeight="1" x14ac:dyDescent="0.2">
      <c r="B20" s="1184" t="s">
        <v>1571</v>
      </c>
      <c r="C20" s="1185"/>
      <c r="D20" s="1159"/>
      <c r="E20" s="1186"/>
      <c r="F20" s="1069" t="s">
        <v>878</v>
      </c>
      <c r="G20" s="1186" t="s">
        <v>2068</v>
      </c>
      <c r="H20" s="1069" t="s">
        <v>99</v>
      </c>
      <c r="I20" s="1069"/>
    </row>
    <row r="21" spans="2:9" s="295" customFormat="1" ht="12.75" customHeight="1" x14ac:dyDescent="0.2">
      <c r="B21" s="1130"/>
      <c r="C21" s="1051"/>
      <c r="E21" s="1145"/>
      <c r="F21" s="1069"/>
      <c r="G21" s="300"/>
      <c r="H21" s="1069"/>
      <c r="I21" s="1069"/>
    </row>
    <row r="22" spans="2:9" s="295" customFormat="1" ht="12.75" customHeight="1" x14ac:dyDescent="0.2">
      <c r="B22" s="1178" t="s">
        <v>1268</v>
      </c>
      <c r="C22" s="1188"/>
      <c r="D22" s="1179"/>
      <c r="E22" s="1145"/>
      <c r="F22" s="1069"/>
      <c r="G22" s="300"/>
      <c r="H22" s="1069"/>
      <c r="I22" s="1069"/>
    </row>
    <row r="23" spans="2:9" s="295" customFormat="1" ht="12.75" customHeight="1" x14ac:dyDescent="0.2">
      <c r="B23" s="1130" t="s">
        <v>1267</v>
      </c>
      <c r="C23" s="1051"/>
      <c r="E23" s="1145"/>
      <c r="F23" s="1069"/>
      <c r="G23" s="300"/>
      <c r="H23" s="1069"/>
      <c r="I23" s="1069"/>
    </row>
    <row r="24" spans="2:9" s="295" customFormat="1" ht="13.5" customHeight="1" x14ac:dyDescent="0.2">
      <c r="B24" s="1184" t="s">
        <v>1266</v>
      </c>
      <c r="C24" s="1185"/>
      <c r="D24" s="1159"/>
      <c r="E24" s="1186"/>
      <c r="F24" s="1069" t="s">
        <v>878</v>
      </c>
      <c r="G24" s="1186" t="s">
        <v>2068</v>
      </c>
      <c r="H24" s="1069" t="s">
        <v>1264</v>
      </c>
      <c r="I24" s="1069"/>
    </row>
    <row r="25" spans="2:9" s="295" customFormat="1" ht="8.4499999999999993" customHeight="1" x14ac:dyDescent="0.2">
      <c r="B25" s="1130"/>
      <c r="C25" s="1051"/>
      <c r="E25" s="1145"/>
      <c r="F25" s="1069"/>
      <c r="G25" s="300"/>
      <c r="H25" s="1069"/>
      <c r="I25" s="1069"/>
    </row>
    <row r="26" spans="2:9" s="295" customFormat="1" ht="13.5" customHeight="1" x14ac:dyDescent="0.2">
      <c r="B26" s="1184" t="s">
        <v>1265</v>
      </c>
      <c r="C26" s="1185"/>
      <c r="D26" s="1159"/>
      <c r="E26" s="1187"/>
      <c r="F26" s="1026"/>
      <c r="G26" s="1187"/>
      <c r="H26" s="1069"/>
      <c r="I26" s="1069"/>
    </row>
    <row r="27" spans="2:9" s="295" customFormat="1" ht="12.75" customHeight="1" x14ac:dyDescent="0.2">
      <c r="B27" s="1184" t="s">
        <v>1423</v>
      </c>
      <c r="C27" s="1185"/>
      <c r="D27" s="1159"/>
      <c r="E27" s="1186"/>
      <c r="F27" s="1069" t="s">
        <v>878</v>
      </c>
      <c r="G27" s="1186" t="s">
        <v>2068</v>
      </c>
      <c r="H27" s="1069" t="s">
        <v>1264</v>
      </c>
      <c r="I27" s="1069"/>
    </row>
    <row r="28" spans="2:9" s="295" customFormat="1" ht="12.75" customHeight="1" x14ac:dyDescent="0.2">
      <c r="B28" s="1130"/>
      <c r="C28" s="1051"/>
      <c r="E28" s="1027"/>
    </row>
    <row r="29" spans="2:9" s="295" customFormat="1" ht="12.75" customHeight="1" x14ac:dyDescent="0.2">
      <c r="B29" s="1130" t="s">
        <v>1263</v>
      </c>
      <c r="C29" s="1051"/>
      <c r="D29" s="2626" t="s">
        <v>2126</v>
      </c>
      <c r="E29" s="2626"/>
      <c r="F29" s="2626"/>
      <c r="G29" s="2626"/>
      <c r="H29" s="2626"/>
      <c r="I29" s="2626"/>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7"/>
    </row>
    <row r="32" spans="2:9" s="295" customFormat="1" x14ac:dyDescent="0.2">
      <c r="B32" s="1130" t="s">
        <v>1262</v>
      </c>
      <c r="C32" s="1051"/>
      <c r="E32" s="1027"/>
    </row>
    <row r="33" spans="2:9" ht="13.5" customHeight="1" x14ac:dyDescent="0.2">
      <c r="B33" s="1130" t="s">
        <v>1532</v>
      </c>
      <c r="C33" s="1051"/>
      <c r="E33" s="1186"/>
      <c r="F33" s="1069" t="s">
        <v>878</v>
      </c>
      <c r="G33" s="1186" t="s">
        <v>2068</v>
      </c>
      <c r="H33" s="1069" t="s">
        <v>99</v>
      </c>
    </row>
    <row r="35" spans="2:9" x14ac:dyDescent="0.2">
      <c r="B35" s="1189" t="s">
        <v>1720</v>
      </c>
      <c r="C35" s="1190"/>
      <c r="D35" s="1036"/>
    </row>
    <row r="36" spans="2:9" ht="6" customHeight="1" x14ac:dyDescent="0.2">
      <c r="B36" s="1189"/>
      <c r="C36" s="1190"/>
      <c r="D36" s="1036"/>
    </row>
    <row r="37" spans="2:9" ht="17.25" customHeight="1" x14ac:dyDescent="0.2">
      <c r="B37" s="1191" t="s">
        <v>1721</v>
      </c>
      <c r="C37" s="2627" t="s">
        <v>1722</v>
      </c>
      <c r="D37" s="2628"/>
      <c r="E37" s="2628"/>
      <c r="F37" s="2629"/>
      <c r="G37" s="2627" t="s">
        <v>1572</v>
      </c>
      <c r="H37" s="2628"/>
      <c r="I37" s="2629"/>
    </row>
    <row r="38" spans="2:9" ht="16.5" customHeight="1" x14ac:dyDescent="0.2">
      <c r="B38" s="1192">
        <v>84.027000000000001</v>
      </c>
      <c r="C38" s="2615" t="s">
        <v>2127</v>
      </c>
      <c r="D38" s="2616"/>
      <c r="E38" s="2616"/>
      <c r="F38" s="2617"/>
      <c r="G38" s="2630">
        <v>16852680</v>
      </c>
      <c r="H38" s="2631"/>
      <c r="I38" s="2632"/>
    </row>
    <row r="39" spans="2:9" ht="16.5" customHeight="1" x14ac:dyDescent="0.2">
      <c r="B39" s="1192">
        <v>84.173000000000002</v>
      </c>
      <c r="C39" s="2615" t="s">
        <v>2128</v>
      </c>
      <c r="D39" s="2616"/>
      <c r="E39" s="2616"/>
      <c r="F39" s="2617"/>
      <c r="G39" s="2618">
        <v>503275</v>
      </c>
      <c r="H39" s="2618"/>
      <c r="I39" s="2618"/>
    </row>
    <row r="40" spans="2:9" ht="16.5" customHeight="1" x14ac:dyDescent="0.2">
      <c r="B40" s="1192"/>
      <c r="C40" s="2615"/>
      <c r="D40" s="2616"/>
      <c r="E40" s="2616"/>
      <c r="F40" s="2617"/>
      <c r="G40" s="2618"/>
      <c r="H40" s="2618"/>
      <c r="I40" s="2618"/>
    </row>
    <row r="41" spans="2:9" ht="16.5" customHeight="1" x14ac:dyDescent="0.2">
      <c r="B41" s="1192"/>
      <c r="C41" s="2615"/>
      <c r="D41" s="2616"/>
      <c r="E41" s="2616"/>
      <c r="F41" s="2617"/>
      <c r="G41" s="2618"/>
      <c r="H41" s="2618"/>
      <c r="I41" s="2618"/>
    </row>
    <row r="42" spans="2:9" ht="16.5" customHeight="1" x14ac:dyDescent="0.2">
      <c r="B42" s="1192"/>
      <c r="C42" s="2615"/>
      <c r="D42" s="2616"/>
      <c r="E42" s="2616"/>
      <c r="F42" s="2617"/>
      <c r="G42" s="2618"/>
      <c r="H42" s="2618"/>
      <c r="I42" s="2618"/>
    </row>
    <row r="43" spans="2:9" ht="16.5" customHeight="1" x14ac:dyDescent="0.2">
      <c r="B43" s="1192"/>
      <c r="C43" s="2608" t="s">
        <v>1573</v>
      </c>
      <c r="D43" s="2609"/>
      <c r="E43" s="2609"/>
      <c r="F43" s="2610"/>
      <c r="G43" s="2611">
        <f>SUM(G38:I42)</f>
        <v>17355955</v>
      </c>
      <c r="H43" s="2611"/>
      <c r="I43" s="2611"/>
    </row>
    <row r="44" spans="2:9" ht="12.75" customHeight="1" x14ac:dyDescent="0.2"/>
    <row r="45" spans="2:9" ht="12.75" customHeight="1" x14ac:dyDescent="0.2">
      <c r="B45" s="1897" t="str">
        <f>"Total Federal Expenditures for 7/1/"&amp;MID('AFR20'!E2,3,2)-1&amp;"-6/30/"&amp;MID('AFR20'!E2,3,2)</f>
        <v>Total Federal Expenditures for 7/1/19-6/30/20</v>
      </c>
      <c r="C45" s="1898"/>
      <c r="D45" s="2612">
        <v>17909777</v>
      </c>
      <c r="E45" s="2613"/>
    </row>
    <row r="46" spans="2:9" ht="5.25" customHeight="1" x14ac:dyDescent="0.2">
      <c r="B46" s="1193"/>
      <c r="D46" s="1194"/>
      <c r="E46" s="1195"/>
    </row>
    <row r="47" spans="2:9" ht="12.75" customHeight="1" x14ac:dyDescent="0.2">
      <c r="B47" s="1069" t="s">
        <v>1574</v>
      </c>
      <c r="C47" s="1069"/>
      <c r="D47" s="1196">
        <f>+G43/D45</f>
        <v>0.96907711357880111</v>
      </c>
      <c r="E47" s="1197"/>
      <c r="F47" s="1198"/>
      <c r="I47" s="1199"/>
    </row>
    <row r="48" spans="2:9" ht="9.9499999999999993" customHeight="1" x14ac:dyDescent="0.2"/>
    <row r="49" spans="1:9" x14ac:dyDescent="0.2">
      <c r="B49" s="1130" t="s">
        <v>1261</v>
      </c>
      <c r="C49" s="1051"/>
      <c r="D49" s="1051"/>
      <c r="E49" s="2614">
        <v>750000</v>
      </c>
      <c r="F49" s="2614"/>
      <c r="G49" s="2614"/>
      <c r="H49" s="300"/>
    </row>
    <row r="51" spans="1:9" ht="13.5" customHeight="1" x14ac:dyDescent="0.2">
      <c r="B51" s="1130" t="s">
        <v>1260</v>
      </c>
      <c r="C51" s="1051"/>
      <c r="E51" s="1186" t="s">
        <v>2068</v>
      </c>
      <c r="F51" s="1069" t="s">
        <v>878</v>
      </c>
      <c r="G51" s="1186"/>
      <c r="H51" s="1069" t="s">
        <v>99</v>
      </c>
    </row>
    <row r="52" spans="1:9" x14ac:dyDescent="0.2">
      <c r="B52" s="1122"/>
      <c r="C52" s="1066"/>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1575</v>
      </c>
      <c r="C55" s="1206"/>
      <c r="D55" s="1206"/>
    </row>
    <row r="56" spans="1:9" s="1209" customFormat="1" ht="12.75" customHeight="1" x14ac:dyDescent="0.2">
      <c r="A56" s="1206"/>
      <c r="B56" s="1210" t="s">
        <v>1576</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1577</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9" t="str">
        <f>'Single Audit Cover'!A7</f>
        <v xml:space="preserve">  Special Ed Dist of Lake Cty (SEDOL)</v>
      </c>
      <c r="C1" s="2619"/>
      <c r="D1" s="2619"/>
      <c r="E1" s="2619"/>
      <c r="F1" s="2619"/>
      <c r="G1" s="2619"/>
      <c r="H1" s="2619"/>
      <c r="I1" s="2619"/>
      <c r="J1" s="2619"/>
      <c r="K1" s="2619"/>
      <c r="L1" s="1136"/>
      <c r="M1" s="1136"/>
    </row>
    <row r="2" spans="1:13" ht="12" customHeight="1" x14ac:dyDescent="0.2">
      <c r="B2" s="2621">
        <f>'Single Audit Cover'!E7</f>
        <v>34049825060</v>
      </c>
      <c r="C2" s="2621"/>
      <c r="D2" s="2621"/>
      <c r="E2" s="2621"/>
      <c r="F2" s="2621"/>
      <c r="G2" s="2621"/>
      <c r="H2" s="2621"/>
      <c r="I2" s="2621"/>
      <c r="J2" s="2621"/>
      <c r="K2" s="2621"/>
      <c r="L2" s="1137"/>
      <c r="M2" s="1138"/>
    </row>
    <row r="3" spans="1:13" ht="10.35" customHeight="1" x14ac:dyDescent="0.2">
      <c r="B3" s="2635" t="s">
        <v>1273</v>
      </c>
      <c r="C3" s="2635"/>
      <c r="D3" s="2635"/>
      <c r="E3" s="2635"/>
      <c r="F3" s="2635"/>
      <c r="G3" s="2635"/>
      <c r="H3" s="2635"/>
      <c r="I3" s="2635"/>
      <c r="J3" s="2635"/>
      <c r="K3" s="2635"/>
      <c r="L3" s="1139"/>
      <c r="M3" s="1139"/>
    </row>
    <row r="4" spans="1:13" ht="14.25" customHeight="1" x14ac:dyDescent="0.2">
      <c r="B4" s="2636" t="str">
        <f>'Single Audit Cover'!A4</f>
        <v>Year Ending June 30, 2020</v>
      </c>
      <c r="C4" s="2636"/>
      <c r="D4" s="2636"/>
      <c r="E4" s="2636"/>
      <c r="F4" s="2636"/>
      <c r="G4" s="2636"/>
      <c r="H4" s="2636"/>
      <c r="I4" s="2636"/>
      <c r="J4" s="2636"/>
      <c r="K4" s="2636"/>
      <c r="L4" s="291"/>
      <c r="M4" s="291"/>
    </row>
    <row r="5" spans="1:13" ht="7.5" customHeight="1" x14ac:dyDescent="0.2">
      <c r="B5" s="1029" t="s">
        <v>1158</v>
      </c>
      <c r="C5" s="1029"/>
    </row>
    <row r="6" spans="1:13" ht="7.5" customHeight="1" x14ac:dyDescent="0.2">
      <c r="B6" s="1140"/>
      <c r="C6" s="1140"/>
      <c r="D6" s="1141"/>
      <c r="E6" s="1141"/>
      <c r="F6" s="1141"/>
      <c r="G6" s="1142"/>
      <c r="H6" s="1141"/>
      <c r="I6" s="1142"/>
      <c r="J6" s="1141"/>
      <c r="K6" s="1141"/>
      <c r="L6" s="1143"/>
    </row>
    <row r="7" spans="1:13" ht="12.75" customHeight="1" x14ac:dyDescent="0.2">
      <c r="A7" s="1051"/>
      <c r="B7" s="2636" t="s">
        <v>1284</v>
      </c>
      <c r="C7" s="2636"/>
      <c r="D7" s="2637"/>
      <c r="E7" s="2637"/>
      <c r="F7" s="2637"/>
      <c r="G7" s="2637"/>
      <c r="H7" s="2637"/>
      <c r="I7" s="2637"/>
      <c r="J7" s="2637"/>
      <c r="K7" s="263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99" t="str">
        <f>'AFR20'!$E$2&amp;"-"</f>
        <v>2020-</v>
      </c>
      <c r="D10" s="1147" t="s">
        <v>2109</v>
      </c>
      <c r="E10" s="300"/>
      <c r="F10" s="1148" t="s">
        <v>1283</v>
      </c>
      <c r="G10" s="1149"/>
      <c r="H10" s="1150" t="s">
        <v>1282</v>
      </c>
      <c r="I10" s="1149"/>
      <c r="J10" s="1151" t="s">
        <v>1281</v>
      </c>
      <c r="K10" s="300"/>
      <c r="L10" s="1143"/>
    </row>
    <row r="11" spans="1:13" ht="13.5" customHeight="1" x14ac:dyDescent="0.2">
      <c r="B11" s="300"/>
      <c r="C11" s="300"/>
      <c r="D11" s="300"/>
      <c r="E11" s="300"/>
      <c r="F11" s="300"/>
      <c r="G11" s="1145"/>
      <c r="H11" s="300"/>
      <c r="I11" s="1152" t="s">
        <v>1280</v>
      </c>
      <c r="J11" s="300"/>
      <c r="K11" s="1153"/>
      <c r="L11" s="1143"/>
    </row>
    <row r="12" spans="1:13" ht="13.5" customHeight="1" x14ac:dyDescent="0.2">
      <c r="B12" s="1063"/>
      <c r="C12" s="1063"/>
      <c r="D12" s="300"/>
      <c r="E12" s="300"/>
      <c r="F12" s="300"/>
      <c r="G12" s="1145"/>
      <c r="H12" s="300"/>
      <c r="I12" s="1145"/>
      <c r="J12" s="300"/>
      <c r="L12" s="1143"/>
    </row>
    <row r="13" spans="1:13" s="1051" customFormat="1" ht="13.5" customHeight="1" x14ac:dyDescent="0.2">
      <c r="B13" s="1154" t="s">
        <v>1279</v>
      </c>
      <c r="C13" s="1154"/>
      <c r="D13" s="1155"/>
      <c r="E13" s="1155"/>
      <c r="F13" s="1155"/>
      <c r="G13" s="1156"/>
      <c r="H13" s="1155"/>
      <c r="I13" s="1156"/>
      <c r="J13" s="1155"/>
      <c r="K13" s="1155"/>
      <c r="L13" s="1157"/>
    </row>
    <row r="14" spans="1:13" ht="45.75" customHeight="1" x14ac:dyDescent="0.2">
      <c r="B14" s="2634"/>
      <c r="C14" s="2634"/>
      <c r="D14" s="2634"/>
      <c r="E14" s="2634"/>
      <c r="F14" s="2634"/>
      <c r="G14" s="2634"/>
      <c r="H14" s="2634"/>
      <c r="I14" s="2634"/>
      <c r="J14" s="2634"/>
      <c r="K14" s="2634"/>
      <c r="L14" s="1158"/>
    </row>
    <row r="15" spans="1:13" ht="4.5" customHeight="1" x14ac:dyDescent="0.2">
      <c r="B15" s="1159"/>
      <c r="C15" s="1159"/>
      <c r="D15" s="1160"/>
      <c r="E15" s="1160"/>
      <c r="F15" s="1160"/>
      <c r="H15" s="1160"/>
      <c r="J15" s="1160"/>
      <c r="K15" s="1160"/>
      <c r="L15" s="1158"/>
    </row>
    <row r="16" spans="1:13" s="1051" customFormat="1" ht="13.5" customHeight="1" x14ac:dyDescent="0.2">
      <c r="B16" s="1154" t="s">
        <v>1278</v>
      </c>
      <c r="C16" s="1154"/>
      <c r="D16" s="1155"/>
      <c r="E16" s="1155"/>
      <c r="F16" s="1155"/>
      <c r="G16" s="1156"/>
      <c r="H16" s="1155"/>
      <c r="I16" s="1156"/>
      <c r="J16" s="1155"/>
      <c r="K16" s="1155"/>
      <c r="L16" s="1157"/>
    </row>
    <row r="17" spans="2:12" ht="45.75" customHeight="1" x14ac:dyDescent="0.2">
      <c r="B17" s="2634"/>
      <c r="C17" s="2634"/>
      <c r="D17" s="2634"/>
      <c r="E17" s="2634"/>
      <c r="F17" s="2634"/>
      <c r="G17" s="2634"/>
      <c r="H17" s="2634"/>
      <c r="I17" s="2634"/>
      <c r="J17" s="2634"/>
      <c r="K17" s="2634"/>
      <c r="L17" s="1143"/>
    </row>
    <row r="18" spans="2:12" ht="4.5" customHeight="1" x14ac:dyDescent="0.2">
      <c r="B18" s="1159"/>
      <c r="C18" s="1159"/>
      <c r="L18" s="1143"/>
    </row>
    <row r="19" spans="2:12" s="1051" customFormat="1" ht="13.5" customHeight="1" x14ac:dyDescent="0.2">
      <c r="B19" s="1154" t="s">
        <v>1714</v>
      </c>
      <c r="C19" s="1154"/>
      <c r="D19" s="1155"/>
      <c r="E19" s="1155"/>
      <c r="F19" s="1155"/>
      <c r="G19" s="1156"/>
      <c r="H19" s="1155"/>
      <c r="I19" s="1156"/>
      <c r="J19" s="1155"/>
      <c r="K19" s="1155"/>
      <c r="L19" s="1157"/>
    </row>
    <row r="20" spans="2:12" ht="45.75" customHeight="1" x14ac:dyDescent="0.2">
      <c r="B20" s="2638"/>
      <c r="C20" s="2638"/>
      <c r="D20" s="2634"/>
      <c r="E20" s="2634"/>
      <c r="F20" s="2634"/>
      <c r="G20" s="2634"/>
      <c r="H20" s="2634"/>
      <c r="I20" s="2634"/>
      <c r="J20" s="2634"/>
      <c r="K20" s="2634"/>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634"/>
      <c r="C23" s="2634"/>
      <c r="D23" s="2634"/>
      <c r="E23" s="2634"/>
      <c r="F23" s="2634"/>
      <c r="G23" s="2634"/>
      <c r="H23" s="2634"/>
      <c r="I23" s="2634"/>
      <c r="J23" s="2634"/>
      <c r="K23" s="2634"/>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634"/>
      <c r="C26" s="2634"/>
      <c r="D26" s="2634"/>
      <c r="E26" s="2634"/>
      <c r="F26" s="2634"/>
      <c r="G26" s="2634"/>
      <c r="H26" s="2634"/>
      <c r="I26" s="2634"/>
      <c r="J26" s="2634"/>
      <c r="K26" s="2634"/>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45.75" customHeight="1" x14ac:dyDescent="0.2">
      <c r="B29" s="2633"/>
      <c r="C29" s="2633"/>
      <c r="D29" s="2634"/>
      <c r="E29" s="2634"/>
      <c r="F29" s="2634"/>
      <c r="G29" s="2634"/>
      <c r="H29" s="2634"/>
      <c r="I29" s="2634"/>
      <c r="J29" s="2634"/>
      <c r="K29" s="263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33"/>
      <c r="C32" s="2633"/>
      <c r="D32" s="2634"/>
      <c r="E32" s="2634"/>
      <c r="F32" s="2634"/>
      <c r="G32" s="2634"/>
      <c r="H32" s="2634"/>
      <c r="I32" s="2634"/>
      <c r="J32" s="2634"/>
      <c r="K32" s="2634"/>
      <c r="L32" s="1143"/>
    </row>
    <row r="33" spans="1:13" s="300" customFormat="1" ht="4.5" customHeight="1" x14ac:dyDescent="0.2">
      <c r="B33" s="1163"/>
      <c r="C33" s="1163"/>
      <c r="G33" s="1145"/>
      <c r="I33" s="1145"/>
      <c r="L33" s="1143"/>
    </row>
    <row r="34" spans="1:13" s="300" customFormat="1" x14ac:dyDescent="0.2">
      <c r="A34" s="1066"/>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9" t="s">
        <v>1807</v>
      </c>
      <c r="C36" s="1069"/>
      <c r="L36" s="1143"/>
    </row>
    <row r="37" spans="1:13" ht="9.6" customHeight="1" x14ac:dyDescent="0.2">
      <c r="B37" s="1069" t="s">
        <v>1808</v>
      </c>
      <c r="C37" s="1069"/>
    </row>
    <row r="38" spans="1:13" ht="11.85" customHeight="1" x14ac:dyDescent="0.2">
      <c r="B38" s="1168" t="s">
        <v>1717</v>
      </c>
      <c r="C38" s="1168"/>
    </row>
    <row r="39" spans="1:13" ht="9.6" customHeight="1" x14ac:dyDescent="0.2">
      <c r="B39" s="1069" t="s">
        <v>1274</v>
      </c>
      <c r="C39" s="1069"/>
      <c r="M39" s="1169"/>
    </row>
    <row r="40" spans="1:13" ht="12.6" customHeight="1" x14ac:dyDescent="0.2">
      <c r="B40" s="1168" t="s">
        <v>1718</v>
      </c>
      <c r="C40" s="1168"/>
      <c r="M40" s="1169"/>
    </row>
    <row r="41" spans="1:13" ht="9.6" customHeight="1" x14ac:dyDescent="0.2">
      <c r="B41" s="1069"/>
      <c r="C41" s="1069"/>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2" t="str">
        <f>'Single Audit Cover'!A7</f>
        <v xml:space="preserve">  Special Ed Dist of Lake Cty (SEDOL)</v>
      </c>
      <c r="C1" s="2642"/>
      <c r="D1" s="2642"/>
      <c r="E1" s="2642"/>
      <c r="F1" s="2642"/>
      <c r="G1" s="2642"/>
      <c r="H1" s="2642"/>
      <c r="I1" s="2642"/>
      <c r="J1" s="2642"/>
      <c r="K1" s="2642"/>
      <c r="L1" s="1213"/>
    </row>
    <row r="2" spans="1:12" ht="12.75" customHeight="1" x14ac:dyDescent="0.2">
      <c r="B2" s="2643">
        <f>'Single Audit Cover'!E7</f>
        <v>34049825060</v>
      </c>
      <c r="C2" s="2643"/>
      <c r="D2" s="2643"/>
      <c r="E2" s="2643"/>
      <c r="F2" s="2643"/>
      <c r="G2" s="2643"/>
      <c r="H2" s="2643"/>
      <c r="I2" s="2643"/>
      <c r="J2" s="2643"/>
      <c r="K2" s="2643"/>
      <c r="L2" s="1214"/>
    </row>
    <row r="3" spans="1:12" ht="12.75" customHeight="1" x14ac:dyDescent="0.2">
      <c r="B3" s="2635" t="s">
        <v>1273</v>
      </c>
      <c r="C3" s="2635"/>
      <c r="D3" s="2635"/>
      <c r="E3" s="2635"/>
      <c r="F3" s="2635"/>
      <c r="G3" s="2635"/>
      <c r="H3" s="2635"/>
      <c r="I3" s="2635"/>
      <c r="J3" s="2635"/>
      <c r="K3" s="2635"/>
      <c r="L3" s="1139"/>
    </row>
    <row r="4" spans="1:12" ht="12.75" customHeight="1" x14ac:dyDescent="0.2">
      <c r="B4" s="2635" t="str">
        <f>'Single Audit Cover'!A4</f>
        <v>Year Ending June 30, 2020</v>
      </c>
      <c r="C4" s="2635"/>
      <c r="D4" s="2635"/>
      <c r="E4" s="2635"/>
      <c r="F4" s="2635"/>
      <c r="G4" s="2635"/>
      <c r="H4" s="2635"/>
      <c r="I4" s="2635"/>
      <c r="J4" s="2635"/>
      <c r="K4" s="2635"/>
      <c r="L4" s="1139"/>
    </row>
    <row r="5" spans="1:12" ht="5.25" customHeight="1" x14ac:dyDescent="0.2">
      <c r="B5" s="1029" t="s">
        <v>1158</v>
      </c>
      <c r="C5" s="1029"/>
      <c r="L5" s="300"/>
    </row>
    <row r="6" spans="1:12" ht="30.75" customHeight="1" x14ac:dyDescent="0.2">
      <c r="A6" s="300"/>
      <c r="B6" s="2644" t="s">
        <v>1296</v>
      </c>
      <c r="C6" s="2644"/>
      <c r="D6" s="2644"/>
      <c r="E6" s="2644"/>
      <c r="F6" s="2644"/>
      <c r="G6" s="2644"/>
      <c r="H6" s="2644"/>
      <c r="I6" s="2644"/>
      <c r="J6" s="2644"/>
      <c r="K6" s="2644"/>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99" t="str">
        <f>'AFR20'!$E$2&amp;"-"</f>
        <v>2020-</v>
      </c>
      <c r="D8" s="1215" t="s">
        <v>2109</v>
      </c>
      <c r="E8" s="300"/>
      <c r="F8" s="1146" t="s">
        <v>1283</v>
      </c>
      <c r="G8" s="1216"/>
      <c r="H8" s="1217" t="s">
        <v>1295</v>
      </c>
      <c r="I8" s="1216"/>
      <c r="J8" s="1218" t="s">
        <v>1294</v>
      </c>
      <c r="L8" s="300"/>
    </row>
    <row r="9" spans="1:12" ht="13.5" customHeight="1" x14ac:dyDescent="0.2">
      <c r="D9" s="300"/>
      <c r="E9" s="300"/>
      <c r="F9" s="300"/>
      <c r="G9" s="1145"/>
      <c r="H9" s="300"/>
      <c r="I9" s="1219" t="s">
        <v>1280</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1293</v>
      </c>
      <c r="C12" s="1146"/>
      <c r="D12" s="282"/>
      <c r="E12" s="300"/>
      <c r="F12" s="2626"/>
      <c r="G12" s="2626"/>
      <c r="H12" s="2626"/>
      <c r="I12" s="2626"/>
      <c r="J12" s="2626"/>
      <c r="K12" s="2626"/>
      <c r="L12" s="300"/>
    </row>
    <row r="13" spans="1:12" ht="9.6" customHeight="1" x14ac:dyDescent="0.2">
      <c r="B13" s="1026"/>
      <c r="C13" s="1026"/>
      <c r="D13" s="282"/>
      <c r="E13" s="300"/>
      <c r="F13" s="300"/>
      <c r="G13" s="1145"/>
      <c r="H13" s="300"/>
      <c r="I13" s="1145"/>
      <c r="J13" s="300"/>
      <c r="K13" s="1180"/>
      <c r="L13" s="300"/>
    </row>
    <row r="14" spans="1:12" ht="13.5" customHeight="1" x14ac:dyDescent="0.2">
      <c r="B14" s="1148" t="s">
        <v>1292</v>
      </c>
      <c r="C14" s="1148"/>
      <c r="D14" s="2639"/>
      <c r="E14" s="2639"/>
      <c r="F14" s="2639"/>
      <c r="H14" s="1222" t="s">
        <v>1291</v>
      </c>
      <c r="I14" s="2640"/>
      <c r="J14" s="2640"/>
      <c r="K14" s="2640"/>
      <c r="L14" s="300"/>
    </row>
    <row r="15" spans="1:12" ht="9.4" customHeight="1" x14ac:dyDescent="0.2">
      <c r="B15" s="1148"/>
      <c r="C15" s="1148"/>
      <c r="D15" s="1135"/>
      <c r="E15" s="1029"/>
      <c r="F15" s="1029"/>
      <c r="G15" s="1055"/>
      <c r="H15" s="1029"/>
      <c r="I15" s="1223"/>
      <c r="J15" s="1063"/>
      <c r="K15" s="1060"/>
      <c r="L15" s="300"/>
    </row>
    <row r="16" spans="1:12" ht="13.5" customHeight="1" x14ac:dyDescent="0.2">
      <c r="B16" s="1148" t="s">
        <v>1290</v>
      </c>
      <c r="C16" s="1148"/>
      <c r="D16" s="2640"/>
      <c r="E16" s="2640"/>
      <c r="F16" s="2640"/>
      <c r="G16" s="2640"/>
      <c r="H16" s="2640"/>
      <c r="I16" s="2640"/>
      <c r="J16" s="2640"/>
      <c r="K16" s="2640"/>
      <c r="L16" s="300"/>
    </row>
    <row r="17" spans="2:12" ht="13.5" customHeight="1" x14ac:dyDescent="0.2">
      <c r="B17" s="1148" t="s">
        <v>1289</v>
      </c>
      <c r="C17" s="1148"/>
      <c r="D17" s="2641"/>
      <c r="E17" s="2641"/>
      <c r="F17" s="2641"/>
      <c r="G17" s="2641"/>
      <c r="H17" s="2641"/>
      <c r="I17" s="2641"/>
      <c r="J17" s="2641"/>
      <c r="K17" s="2641"/>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1288</v>
      </c>
      <c r="C19" s="1224"/>
      <c r="D19" s="306"/>
      <c r="E19" s="306"/>
      <c r="F19" s="306"/>
      <c r="G19" s="1225"/>
      <c r="H19" s="306"/>
      <c r="I19" s="1225"/>
      <c r="J19" s="300"/>
      <c r="K19" s="300"/>
      <c r="L19" s="300"/>
    </row>
    <row r="20" spans="2:12" ht="35.25" customHeight="1" x14ac:dyDescent="0.2">
      <c r="B20" s="2634"/>
      <c r="C20" s="2634"/>
      <c r="D20" s="2634"/>
      <c r="E20" s="2634"/>
      <c r="F20" s="2634"/>
      <c r="G20" s="2634"/>
      <c r="H20" s="2634"/>
      <c r="I20" s="2634"/>
      <c r="J20" s="2634"/>
      <c r="K20" s="263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34"/>
      <c r="C23" s="2634"/>
      <c r="D23" s="2634"/>
      <c r="E23" s="2634"/>
      <c r="F23" s="2634"/>
      <c r="G23" s="2634"/>
      <c r="H23" s="2634"/>
      <c r="I23" s="2634"/>
      <c r="J23" s="2634"/>
      <c r="K23" s="263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34"/>
      <c r="C26" s="2634"/>
      <c r="D26" s="2634"/>
      <c r="E26" s="2634"/>
      <c r="F26" s="2634"/>
      <c r="G26" s="2634"/>
      <c r="H26" s="2634"/>
      <c r="I26" s="2634"/>
      <c r="J26" s="2634"/>
      <c r="K26" s="263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34"/>
      <c r="C29" s="2634"/>
      <c r="D29" s="2634"/>
      <c r="E29" s="2634"/>
      <c r="F29" s="2634"/>
      <c r="G29" s="2634"/>
      <c r="H29" s="2634"/>
      <c r="I29" s="2634"/>
      <c r="J29" s="2634"/>
      <c r="K29" s="263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1287</v>
      </c>
      <c r="C31" s="1224"/>
      <c r="D31" s="300"/>
      <c r="E31" s="300"/>
      <c r="F31" s="300"/>
      <c r="G31" s="1145"/>
      <c r="H31" s="300"/>
      <c r="I31" s="1145"/>
      <c r="J31" s="300"/>
      <c r="K31" s="300"/>
      <c r="L31" s="300"/>
    </row>
    <row r="32" spans="2:12" ht="37.5" customHeight="1" x14ac:dyDescent="0.2">
      <c r="B32" s="2634"/>
      <c r="C32" s="2634"/>
      <c r="D32" s="2634"/>
      <c r="E32" s="2634"/>
      <c r="F32" s="2634"/>
      <c r="G32" s="2634"/>
      <c r="H32" s="2634"/>
      <c r="I32" s="2634"/>
      <c r="J32" s="2634"/>
      <c r="K32" s="263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1286</v>
      </c>
      <c r="C34" s="1146"/>
      <c r="D34" s="300"/>
      <c r="E34" s="300"/>
      <c r="F34" s="300"/>
      <c r="G34" s="1145"/>
      <c r="H34" s="300"/>
      <c r="I34" s="1145"/>
      <c r="J34" s="300"/>
      <c r="K34" s="300"/>
      <c r="L34" s="300"/>
    </row>
    <row r="35" spans="2:12" ht="37.5" customHeight="1" x14ac:dyDescent="0.2">
      <c r="B35" s="2634"/>
      <c r="C35" s="2634"/>
      <c r="D35" s="2634"/>
      <c r="E35" s="2634"/>
      <c r="F35" s="2634"/>
      <c r="G35" s="2634"/>
      <c r="H35" s="2634"/>
      <c r="I35" s="2634"/>
      <c r="J35" s="2634"/>
      <c r="K35" s="263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1285</v>
      </c>
      <c r="C37" s="1146"/>
      <c r="D37" s="300"/>
      <c r="E37" s="300"/>
      <c r="F37" s="300"/>
      <c r="G37" s="1145"/>
      <c r="H37" s="300"/>
      <c r="I37" s="1145"/>
      <c r="J37" s="300"/>
      <c r="K37" s="300"/>
      <c r="L37" s="300"/>
    </row>
    <row r="38" spans="2:12" ht="35.25" customHeight="1" x14ac:dyDescent="0.2">
      <c r="B38" s="2634"/>
      <c r="C38" s="2634"/>
      <c r="D38" s="2634"/>
      <c r="E38" s="2634"/>
      <c r="F38" s="2634"/>
      <c r="G38" s="2634"/>
      <c r="H38" s="2634"/>
      <c r="I38" s="2634"/>
      <c r="J38" s="2634"/>
      <c r="K38" s="263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34"/>
      <c r="C41" s="2634"/>
      <c r="D41" s="2634"/>
      <c r="E41" s="2634"/>
      <c r="F41" s="2634"/>
      <c r="G41" s="2634"/>
      <c r="H41" s="2634"/>
      <c r="I41" s="2634"/>
      <c r="J41" s="2634"/>
      <c r="K41" s="263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9" t="str">
        <f>'Single Audit Cover'!A7</f>
        <v xml:space="preserve">  Special Ed Dist of Lake Cty (SEDOL)</v>
      </c>
      <c r="C1" s="2619"/>
      <c r="D1" s="2619"/>
      <c r="E1" s="1232"/>
    </row>
    <row r="2" spans="2:5" s="1051" customFormat="1" ht="12.75" customHeight="1" x14ac:dyDescent="0.2">
      <c r="B2" s="2621">
        <f>'Single Audit Cover'!E7</f>
        <v>34049825060</v>
      </c>
      <c r="C2" s="2621"/>
      <c r="D2" s="2621"/>
      <c r="E2" s="1233"/>
    </row>
    <row r="3" spans="2:5" ht="12.75" customHeight="1" x14ac:dyDescent="0.2">
      <c r="B3" s="2635" t="s">
        <v>1737</v>
      </c>
      <c r="C3" s="2635"/>
      <c r="D3" s="2635"/>
      <c r="E3" s="1043"/>
    </row>
    <row r="4" spans="2:5" s="1051" customFormat="1" ht="12.75" customHeight="1" x14ac:dyDescent="0.2">
      <c r="B4" s="2645" t="str">
        <f>'Single Audit Cover'!A4</f>
        <v>Year Ending June 30, 2020</v>
      </c>
      <c r="C4" s="2645"/>
      <c r="D4" s="2645"/>
      <c r="E4" s="1234"/>
    </row>
    <row r="5" spans="2:5" s="1051" customFormat="1" ht="40.15" customHeight="1" x14ac:dyDescent="0.2">
      <c r="B5" s="1235" t="s">
        <v>1738</v>
      </c>
      <c r="C5" s="306"/>
      <c r="D5" s="306"/>
      <c r="E5" s="306"/>
    </row>
    <row r="6" spans="2:5" s="1051" customFormat="1" ht="13.5" customHeight="1" x14ac:dyDescent="0.2">
      <c r="B6" s="1236" t="s">
        <v>1303</v>
      </c>
      <c r="C6" s="1236" t="s">
        <v>1302</v>
      </c>
      <c r="D6" s="1236" t="s">
        <v>1739</v>
      </c>
    </row>
    <row r="7" spans="2:5" ht="13.5" customHeight="1" x14ac:dyDescent="0.2">
      <c r="B7" s="1237" t="s">
        <v>2125</v>
      </c>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6" t="s">
        <v>1301</v>
      </c>
      <c r="C44" s="300"/>
    </row>
    <row r="45" spans="2:5" ht="12.2" customHeight="1" x14ac:dyDescent="0.2">
      <c r="B45" s="1246" t="s">
        <v>1740</v>
      </c>
    </row>
    <row r="46" spans="2:5" ht="12.2" customHeight="1" x14ac:dyDescent="0.2">
      <c r="B46" s="1246" t="s">
        <v>1741</v>
      </c>
    </row>
    <row r="47" spans="2:5" ht="12.2" customHeight="1" x14ac:dyDescent="0.2">
      <c r="B47" s="1247" t="s">
        <v>1300</v>
      </c>
    </row>
    <row r="48" spans="2:5" ht="12.2" customHeight="1" x14ac:dyDescent="0.2">
      <c r="B48" s="1247" t="s">
        <v>1299</v>
      </c>
    </row>
    <row r="49" spans="2:5" ht="12.2" customHeight="1" x14ac:dyDescent="0.2">
      <c r="B49" s="1247" t="s">
        <v>1298</v>
      </c>
    </row>
    <row r="50" spans="2:5" ht="12.2" customHeight="1" x14ac:dyDescent="0.2">
      <c r="B50" s="1247"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9"/>
    </row>
    <row r="69" spans="2:2" x14ac:dyDescent="0.2">
      <c r="B69" s="1069"/>
    </row>
    <row r="70" spans="2:2" x14ac:dyDescent="0.2">
      <c r="B70" s="1168"/>
    </row>
    <row r="71" spans="2:2" x14ac:dyDescent="0.2">
      <c r="B71" s="1168"/>
    </row>
    <row r="72" spans="2:2" x14ac:dyDescent="0.2">
      <c r="B72" s="1168"/>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383</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270</v>
      </c>
      <c r="G7" s="217"/>
      <c r="H7" s="217"/>
      <c r="I7" s="217"/>
      <c r="J7" s="1542"/>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6">
        <f>ROUND(D10+F10+H10,5)</f>
        <v>0</v>
      </c>
      <c r="K10" s="217"/>
      <c r="L10" s="332"/>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8">
        <f>SUM('Acct Summary 7-8'!C8,'Acct Summary 7-8'!D8,'Acct Summary 7-8'!F8,'Acct Summary 7-8'!I8)</f>
        <v>64612589</v>
      </c>
      <c r="E16" s="1539"/>
      <c r="F16" s="1538">
        <f>SUM('Acct Summary 7-8'!C17,'Acct Summary 7-8'!D17,'Acct Summary 7-8'!F17)</f>
        <v>65764045</v>
      </c>
      <c r="G16" s="1539"/>
      <c r="H16" s="1538">
        <f>SUM(D16-F16)</f>
        <v>-1151456</v>
      </c>
      <c r="I16" s="1540"/>
      <c r="J16" s="1538">
        <f>SUM('Acct Summary 7-8'!C81,'Acct Summary 7-8'!D81,'Acct Summary 7-8'!F81,'Acct Summary 7-8'!I81)</f>
        <v>17113685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7"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1">
        <f>'Assets-Liab 5-6'!N36</f>
        <v>2425000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552</v>
      </c>
      <c r="B2" s="2229"/>
      <c r="C2" s="2229"/>
      <c r="D2" s="2229"/>
      <c r="E2" s="2229"/>
      <c r="F2" s="2229"/>
      <c r="G2" s="2229"/>
      <c r="H2" s="2229"/>
      <c r="I2" s="2229"/>
      <c r="J2" s="2229"/>
      <c r="K2" s="2229"/>
      <c r="L2" s="2229"/>
      <c r="M2" s="2229"/>
      <c r="N2" s="2229"/>
      <c r="O2" s="2229"/>
      <c r="P2" s="2229"/>
      <c r="Q2" s="2229"/>
      <c r="R2" s="2229"/>
    </row>
    <row r="3" spans="1:18" ht="12.75" x14ac:dyDescent="0.2">
      <c r="A3" s="2230" t="s">
        <v>1393</v>
      </c>
      <c r="B3" s="2230"/>
      <c r="C3" s="2230"/>
      <c r="D3" s="2230"/>
      <c r="E3" s="2230"/>
      <c r="F3" s="2230"/>
      <c r="G3" s="2230"/>
      <c r="H3" s="2230"/>
      <c r="I3" s="2230"/>
      <c r="J3" s="2230"/>
      <c r="K3" s="2230"/>
      <c r="L3" s="2230"/>
      <c r="M3" s="2230"/>
      <c r="N3" s="2230"/>
      <c r="O3" s="2230"/>
      <c r="P3" s="2230"/>
      <c r="Q3" s="2230"/>
      <c r="R3" s="2230"/>
    </row>
    <row r="4" spans="1:18" x14ac:dyDescent="0.2">
      <c r="A4" s="2231" t="s">
        <v>1534</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Special Ed Dist of Lake Cty (SEDOL)</v>
      </c>
      <c r="E7" s="368"/>
      <c r="G7" s="247"/>
      <c r="H7" s="364"/>
      <c r="I7" s="364"/>
      <c r="J7" s="364"/>
      <c r="K7" s="364"/>
      <c r="L7" s="307"/>
      <c r="M7" s="307"/>
      <c r="N7" s="307"/>
      <c r="O7" s="307"/>
      <c r="P7" s="307"/>
    </row>
    <row r="8" spans="1:18" ht="12.75" x14ac:dyDescent="0.2">
      <c r="A8" s="307"/>
      <c r="B8" s="307"/>
      <c r="C8" s="366" t="s">
        <v>1114</v>
      </c>
      <c r="D8" s="369">
        <f>COVER!A13</f>
        <v>34049825060</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4</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17113685</v>
      </c>
      <c r="I12" s="380"/>
      <c r="J12" s="380"/>
      <c r="K12" s="1551">
        <f>TRUNC((H12/H13*100000),5)/100000</f>
        <v>0.26486610830000001</v>
      </c>
      <c r="L12" s="381"/>
      <c r="M12" s="337" t="s">
        <v>1133</v>
      </c>
      <c r="N12" s="337"/>
      <c r="O12" s="1554">
        <v>0.35</v>
      </c>
      <c r="P12" s="213"/>
      <c r="Q12" s="213"/>
    </row>
    <row r="13" spans="1:18" s="382" customFormat="1" ht="12.75" x14ac:dyDescent="0.2">
      <c r="A13" s="213"/>
      <c r="B13" s="377"/>
      <c r="C13" s="2227" t="s">
        <v>1312</v>
      </c>
      <c r="D13" s="2228"/>
      <c r="E13" s="213"/>
      <c r="F13" s="383" t="s">
        <v>787</v>
      </c>
      <c r="G13" s="378"/>
      <c r="H13" s="1543">
        <f>SUM('Acct Summary 7-8'!C8+'Acct Summary 7-8'!D8+'Acct Summary 7-8'!F8+'Acct Summary 7-8'!I8)+H14</f>
        <v>64612589</v>
      </c>
      <c r="I13" s="380"/>
      <c r="J13" s="380"/>
      <c r="K13" s="1550"/>
      <c r="L13" s="213"/>
      <c r="M13" s="337" t="s">
        <v>1134</v>
      </c>
      <c r="N13" s="337"/>
      <c r="O13" s="1555">
        <f>(O11*O12)</f>
        <v>1.4</v>
      </c>
      <c r="P13" s="213"/>
      <c r="Q13" s="213"/>
      <c r="R13" s="385"/>
    </row>
    <row r="14" spans="1:18" s="382" customFormat="1" ht="12.75" x14ac:dyDescent="0.2">
      <c r="A14" s="213"/>
      <c r="B14" s="377"/>
      <c r="C14" s="235" t="s">
        <v>1377</v>
      </c>
      <c r="D14" s="386"/>
      <c r="E14" s="213"/>
      <c r="F14" s="383" t="s">
        <v>789</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1391</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t="str">
        <f>IF(K17&gt;1.2,"1",IF(K17&gt;1.1,"2",IF(K17&gt;1,"3",4)))</f>
        <v>3</v>
      </c>
      <c r="P16" s="211"/>
      <c r="R16" s="361"/>
    </row>
    <row r="17" spans="1:18" s="382" customFormat="1" ht="11.25" x14ac:dyDescent="0.2">
      <c r="A17" s="213"/>
      <c r="B17" s="377"/>
      <c r="C17" s="213" t="s">
        <v>791</v>
      </c>
      <c r="D17" s="213"/>
      <c r="E17" s="213"/>
      <c r="F17" s="213" t="s">
        <v>441</v>
      </c>
      <c r="G17" s="378"/>
      <c r="H17" s="1543">
        <f>SUM('Acct Summary 7-8'!C17+'Acct Summary 7-8'!D17+'Acct Summary 7-8'!F17)</f>
        <v>65764045</v>
      </c>
      <c r="I17" s="380"/>
      <c r="J17" s="389"/>
      <c r="K17" s="1551">
        <f>TRUNC((H17/H18*100000),5)/100000</f>
        <v>1.0178209234</v>
      </c>
      <c r="L17" s="381"/>
      <c r="M17" s="390" t="s">
        <v>1160</v>
      </c>
      <c r="O17" s="1557" t="str">
        <f>IF(AND(O16="2", J20 &gt; 2),"1",IF(AND(O16 = "1", J20 &gt; 2),"2",IF(AND(O16="1", J20 &gt;1),"1","0")))</f>
        <v>0</v>
      </c>
      <c r="P17" s="213"/>
    </row>
    <row r="18" spans="1:18" s="382" customFormat="1" ht="11.25" x14ac:dyDescent="0.2">
      <c r="A18" s="213"/>
      <c r="B18" s="377"/>
      <c r="C18" s="2227" t="s">
        <v>1305</v>
      </c>
      <c r="D18" s="2228"/>
      <c r="E18" s="213"/>
      <c r="F18" s="391" t="s">
        <v>788</v>
      </c>
      <c r="G18" s="378"/>
      <c r="H18" s="1543">
        <f>SUM('Acct Summary 7-8'!C8+'Acct Summary 7-8'!D8+'Acct Summary 7-8'!F8+'Acct Summary 7-8'!I8)+H19</f>
        <v>64612589</v>
      </c>
      <c r="I18" s="380"/>
      <c r="J18" s="380"/>
      <c r="K18" s="1550"/>
      <c r="L18" s="213"/>
      <c r="M18" s="337" t="s">
        <v>1133</v>
      </c>
      <c r="N18" s="337"/>
      <c r="O18" s="1550">
        <v>0.35</v>
      </c>
      <c r="P18" s="213"/>
    </row>
    <row r="19" spans="1:18" s="382" customFormat="1" ht="11.25" x14ac:dyDescent="0.2">
      <c r="A19" s="213"/>
      <c r="B19" s="377"/>
      <c r="C19" s="235" t="s">
        <v>1377</v>
      </c>
      <c r="D19" s="386"/>
      <c r="E19" s="213"/>
      <c r="F19" s="391" t="s">
        <v>789</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1391</v>
      </c>
      <c r="D20" s="213"/>
      <c r="E20" s="213"/>
      <c r="F20" s="213"/>
      <c r="G20" s="378"/>
      <c r="H20" s="1546"/>
      <c r="I20" s="380"/>
      <c r="J20" s="393">
        <f>IF(K17&lt;=1,"0",TRUNC(((K12-0.1)/(K17-1)*100),5)/100)</f>
        <v>9.2512662999999993</v>
      </c>
      <c r="K20" s="1551" t="str">
        <f>IF(K17&lt;=1,"0",IF(AND(O16="2", J20 &gt; 2),TRUNC(((K12-0.1)/(K17-1)*100),5)/100,IF(AND(O16 = "1", J20 &gt; 2),TRUNC(((K12-0.1)/(K17-1)*100),5)/100,IF(AND(O16="1", J20 &gt;1),TRUNC(((K12-0.1)/(K17-1)*100),5)/100,""))))</f>
        <v/>
      </c>
      <c r="L20" s="213"/>
      <c r="M20" s="337" t="s">
        <v>1134</v>
      </c>
      <c r="N20" s="337"/>
      <c r="O20" s="1555">
        <f>(O16+O17)*O18</f>
        <v>1.0499999999999998</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1136</v>
      </c>
      <c r="D23" s="211"/>
      <c r="E23" s="211"/>
      <c r="F23" s="211"/>
      <c r="G23" s="211"/>
      <c r="H23" s="1545" t="s">
        <v>155</v>
      </c>
      <c r="I23" s="314"/>
      <c r="J23" s="314"/>
      <c r="K23" s="1552" t="s">
        <v>1137</v>
      </c>
      <c r="L23" s="314"/>
      <c r="M23" s="314" t="s">
        <v>1132</v>
      </c>
      <c r="N23" s="314"/>
      <c r="O23" s="1553" t="str">
        <f>IF(K24&gt;=180,"4",IF(K24&gt;=90,"3",IF(K24&gt;=30,"2",1)))</f>
        <v>3</v>
      </c>
      <c r="P23" s="211"/>
      <c r="R23" s="361"/>
    </row>
    <row r="24" spans="1:18" s="382" customFormat="1" ht="11.25" x14ac:dyDescent="0.2">
      <c r="A24" s="213"/>
      <c r="B24" s="377"/>
      <c r="C24" s="2224" t="s">
        <v>1392</v>
      </c>
      <c r="D24" s="2224"/>
      <c r="E24" s="213"/>
      <c r="F24" s="213" t="s">
        <v>442</v>
      </c>
      <c r="G24" s="378"/>
      <c r="H24" s="1543">
        <f>SUM('Assets-Liab 5-6'!C4+'Assets-Liab 5-6'!D4+'Assets-Liab 5-6'!F4+'Assets-Liab 5-6'!I4+'Assets-Liab 5-6'!C5+'Assets-Liab 5-6'!D5+'Assets-Liab 5-6'!F5+'Assets-Liab 5-6'!I5)</f>
        <v>22690490</v>
      </c>
      <c r="I24" s="394"/>
      <c r="J24" s="394"/>
      <c r="K24" s="1547">
        <f>TRUNC(((H24/H25*100000)/100000),2)</f>
        <v>124.21</v>
      </c>
      <c r="L24" s="395"/>
      <c r="M24" s="337" t="s">
        <v>1133</v>
      </c>
      <c r="N24" s="337"/>
      <c r="O24" s="1555">
        <v>0.1</v>
      </c>
      <c r="P24" s="213"/>
    </row>
    <row r="25" spans="1:18" s="382" customFormat="1" ht="12.75" x14ac:dyDescent="0.2">
      <c r="A25" s="213"/>
      <c r="B25" s="377"/>
      <c r="C25" s="213" t="s">
        <v>792</v>
      </c>
      <c r="D25" s="213"/>
      <c r="E25" s="213"/>
      <c r="F25" s="213" t="s">
        <v>443</v>
      </c>
      <c r="G25" s="378"/>
      <c r="H25" s="1547">
        <f>ROUND((H17/360),5)</f>
        <v>182677.90278</v>
      </c>
      <c r="I25" s="396"/>
      <c r="J25" s="396"/>
      <c r="K25" s="1550"/>
      <c r="L25" s="213"/>
      <c r="M25" s="337" t="s">
        <v>1134</v>
      </c>
      <c r="N25" s="337"/>
      <c r="O25" s="1555">
        <f>O23*O24</f>
        <v>0.30000000000000004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1132</v>
      </c>
      <c r="N27" s="314"/>
      <c r="O27" s="1558" t="e">
        <f>IF(K28&gt;=75,"4",IF(K28&gt;=50,"3",IF(K28&gt;=25,"2",1)))</f>
        <v>#DIV/0!</v>
      </c>
      <c r="P27" s="211"/>
    </row>
    <row r="28" spans="1:18" s="382" customFormat="1" ht="11.25" x14ac:dyDescent="0.2">
      <c r="A28" s="213"/>
      <c r="B28" s="377"/>
      <c r="C28" s="213" t="s">
        <v>1887</v>
      </c>
      <c r="D28" s="213"/>
      <c r="E28" s="213"/>
      <c r="F28" s="213" t="s">
        <v>441</v>
      </c>
      <c r="G28" s="378"/>
      <c r="H28" s="1548">
        <f>SUM('Short-Term Long-Term Debt 24'!F6,'Short-Term Long-Term Debt 24'!F7,'Short-Term Long-Term Debt 24'!F11)</f>
        <v>0</v>
      </c>
      <c r="I28" s="397"/>
      <c r="J28" s="397"/>
      <c r="K28" s="1547" t="e">
        <f>TRUNC(100-((((H28/H29*100))*100)/100),2)</f>
        <v>#DIV/0!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0</v>
      </c>
      <c r="I29" s="397"/>
      <c r="J29" s="397"/>
      <c r="K29" s="1550"/>
      <c r="L29" s="213"/>
      <c r="M29" s="337" t="s">
        <v>1134</v>
      </c>
      <c r="N29" s="337"/>
      <c r="O29" s="1555" t="e">
        <f>O27*O28</f>
        <v>#DIV/0!</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1132</v>
      </c>
      <c r="N31" s="314"/>
      <c r="O31" s="1553" t="e">
        <f>IF(K32&gt;=75,"4",IF(K32&gt;=50,"3",IF(K32&gt;=25,"2",1)))</f>
        <v>#VALUE!</v>
      </c>
      <c r="P31" s="211"/>
    </row>
    <row r="32" spans="1:18" s="382" customFormat="1" ht="11.25" x14ac:dyDescent="0.2">
      <c r="A32" s="213"/>
      <c r="B32" s="377"/>
      <c r="C32" s="213" t="s">
        <v>841</v>
      </c>
      <c r="D32" s="213"/>
      <c r="E32" s="213"/>
      <c r="F32" s="213"/>
      <c r="G32" s="378"/>
      <c r="H32" s="1543">
        <f>'FP Info 3'!H37</f>
        <v>2425000</v>
      </c>
      <c r="I32" s="392"/>
      <c r="J32" s="392"/>
      <c r="K32" s="1547" t="e">
        <f>TRUNC(100-((((H32/H33*100))*100)/100),2)</f>
        <v>#VALUE!</v>
      </c>
      <c r="L32" s="381"/>
      <c r="M32" s="337" t="s">
        <v>1133</v>
      </c>
      <c r="N32" s="337"/>
      <c r="O32" s="1560">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0" t="e">
        <f>(O31*O32)</f>
        <v>#VALUE!</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t="e">
        <f>(O13+O20+O25+O29+O33)</f>
        <v>#DIV/0!</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63"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K3" sqref="K3"/>
      <selection pane="bottomLeft" activeCell="J9" sqref="J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33"/>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34" t="s">
        <v>966</v>
      </c>
      <c r="B3" s="2235"/>
      <c r="C3" s="1298"/>
      <c r="D3" s="1299"/>
      <c r="E3" s="1299"/>
      <c r="F3" s="1299"/>
      <c r="G3" s="1299"/>
      <c r="H3" s="1299"/>
      <c r="I3" s="1299"/>
      <c r="J3" s="1299"/>
      <c r="K3" s="1299"/>
      <c r="L3" s="1299"/>
      <c r="M3" s="1300"/>
      <c r="N3" s="1301"/>
    </row>
    <row r="4" spans="1:14" ht="13.5" customHeight="1" x14ac:dyDescent="0.2">
      <c r="A4" s="427" t="s">
        <v>1629</v>
      </c>
      <c r="B4" s="428"/>
      <c r="C4" s="2035">
        <v>5576218</v>
      </c>
      <c r="D4" s="1901">
        <v>3982130</v>
      </c>
      <c r="E4" s="1901">
        <v>176042</v>
      </c>
      <c r="F4" s="1901">
        <v>398339</v>
      </c>
      <c r="G4" s="1901">
        <v>1926835</v>
      </c>
      <c r="H4" s="1901">
        <v>0</v>
      </c>
      <c r="I4" s="1901">
        <v>0</v>
      </c>
      <c r="J4" s="1902">
        <v>0</v>
      </c>
      <c r="K4" s="1906">
        <v>0</v>
      </c>
      <c r="L4" s="1900"/>
      <c r="M4" s="1566"/>
      <c r="N4" s="1567"/>
    </row>
    <row r="5" spans="1:14" x14ac:dyDescent="0.2">
      <c r="A5" s="427" t="s">
        <v>984</v>
      </c>
      <c r="B5" s="429">
        <v>120</v>
      </c>
      <c r="C5" s="2035">
        <v>12733803</v>
      </c>
      <c r="D5" s="1901"/>
      <c r="E5" s="1901"/>
      <c r="F5" s="1901"/>
      <c r="G5" s="1901"/>
      <c r="H5" s="1901"/>
      <c r="I5" s="1901"/>
      <c r="J5" s="1902"/>
      <c r="K5" s="1906"/>
      <c r="L5" s="1569"/>
      <c r="M5" s="1566"/>
      <c r="N5" s="1567"/>
    </row>
    <row r="6" spans="1:14" ht="13.5" customHeight="1" x14ac:dyDescent="0.2">
      <c r="A6" s="430" t="s">
        <v>414</v>
      </c>
      <c r="B6" s="429">
        <v>130</v>
      </c>
      <c r="C6" s="2035">
        <v>0</v>
      </c>
      <c r="D6" s="1901">
        <v>0</v>
      </c>
      <c r="E6" s="1901">
        <v>0</v>
      </c>
      <c r="F6" s="1901">
        <v>0</v>
      </c>
      <c r="G6" s="1906">
        <v>0</v>
      </c>
      <c r="H6" s="1906">
        <v>0</v>
      </c>
      <c r="I6" s="1901">
        <v>0</v>
      </c>
      <c r="J6" s="1907">
        <v>0</v>
      </c>
      <c r="K6" s="1906">
        <v>0</v>
      </c>
      <c r="L6" s="1571"/>
      <c r="M6" s="1566"/>
      <c r="N6" s="1567"/>
    </row>
    <row r="7" spans="1:14" ht="13.5" customHeight="1" x14ac:dyDescent="0.2">
      <c r="A7" s="430" t="s">
        <v>415</v>
      </c>
      <c r="B7" s="429">
        <v>140</v>
      </c>
      <c r="C7" s="2036">
        <v>0</v>
      </c>
      <c r="D7" s="1902">
        <v>0</v>
      </c>
      <c r="E7" s="1908">
        <v>0</v>
      </c>
      <c r="F7" s="1902">
        <v>0</v>
      </c>
      <c r="G7" s="1902">
        <v>0</v>
      </c>
      <c r="H7" s="1902">
        <v>0</v>
      </c>
      <c r="I7" s="1902">
        <v>0</v>
      </c>
      <c r="J7" s="1902">
        <v>0</v>
      </c>
      <c r="K7" s="1902">
        <v>0</v>
      </c>
      <c r="L7" s="1572"/>
      <c r="M7" s="1566"/>
      <c r="N7" s="1567"/>
    </row>
    <row r="8" spans="1:14" ht="13.5" customHeight="1" x14ac:dyDescent="0.2">
      <c r="A8" s="430" t="s">
        <v>267</v>
      </c>
      <c r="B8" s="429">
        <v>150</v>
      </c>
      <c r="C8" s="2036">
        <v>2622191</v>
      </c>
      <c r="D8" s="1902">
        <v>0</v>
      </c>
      <c r="E8" s="1908">
        <v>0</v>
      </c>
      <c r="F8" s="1902">
        <v>194254</v>
      </c>
      <c r="G8" s="1903">
        <v>0</v>
      </c>
      <c r="H8" s="1902">
        <v>0</v>
      </c>
      <c r="I8" s="1907">
        <v>0</v>
      </c>
      <c r="J8" s="1907">
        <v>0</v>
      </c>
      <c r="K8" s="1904">
        <v>0</v>
      </c>
      <c r="L8" s="1575"/>
      <c r="M8" s="1566"/>
      <c r="N8" s="1567"/>
    </row>
    <row r="9" spans="1:14" ht="13.5" customHeight="1" x14ac:dyDescent="0.2">
      <c r="A9" s="430" t="s">
        <v>268</v>
      </c>
      <c r="B9" s="429">
        <v>160</v>
      </c>
      <c r="C9" s="2036">
        <v>1894983</v>
      </c>
      <c r="D9" s="1902">
        <v>0</v>
      </c>
      <c r="E9" s="1908">
        <v>0</v>
      </c>
      <c r="F9" s="1902">
        <v>0</v>
      </c>
      <c r="G9" s="1902">
        <v>0</v>
      </c>
      <c r="H9" s="1903">
        <v>0</v>
      </c>
      <c r="I9" s="1902">
        <v>0</v>
      </c>
      <c r="J9" s="1902">
        <v>0</v>
      </c>
      <c r="K9" s="1902">
        <v>0</v>
      </c>
      <c r="L9" s="1565"/>
      <c r="M9" s="1566"/>
      <c r="N9" s="1567"/>
    </row>
    <row r="10" spans="1:14" ht="13.5" customHeight="1" x14ac:dyDescent="0.2">
      <c r="A10" s="430" t="s">
        <v>983</v>
      </c>
      <c r="B10" s="429">
        <v>170</v>
      </c>
      <c r="C10" s="2035">
        <v>0</v>
      </c>
      <c r="D10" s="1901">
        <v>0</v>
      </c>
      <c r="E10" s="1902">
        <v>0</v>
      </c>
      <c r="F10" s="1901">
        <v>0</v>
      </c>
      <c r="G10" s="1903">
        <v>0</v>
      </c>
      <c r="H10" s="1905">
        <v>0</v>
      </c>
      <c r="I10" s="1902">
        <v>0</v>
      </c>
      <c r="J10" s="1902">
        <v>0</v>
      </c>
      <c r="K10" s="1905">
        <v>0</v>
      </c>
      <c r="L10" s="1576"/>
      <c r="M10" s="1567"/>
      <c r="N10" s="1567"/>
    </row>
    <row r="11" spans="1:14" ht="13.5" customHeight="1" x14ac:dyDescent="0.2">
      <c r="A11" s="430" t="s">
        <v>269</v>
      </c>
      <c r="B11" s="429">
        <v>180</v>
      </c>
      <c r="C11" s="2036">
        <v>20145</v>
      </c>
      <c r="D11" s="1902">
        <v>0</v>
      </c>
      <c r="E11" s="1902">
        <v>0</v>
      </c>
      <c r="F11" s="1902">
        <v>0</v>
      </c>
      <c r="G11" s="1902">
        <v>0</v>
      </c>
      <c r="H11" s="1902">
        <v>0</v>
      </c>
      <c r="I11" s="1903">
        <v>0</v>
      </c>
      <c r="J11" s="1903">
        <v>0</v>
      </c>
      <c r="K11" s="1902">
        <v>0</v>
      </c>
      <c r="L11" s="1565"/>
      <c r="M11" s="1567"/>
      <c r="N11" s="1567"/>
    </row>
    <row r="12" spans="1:14" ht="13.5" customHeight="1" x14ac:dyDescent="0.2">
      <c r="A12" s="430" t="s">
        <v>416</v>
      </c>
      <c r="B12" s="429">
        <v>190</v>
      </c>
      <c r="C12" s="2035">
        <v>0</v>
      </c>
      <c r="D12" s="1901">
        <v>0</v>
      </c>
      <c r="E12" s="1901">
        <v>0</v>
      </c>
      <c r="F12" s="1901">
        <v>0</v>
      </c>
      <c r="G12" s="1901">
        <v>0</v>
      </c>
      <c r="H12" s="1901">
        <v>0</v>
      </c>
      <c r="I12" s="1901">
        <v>0</v>
      </c>
      <c r="J12" s="1902">
        <v>0</v>
      </c>
      <c r="K12" s="1901">
        <v>0</v>
      </c>
      <c r="L12" s="1564"/>
      <c r="M12" s="1567"/>
      <c r="N12" s="1567"/>
    </row>
    <row r="13" spans="1:14" ht="13.5" customHeight="1" thickBot="1" x14ac:dyDescent="0.25">
      <c r="A13" s="1418" t="s">
        <v>639</v>
      </c>
      <c r="B13" s="1399"/>
      <c r="C13" s="1577">
        <f>SUM(C4:C12)</f>
        <v>22847340</v>
      </c>
      <c r="D13" s="1577">
        <f t="shared" ref="D13:L13" si="0">SUM(D4:D12)</f>
        <v>3982130</v>
      </c>
      <c r="E13" s="1577">
        <f t="shared" si="0"/>
        <v>176042</v>
      </c>
      <c r="F13" s="1577">
        <f t="shared" si="0"/>
        <v>592593</v>
      </c>
      <c r="G13" s="1577">
        <f t="shared" si="0"/>
        <v>1926835</v>
      </c>
      <c r="H13" s="1577">
        <f t="shared" si="0"/>
        <v>0</v>
      </c>
      <c r="I13" s="1577">
        <f t="shared" si="0"/>
        <v>0</v>
      </c>
      <c r="J13" s="1577">
        <f t="shared" si="0"/>
        <v>0</v>
      </c>
      <c r="K13" s="1577">
        <f t="shared" si="0"/>
        <v>0</v>
      </c>
      <c r="L13" s="1577">
        <f t="shared" si="0"/>
        <v>0</v>
      </c>
      <c r="M13" s="1566"/>
      <c r="N13" s="1567"/>
    </row>
    <row r="14" spans="1:14" ht="18" customHeight="1" thickTop="1" x14ac:dyDescent="0.2">
      <c r="A14" s="2236" t="s">
        <v>146</v>
      </c>
      <c r="B14" s="2237"/>
      <c r="C14" s="1578"/>
      <c r="D14" s="1579"/>
      <c r="E14" s="1579"/>
      <c r="F14" s="1579"/>
      <c r="G14" s="1579"/>
      <c r="H14" s="1579"/>
      <c r="I14" s="1579"/>
      <c r="J14" s="1579"/>
      <c r="K14" s="1579"/>
      <c r="L14" s="1579"/>
      <c r="M14" s="1580"/>
      <c r="N14" s="1581"/>
    </row>
    <row r="15" spans="1:14" s="433" customFormat="1" ht="12.75" customHeight="1" x14ac:dyDescent="0.2">
      <c r="A15" s="431" t="s">
        <v>1381</v>
      </c>
      <c r="B15" s="432">
        <v>210</v>
      </c>
      <c r="C15" s="1572"/>
      <c r="D15" s="1572"/>
      <c r="E15" s="1572"/>
      <c r="F15" s="1572"/>
      <c r="G15" s="1572"/>
      <c r="H15" s="1572"/>
      <c r="I15" s="1572"/>
      <c r="J15" s="1572"/>
      <c r="K15" s="1572"/>
      <c r="L15" s="1572"/>
      <c r="M15" s="1573"/>
      <c r="N15" s="1582"/>
    </row>
    <row r="16" spans="1:14" s="433" customFormat="1" ht="12.75" customHeight="1" x14ac:dyDescent="0.2">
      <c r="A16" s="431" t="s">
        <v>1382</v>
      </c>
      <c r="B16" s="432">
        <v>220</v>
      </c>
      <c r="C16" s="1572"/>
      <c r="D16" s="1572"/>
      <c r="E16" s="1572"/>
      <c r="F16" s="1572"/>
      <c r="G16" s="1572"/>
      <c r="H16" s="1572"/>
      <c r="I16" s="1572"/>
      <c r="J16" s="1572"/>
      <c r="K16" s="1572"/>
      <c r="L16" s="1572"/>
      <c r="M16" s="1565">
        <v>1260625</v>
      </c>
      <c r="N16" s="1582"/>
    </row>
    <row r="17" spans="1:14" s="433" customFormat="1" ht="12.75" customHeight="1" x14ac:dyDescent="0.2">
      <c r="A17" s="431" t="s">
        <v>1383</v>
      </c>
      <c r="B17" s="432">
        <v>230</v>
      </c>
      <c r="C17" s="1572"/>
      <c r="D17" s="1572"/>
      <c r="E17" s="1572"/>
      <c r="F17" s="1572"/>
      <c r="G17" s="1572"/>
      <c r="H17" s="1572"/>
      <c r="I17" s="1572"/>
      <c r="J17" s="1572"/>
      <c r="K17" s="1572"/>
      <c r="L17" s="1572"/>
      <c r="M17" s="1565">
        <v>43318704</v>
      </c>
      <c r="N17" s="1582"/>
    </row>
    <row r="18" spans="1:14" s="433" customFormat="1" ht="12.75" customHeight="1" x14ac:dyDescent="0.2">
      <c r="A18" s="431" t="s">
        <v>1384</v>
      </c>
      <c r="B18" s="432">
        <v>240</v>
      </c>
      <c r="C18" s="1572"/>
      <c r="D18" s="1572"/>
      <c r="E18" s="1572"/>
      <c r="F18" s="1572"/>
      <c r="G18" s="1572"/>
      <c r="H18" s="1572"/>
      <c r="I18" s="1572"/>
      <c r="J18" s="1572"/>
      <c r="K18" s="1572"/>
      <c r="L18" s="1572"/>
      <c r="M18" s="1565">
        <v>6637747</v>
      </c>
      <c r="N18" s="1582"/>
    </row>
    <row r="19" spans="1:14" s="433" customFormat="1" ht="12.75" customHeight="1" x14ac:dyDescent="0.2">
      <c r="A19" s="431" t="s">
        <v>1385</v>
      </c>
      <c r="B19" s="432">
        <v>250</v>
      </c>
      <c r="C19" s="1572"/>
      <c r="D19" s="1572"/>
      <c r="E19" s="1572"/>
      <c r="F19" s="1572"/>
      <c r="G19" s="1572"/>
      <c r="H19" s="1572"/>
      <c r="I19" s="1572"/>
      <c r="J19" s="1572"/>
      <c r="K19" s="1572"/>
      <c r="L19" s="1572"/>
      <c r="M19" s="1565">
        <v>2680146</v>
      </c>
      <c r="N19" s="1582"/>
    </row>
    <row r="20" spans="1:14" s="433" customFormat="1" ht="12.75" customHeight="1" x14ac:dyDescent="0.2">
      <c r="A20" s="431" t="s">
        <v>1386</v>
      </c>
      <c r="B20" s="432">
        <v>260</v>
      </c>
      <c r="C20" s="1572"/>
      <c r="D20" s="1572"/>
      <c r="E20" s="1572"/>
      <c r="F20" s="1572"/>
      <c r="G20" s="1572"/>
      <c r="H20" s="1572"/>
      <c r="I20" s="1572"/>
      <c r="J20" s="1572"/>
      <c r="K20" s="1572"/>
      <c r="L20" s="1572"/>
      <c r="M20" s="1565">
        <v>4105983</v>
      </c>
      <c r="N20" s="1582"/>
    </row>
    <row r="21" spans="1:14" s="433" customFormat="1" ht="12.75" customHeight="1" x14ac:dyDescent="0.2">
      <c r="A21" s="431" t="s">
        <v>1387</v>
      </c>
      <c r="B21" s="432">
        <v>340</v>
      </c>
      <c r="C21" s="1572"/>
      <c r="D21" s="1572"/>
      <c r="E21" s="1572"/>
      <c r="F21" s="1572"/>
      <c r="G21" s="1572"/>
      <c r="H21" s="1572"/>
      <c r="I21" s="1572"/>
      <c r="J21" s="1572"/>
      <c r="K21" s="1572"/>
      <c r="L21" s="1572"/>
      <c r="M21" s="1583"/>
      <c r="N21" s="1565">
        <v>176042</v>
      </c>
    </row>
    <row r="22" spans="1:14" s="433" customFormat="1" ht="12.75" customHeight="1" x14ac:dyDescent="0.2">
      <c r="A22" s="431" t="s">
        <v>1388</v>
      </c>
      <c r="B22" s="432">
        <v>350</v>
      </c>
      <c r="C22" s="1572"/>
      <c r="D22" s="1572"/>
      <c r="E22" s="1572"/>
      <c r="F22" s="1572"/>
      <c r="G22" s="1572"/>
      <c r="H22" s="1572"/>
      <c r="I22" s="1572"/>
      <c r="J22" s="1572"/>
      <c r="K22" s="1572"/>
      <c r="L22" s="1572"/>
      <c r="M22" s="1583"/>
      <c r="N22" s="1596">
        <f>'Short-Term Long-Term Debt 24'!J49</f>
        <v>2248958</v>
      </c>
    </row>
    <row r="23" spans="1:14" ht="13.5" customHeight="1" thickBot="1" x14ac:dyDescent="0.25">
      <c r="A23" s="1418" t="s">
        <v>638</v>
      </c>
      <c r="B23" s="1421"/>
      <c r="C23" s="1566"/>
      <c r="D23" s="1566"/>
      <c r="E23" s="1566"/>
      <c r="F23" s="1566"/>
      <c r="G23" s="1566"/>
      <c r="H23" s="1566"/>
      <c r="I23" s="1566"/>
      <c r="J23" s="1566"/>
      <c r="K23" s="1566"/>
      <c r="L23" s="1566"/>
      <c r="M23" s="1584">
        <f>SUM(M15:M22)</f>
        <v>58003205</v>
      </c>
      <c r="N23" s="1584">
        <f>SUM(N21:N22)</f>
        <v>2425000</v>
      </c>
    </row>
    <row r="24" spans="1:14" ht="18" customHeight="1" thickTop="1" x14ac:dyDescent="0.2">
      <c r="A24" s="2238" t="s">
        <v>594</v>
      </c>
      <c r="B24" s="2239"/>
      <c r="C24" s="1585"/>
      <c r="D24" s="1580"/>
      <c r="E24" s="1580"/>
      <c r="F24" s="1580"/>
      <c r="G24" s="1580"/>
      <c r="H24" s="1580"/>
      <c r="I24" s="1580"/>
      <c r="J24" s="1580"/>
      <c r="K24" s="1580"/>
      <c r="L24" s="1580"/>
      <c r="M24" s="1579"/>
      <c r="N24" s="1586"/>
    </row>
    <row r="25" spans="1:14" x14ac:dyDescent="0.2">
      <c r="A25" s="430" t="s">
        <v>640</v>
      </c>
      <c r="B25" s="429">
        <v>410</v>
      </c>
      <c r="C25" s="2034">
        <v>0</v>
      </c>
      <c r="D25" s="1903">
        <v>0</v>
      </c>
      <c r="E25" s="1903">
        <v>0</v>
      </c>
      <c r="F25" s="1903">
        <v>0</v>
      </c>
      <c r="G25" s="1903">
        <v>0</v>
      </c>
      <c r="H25" s="1904">
        <v>0</v>
      </c>
      <c r="I25" s="1566"/>
      <c r="J25" s="1573">
        <v>0</v>
      </c>
      <c r="K25" s="1573">
        <v>0</v>
      </c>
      <c r="L25" s="1566"/>
      <c r="M25" s="1566"/>
      <c r="N25" s="1566"/>
    </row>
    <row r="26" spans="1:14" x14ac:dyDescent="0.2">
      <c r="A26" s="430" t="s">
        <v>641</v>
      </c>
      <c r="B26" s="429">
        <v>420</v>
      </c>
      <c r="C26" s="2033">
        <v>0</v>
      </c>
      <c r="D26" s="1902">
        <v>0</v>
      </c>
      <c r="E26" s="1902">
        <v>0</v>
      </c>
      <c r="F26" s="1902">
        <v>0</v>
      </c>
      <c r="G26" s="1902">
        <v>0</v>
      </c>
      <c r="H26" s="1902">
        <v>0</v>
      </c>
      <c r="I26" s="1911">
        <v>0</v>
      </c>
      <c r="J26" s="1914">
        <v>0</v>
      </c>
      <c r="K26" s="1911">
        <v>0</v>
      </c>
      <c r="L26" s="1566"/>
      <c r="M26" s="1566"/>
      <c r="N26" s="1566"/>
    </row>
    <row r="27" spans="1:14" ht="13.5" customHeight="1" x14ac:dyDescent="0.2">
      <c r="A27" s="430" t="s">
        <v>642</v>
      </c>
      <c r="B27" s="429">
        <v>430</v>
      </c>
      <c r="C27" s="2033">
        <v>1369335</v>
      </c>
      <c r="D27" s="1902">
        <v>1278438</v>
      </c>
      <c r="E27" s="1902">
        <v>0</v>
      </c>
      <c r="F27" s="1902">
        <v>124</v>
      </c>
      <c r="G27" s="1902">
        <v>0</v>
      </c>
      <c r="H27" s="1902">
        <v>0</v>
      </c>
      <c r="I27" s="1911">
        <v>0</v>
      </c>
      <c r="J27" s="1911">
        <v>0</v>
      </c>
      <c r="K27" s="1911">
        <v>0</v>
      </c>
      <c r="L27" s="1566"/>
      <c r="M27" s="1566"/>
      <c r="N27" s="1566"/>
    </row>
    <row r="28" spans="1:14" ht="13.5" customHeight="1" x14ac:dyDescent="0.2">
      <c r="A28" s="430" t="s">
        <v>643</v>
      </c>
      <c r="B28" s="429">
        <v>440</v>
      </c>
      <c r="C28" s="2033">
        <v>0</v>
      </c>
      <c r="D28" s="1902">
        <v>0</v>
      </c>
      <c r="E28" s="1907">
        <v>0</v>
      </c>
      <c r="F28" s="1902">
        <v>0</v>
      </c>
      <c r="G28" s="1907">
        <v>0</v>
      </c>
      <c r="H28" s="1907">
        <v>0</v>
      </c>
      <c r="I28" s="1911">
        <v>0</v>
      </c>
      <c r="J28" s="1911">
        <v>0</v>
      </c>
      <c r="K28" s="1913">
        <v>0</v>
      </c>
      <c r="L28" s="1566"/>
      <c r="M28" s="1566"/>
      <c r="N28" s="1566"/>
    </row>
    <row r="29" spans="1:14" ht="13.5" customHeight="1" x14ac:dyDescent="0.2">
      <c r="A29" s="430" t="s">
        <v>644</v>
      </c>
      <c r="B29" s="429">
        <v>460</v>
      </c>
      <c r="C29" s="2033">
        <v>0</v>
      </c>
      <c r="D29" s="1909">
        <v>0</v>
      </c>
      <c r="E29" s="1907">
        <v>0</v>
      </c>
      <c r="F29" s="1902">
        <v>0</v>
      </c>
      <c r="G29" s="1907">
        <v>0</v>
      </c>
      <c r="H29" s="1907">
        <v>0</v>
      </c>
      <c r="I29" s="1914">
        <v>0</v>
      </c>
      <c r="J29" s="1914">
        <v>0</v>
      </c>
      <c r="K29" s="1911">
        <v>0</v>
      </c>
      <c r="L29" s="1566"/>
      <c r="M29" s="1566"/>
      <c r="N29" s="1566"/>
    </row>
    <row r="30" spans="1:14" ht="13.5" customHeight="1" x14ac:dyDescent="0.2">
      <c r="A30" s="430" t="s">
        <v>645</v>
      </c>
      <c r="B30" s="429">
        <v>470</v>
      </c>
      <c r="C30" s="2033">
        <v>7650395</v>
      </c>
      <c r="D30" s="1907">
        <v>0</v>
      </c>
      <c r="E30" s="1902">
        <v>0</v>
      </c>
      <c r="F30" s="1902">
        <v>10086</v>
      </c>
      <c r="G30" s="1902">
        <v>168189</v>
      </c>
      <c r="H30" s="1902">
        <v>0</v>
      </c>
      <c r="I30" s="1911">
        <v>0</v>
      </c>
      <c r="J30" s="1911">
        <v>0</v>
      </c>
      <c r="K30" s="1912">
        <v>0</v>
      </c>
      <c r="L30" s="1566"/>
      <c r="M30" s="1566"/>
      <c r="N30" s="1566"/>
    </row>
    <row r="31" spans="1:14" ht="13.5" customHeight="1" x14ac:dyDescent="0.2">
      <c r="A31" s="430" t="s">
        <v>646</v>
      </c>
      <c r="B31" s="429">
        <v>480</v>
      </c>
      <c r="C31" s="2032">
        <v>0</v>
      </c>
      <c r="D31" s="1902">
        <v>0</v>
      </c>
      <c r="E31" s="1902">
        <v>0</v>
      </c>
      <c r="F31" s="1901">
        <v>0</v>
      </c>
      <c r="G31" s="1902">
        <v>0</v>
      </c>
      <c r="H31" s="1902">
        <v>0</v>
      </c>
      <c r="I31" s="1911">
        <v>0</v>
      </c>
      <c r="J31" s="1911">
        <v>0</v>
      </c>
      <c r="K31" s="1911">
        <v>0</v>
      </c>
      <c r="L31" s="1566"/>
      <c r="M31" s="1566"/>
      <c r="N31" s="1566"/>
    </row>
    <row r="32" spans="1:14" ht="13.5" customHeight="1" x14ac:dyDescent="0.2">
      <c r="A32" s="434" t="s">
        <v>647</v>
      </c>
      <c r="B32" s="435">
        <v>490</v>
      </c>
      <c r="C32" s="2037">
        <v>0</v>
      </c>
      <c r="D32" s="1910">
        <v>0</v>
      </c>
      <c r="E32" s="1907">
        <v>0</v>
      </c>
      <c r="F32" s="1907">
        <v>0</v>
      </c>
      <c r="G32" s="1907">
        <v>0</v>
      </c>
      <c r="H32" s="1907">
        <v>0</v>
      </c>
      <c r="I32" s="1914">
        <v>0</v>
      </c>
      <c r="J32" s="1914">
        <v>0</v>
      </c>
      <c r="K32" s="1913">
        <v>0</v>
      </c>
      <c r="L32" s="1566"/>
      <c r="M32" s="1566"/>
      <c r="N32" s="1566"/>
    </row>
    <row r="33" spans="1:14" ht="13.5" customHeight="1" x14ac:dyDescent="0.2">
      <c r="A33" s="436" t="s">
        <v>300</v>
      </c>
      <c r="B33" s="435">
        <v>493</v>
      </c>
      <c r="C33" s="2033">
        <v>0</v>
      </c>
      <c r="D33" s="1902">
        <v>0</v>
      </c>
      <c r="E33" s="1902">
        <v>0</v>
      </c>
      <c r="F33" s="1902">
        <v>0</v>
      </c>
      <c r="G33" s="1902">
        <v>0</v>
      </c>
      <c r="H33" s="1902">
        <v>0</v>
      </c>
      <c r="I33" s="1911">
        <v>0</v>
      </c>
      <c r="J33" s="1911">
        <v>0</v>
      </c>
      <c r="K33" s="1911">
        <v>0</v>
      </c>
      <c r="L33" s="1915">
        <v>0</v>
      </c>
      <c r="M33" s="1566"/>
      <c r="N33" s="1567"/>
    </row>
    <row r="34" spans="1:14" ht="13.5" customHeight="1" thickBot="1" x14ac:dyDescent="0.25">
      <c r="A34" s="1419" t="s">
        <v>649</v>
      </c>
      <c r="B34" s="1420"/>
      <c r="C34" s="1589">
        <f>SUM(C25:C33)</f>
        <v>9019730</v>
      </c>
      <c r="D34" s="1589">
        <f t="shared" ref="D34:K34" si="1">SUM(D25:D33)</f>
        <v>1278438</v>
      </c>
      <c r="E34" s="1589">
        <f t="shared" si="1"/>
        <v>0</v>
      </c>
      <c r="F34" s="1589">
        <f t="shared" si="1"/>
        <v>10210</v>
      </c>
      <c r="G34" s="1589">
        <f t="shared" si="1"/>
        <v>168189</v>
      </c>
      <c r="H34" s="1589">
        <f t="shared" si="1"/>
        <v>0</v>
      </c>
      <c r="I34" s="1589">
        <f t="shared" si="1"/>
        <v>0</v>
      </c>
      <c r="J34" s="1589">
        <f t="shared" si="1"/>
        <v>0</v>
      </c>
      <c r="K34" s="1589">
        <f t="shared" si="1"/>
        <v>0</v>
      </c>
      <c r="L34" s="1590">
        <f>SUM(L33)</f>
        <v>0</v>
      </c>
      <c r="M34" s="1566"/>
      <c r="N34" s="1575"/>
    </row>
    <row r="35" spans="1:14" ht="18" customHeight="1" thickTop="1" x14ac:dyDescent="0.2">
      <c r="A35" s="2240" t="s">
        <v>526</v>
      </c>
      <c r="B35" s="2241"/>
      <c r="C35" s="1591"/>
      <c r="D35" s="1592"/>
      <c r="E35" s="1592"/>
      <c r="F35" s="1592"/>
      <c r="G35" s="1592"/>
      <c r="H35" s="1592"/>
      <c r="I35" s="1592"/>
      <c r="J35" s="1592"/>
      <c r="K35" s="1592"/>
      <c r="L35" s="1592"/>
      <c r="M35" s="1580"/>
      <c r="N35" s="1586"/>
    </row>
    <row r="36" spans="1:14" x14ac:dyDescent="0.2">
      <c r="A36" s="437" t="s">
        <v>1</v>
      </c>
      <c r="B36" s="429">
        <v>511</v>
      </c>
      <c r="C36" s="1572"/>
      <c r="D36" s="1572"/>
      <c r="E36" s="1572"/>
      <c r="F36" s="1572"/>
      <c r="G36" s="1572"/>
      <c r="H36" s="1572"/>
      <c r="I36" s="1572"/>
      <c r="J36" s="1572"/>
      <c r="K36" s="1572"/>
      <c r="L36" s="1566"/>
      <c r="M36" s="1566"/>
      <c r="N36" s="1595">
        <f>'Short-Term Long-Term Debt 24'!I49</f>
        <v>2425000</v>
      </c>
    </row>
    <row r="37" spans="1:14" ht="13.5" thickBot="1" x14ac:dyDescent="0.25">
      <c r="A37" s="1418" t="s">
        <v>648</v>
      </c>
      <c r="B37" s="1421"/>
      <c r="C37" s="1572"/>
      <c r="D37" s="1572"/>
      <c r="E37" s="1572"/>
      <c r="F37" s="1572"/>
      <c r="G37" s="1572"/>
      <c r="H37" s="1572"/>
      <c r="I37" s="1572"/>
      <c r="J37" s="1572"/>
      <c r="K37" s="1572"/>
      <c r="L37" s="1575"/>
      <c r="M37" s="1566"/>
      <c r="N37" s="1584">
        <f>SUM(N36:N36)</f>
        <v>2425000</v>
      </c>
    </row>
    <row r="38" spans="1:14" s="307" customFormat="1" ht="13.5" customHeight="1" thickTop="1" x14ac:dyDescent="0.2">
      <c r="A38" s="438" t="s">
        <v>417</v>
      </c>
      <c r="B38" s="432">
        <v>714</v>
      </c>
      <c r="C38" s="1564">
        <v>992679</v>
      </c>
      <c r="D38" s="1564">
        <v>50000</v>
      </c>
      <c r="E38" s="1564"/>
      <c r="F38" s="1564"/>
      <c r="G38" s="1564"/>
      <c r="H38" s="1564"/>
      <c r="I38" s="1564"/>
      <c r="J38" s="1565"/>
      <c r="K38" s="1564"/>
      <c r="L38" s="1576"/>
      <c r="M38" s="1593"/>
      <c r="N38" s="1593"/>
    </row>
    <row r="39" spans="1:14" s="307" customFormat="1" ht="13.5" customHeight="1" x14ac:dyDescent="0.2">
      <c r="A39" s="438" t="s">
        <v>339</v>
      </c>
      <c r="B39" s="432">
        <v>730</v>
      </c>
      <c r="C39" s="1564">
        <v>12834931</v>
      </c>
      <c r="D39" s="1564">
        <v>2653692</v>
      </c>
      <c r="E39" s="1564">
        <v>176042</v>
      </c>
      <c r="F39" s="1564">
        <v>582383</v>
      </c>
      <c r="G39" s="1564">
        <v>1758646</v>
      </c>
      <c r="H39" s="1564">
        <v>0</v>
      </c>
      <c r="I39" s="1564">
        <v>0</v>
      </c>
      <c r="J39" s="1565">
        <v>0</v>
      </c>
      <c r="K39" s="1564">
        <v>0</v>
      </c>
      <c r="L39" s="1564">
        <v>0</v>
      </c>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5">
        <v>58003205</v>
      </c>
      <c r="N40" s="1593"/>
    </row>
    <row r="41" spans="1:14" ht="13.5" customHeight="1" thickBot="1" x14ac:dyDescent="0.25">
      <c r="A41" s="1418" t="s">
        <v>650</v>
      </c>
      <c r="B41" s="1397"/>
      <c r="C41" s="1584">
        <f>(SUM(C34,C37,C38,C39))</f>
        <v>22847340</v>
      </c>
      <c r="D41" s="1584">
        <f t="shared" ref="D41:L41" si="2">SUM(D34,D37,D38:D39)</f>
        <v>3982130</v>
      </c>
      <c r="E41" s="1584">
        <f t="shared" si="2"/>
        <v>176042</v>
      </c>
      <c r="F41" s="1584">
        <f t="shared" si="2"/>
        <v>592593</v>
      </c>
      <c r="G41" s="1584">
        <f t="shared" si="2"/>
        <v>1926835</v>
      </c>
      <c r="H41" s="1584">
        <f t="shared" si="2"/>
        <v>0</v>
      </c>
      <c r="I41" s="1584">
        <f t="shared" si="2"/>
        <v>0</v>
      </c>
      <c r="J41" s="1584">
        <f t="shared" si="2"/>
        <v>0</v>
      </c>
      <c r="K41" s="1584">
        <f t="shared" si="2"/>
        <v>0</v>
      </c>
      <c r="L41" s="1584">
        <f t="shared" si="2"/>
        <v>0</v>
      </c>
      <c r="M41" s="1584">
        <f>SUM(M40)</f>
        <v>58003205</v>
      </c>
      <c r="N41" s="1584">
        <f>SUM(N37)</f>
        <v>2425000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1"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6" activePane="bottomLeft" state="frozen"/>
      <selection activeCell="C44" sqref="C44"/>
      <selection pane="bottomLeft" activeCell="D81" sqref="D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51"/>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62" t="s">
        <v>1164</v>
      </c>
      <c r="B3" s="2263"/>
      <c r="C3" s="1303"/>
      <c r="D3" s="1304"/>
      <c r="E3" s="1304"/>
      <c r="F3" s="1304"/>
      <c r="G3" s="1304"/>
      <c r="H3" s="1304"/>
      <c r="I3" s="1304"/>
      <c r="J3" s="1304"/>
      <c r="K3" s="1305"/>
      <c r="L3" s="446"/>
    </row>
    <row r="4" spans="1:13" ht="15.75" customHeight="1" x14ac:dyDescent="0.2">
      <c r="A4" s="1529" t="s">
        <v>1479</v>
      </c>
      <c r="B4" s="1530">
        <v>1000</v>
      </c>
      <c r="C4" s="1595">
        <f>'Revenues 9-14'!C109</f>
        <v>37708551</v>
      </c>
      <c r="D4" s="1595">
        <f>'Revenues 9-14'!D109</f>
        <v>2859520</v>
      </c>
      <c r="E4" s="1595">
        <f>'Revenues 9-14'!E109</f>
        <v>470794</v>
      </c>
      <c r="F4" s="1595">
        <f>'Revenues 9-14'!F109</f>
        <v>2974</v>
      </c>
      <c r="G4" s="1595">
        <f>'Revenues 9-14'!G109</f>
        <v>1443612</v>
      </c>
      <c r="H4" s="1595">
        <f>'Revenues 9-14'!H109</f>
        <v>0</v>
      </c>
      <c r="I4" s="1595">
        <f>'Revenues 9-14'!I109</f>
        <v>0</v>
      </c>
      <c r="J4" s="1595">
        <f>'Revenues 9-14'!J109</f>
        <v>0</v>
      </c>
      <c r="K4" s="1595">
        <f>'Revenues 9-14'!K109</f>
        <v>0</v>
      </c>
      <c r="L4" s="325"/>
    </row>
    <row r="5" spans="1:13" ht="15.75" customHeight="1" x14ac:dyDescent="0.2">
      <c r="A5" s="1306" t="s">
        <v>1480</v>
      </c>
      <c r="B5" s="1307">
        <v>2000</v>
      </c>
      <c r="C5" s="1596">
        <f>'Revenues 9-14'!C114</f>
        <v>10641153</v>
      </c>
      <c r="D5" s="1596">
        <f>'Revenues 9-14'!D114</f>
        <v>0</v>
      </c>
      <c r="E5" s="1597"/>
      <c r="F5" s="1596">
        <f>'Revenues 9-14'!F114</f>
        <v>0</v>
      </c>
      <c r="G5" s="1596">
        <f>'Revenues 9-14'!G114</f>
        <v>0</v>
      </c>
      <c r="H5" s="1598" t="s">
        <v>1158</v>
      </c>
      <c r="I5" s="1599" t="s">
        <v>1158</v>
      </c>
      <c r="J5" s="1600" t="s">
        <v>1158</v>
      </c>
      <c r="K5" s="1601" t="s">
        <v>1158</v>
      </c>
      <c r="L5" s="325"/>
    </row>
    <row r="6" spans="1:13" ht="15.75" customHeight="1" x14ac:dyDescent="0.2">
      <c r="A6" s="1306" t="s">
        <v>1481</v>
      </c>
      <c r="B6" s="1308">
        <v>3000</v>
      </c>
      <c r="C6" s="1596">
        <f>'Revenues 9-14'!C170</f>
        <v>4155857</v>
      </c>
      <c r="D6" s="1596">
        <f>'Revenues 9-14'!D170</f>
        <v>50000</v>
      </c>
      <c r="E6" s="1596">
        <f>'Revenues 9-14'!E170</f>
        <v>0</v>
      </c>
      <c r="F6" s="1596">
        <f>'Revenues 9-14'!F170</f>
        <v>785311</v>
      </c>
      <c r="G6" s="1596">
        <f>'Revenues 9-14'!G170</f>
        <v>0</v>
      </c>
      <c r="H6" s="1596">
        <f>'Revenues 9-14'!H170</f>
        <v>0</v>
      </c>
      <c r="I6" s="1596">
        <f>'Revenues 9-14'!I170</f>
        <v>0</v>
      </c>
      <c r="J6" s="1596">
        <f>'Revenues 9-14'!J170</f>
        <v>0</v>
      </c>
      <c r="K6" s="1596">
        <f>'Revenues 9-14'!K170</f>
        <v>0</v>
      </c>
      <c r="L6" s="325"/>
      <c r="M6" s="448"/>
    </row>
    <row r="7" spans="1:13" ht="15.75" customHeight="1" x14ac:dyDescent="0.2">
      <c r="A7" s="1306" t="s">
        <v>1482</v>
      </c>
      <c r="B7" s="1308">
        <v>4000</v>
      </c>
      <c r="C7" s="1596">
        <f>'Revenues 9-14'!C267</f>
        <v>8409223</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8" t="s">
        <v>1161</v>
      </c>
      <c r="B8" s="1399"/>
      <c r="C8" s="1584">
        <f>SUM(C4:C7)</f>
        <v>60914784</v>
      </c>
      <c r="D8" s="1584">
        <f t="shared" ref="D8:K8" si="0">SUM(D4:D7)</f>
        <v>2909520</v>
      </c>
      <c r="E8" s="1584">
        <f t="shared" si="0"/>
        <v>470794</v>
      </c>
      <c r="F8" s="1584">
        <f t="shared" si="0"/>
        <v>788285</v>
      </c>
      <c r="G8" s="1584">
        <f t="shared" si="0"/>
        <v>1443612</v>
      </c>
      <c r="H8" s="1584">
        <f t="shared" si="0"/>
        <v>0</v>
      </c>
      <c r="I8" s="1584">
        <f t="shared" si="0"/>
        <v>0</v>
      </c>
      <c r="J8" s="1584">
        <f t="shared" si="0"/>
        <v>0</v>
      </c>
      <c r="K8" s="1584">
        <f t="shared" si="0"/>
        <v>0</v>
      </c>
      <c r="L8" s="325"/>
    </row>
    <row r="9" spans="1:13" ht="15.75" thickTop="1" x14ac:dyDescent="0.2">
      <c r="A9" s="449" t="s">
        <v>1631</v>
      </c>
      <c r="B9" s="450">
        <v>3998</v>
      </c>
      <c r="C9" s="1576">
        <v>16529582</v>
      </c>
      <c r="D9" s="1602">
        <v>0</v>
      </c>
      <c r="E9" s="1576">
        <v>0</v>
      </c>
      <c r="F9" s="1576">
        <v>0</v>
      </c>
      <c r="G9" s="1603">
        <v>0</v>
      </c>
      <c r="H9" s="1576">
        <v>0</v>
      </c>
      <c r="I9" s="1598" t="s">
        <v>1158</v>
      </c>
      <c r="J9" s="1573">
        <v>0</v>
      </c>
      <c r="K9" s="1576">
        <v>0</v>
      </c>
      <c r="L9" s="325"/>
    </row>
    <row r="10" spans="1:13" s="452" customFormat="1" ht="13.5" thickBot="1" x14ac:dyDescent="0.25">
      <c r="A10" s="1418" t="s">
        <v>1162</v>
      </c>
      <c r="B10" s="1399"/>
      <c r="C10" s="1584">
        <f>SUM(C8:C9)</f>
        <v>77444366</v>
      </c>
      <c r="D10" s="1584">
        <f t="shared" ref="D10:K10" si="1">SUM(D8:D9)</f>
        <v>2909520</v>
      </c>
      <c r="E10" s="1584">
        <f t="shared" si="1"/>
        <v>470794</v>
      </c>
      <c r="F10" s="1584">
        <f t="shared" si="1"/>
        <v>788285</v>
      </c>
      <c r="G10" s="1584">
        <f t="shared" si="1"/>
        <v>1443612</v>
      </c>
      <c r="H10" s="1584">
        <f t="shared" si="1"/>
        <v>0</v>
      </c>
      <c r="I10" s="1584">
        <f t="shared" si="1"/>
        <v>0</v>
      </c>
      <c r="J10" s="1584">
        <f t="shared" si="1"/>
        <v>0</v>
      </c>
      <c r="K10" s="1584">
        <f t="shared" si="1"/>
        <v>0</v>
      </c>
      <c r="L10" s="451"/>
    </row>
    <row r="11" spans="1:13" s="452" customFormat="1" ht="16.7" customHeight="1" thickTop="1" x14ac:dyDescent="0.2">
      <c r="A11" s="2236" t="s">
        <v>1165</v>
      </c>
      <c r="B11" s="2237"/>
      <c r="C11" s="1591"/>
      <c r="D11" s="1592"/>
      <c r="E11" s="1592"/>
      <c r="F11" s="1592"/>
      <c r="G11" s="1592"/>
      <c r="H11" s="1592"/>
      <c r="I11" s="1592"/>
      <c r="J11" s="1592"/>
      <c r="K11" s="1604"/>
      <c r="L11" s="451"/>
    </row>
    <row r="12" spans="1:13" ht="15.75" customHeight="1" x14ac:dyDescent="0.2">
      <c r="A12" s="1306" t="s">
        <v>453</v>
      </c>
      <c r="B12" s="1308">
        <v>1000</v>
      </c>
      <c r="C12" s="1595">
        <f>'Expenditures 15-22'!K33</f>
        <v>26665301</v>
      </c>
      <c r="D12" s="1605" t="s">
        <v>1158</v>
      </c>
      <c r="E12" s="1566" t="s">
        <v>1158</v>
      </c>
      <c r="F12" s="1566" t="s">
        <v>1158</v>
      </c>
      <c r="G12" s="1595">
        <f>'Expenditures 15-22'!K229</f>
        <v>663942</v>
      </c>
      <c r="H12" s="1606"/>
      <c r="I12" s="1566" t="s">
        <v>1158</v>
      </c>
      <c r="J12" s="1566" t="s">
        <v>1158</v>
      </c>
      <c r="K12" s="1606" t="s">
        <v>1158</v>
      </c>
      <c r="L12" s="325"/>
    </row>
    <row r="13" spans="1:13" ht="15.75" customHeight="1" x14ac:dyDescent="0.2">
      <c r="A13" s="1306" t="s">
        <v>454</v>
      </c>
      <c r="B13" s="1308">
        <v>2000</v>
      </c>
      <c r="C13" s="1596">
        <f>'Expenditures 15-22'!K74</f>
        <v>20425650</v>
      </c>
      <c r="D13" s="1596">
        <f>'Expenditures 15-22'!K129</f>
        <v>6826919</v>
      </c>
      <c r="E13" s="1567" t="s">
        <v>1158</v>
      </c>
      <c r="F13" s="1596">
        <f>'Expenditures 15-22'!K184</f>
        <v>1057140</v>
      </c>
      <c r="G13" s="1596">
        <f>'Expenditures 15-22'!K279</f>
        <v>735776</v>
      </c>
      <c r="H13" s="1596">
        <f>'Expenditures 15-22'!K303</f>
        <v>0</v>
      </c>
      <c r="I13" s="1566" t="s">
        <v>1158</v>
      </c>
      <c r="J13" s="1596">
        <f>'Expenditures 15-22'!K330</f>
        <v>0</v>
      </c>
      <c r="K13" s="1607">
        <f>'Expenditures 15-22'!K352</f>
        <v>0</v>
      </c>
      <c r="L13" s="325"/>
    </row>
    <row r="14" spans="1:13" ht="15.75" customHeight="1" x14ac:dyDescent="0.2">
      <c r="A14" s="1306" t="s">
        <v>446</v>
      </c>
      <c r="B14" s="1308">
        <v>3000</v>
      </c>
      <c r="C14" s="1596">
        <f>'Expenditures 15-22'!K75</f>
        <v>451</v>
      </c>
      <c r="D14" s="1596">
        <f>'Expenditures 15-22'!K130</f>
        <v>0</v>
      </c>
      <c r="E14" s="1605" t="s">
        <v>1158</v>
      </c>
      <c r="F14" s="1596">
        <f>'Expenditures 15-22'!K185</f>
        <v>0</v>
      </c>
      <c r="G14" s="1596">
        <f>'Expenditures 15-22'!K280</f>
        <v>0</v>
      </c>
      <c r="H14" s="1601"/>
      <c r="I14" s="1566" t="s">
        <v>1158</v>
      </c>
      <c r="J14" s="1566" t="s">
        <v>1158</v>
      </c>
      <c r="K14" s="1601" t="s">
        <v>1158</v>
      </c>
      <c r="L14" s="325"/>
    </row>
    <row r="15" spans="1:13" ht="15.75" customHeight="1" x14ac:dyDescent="0.2">
      <c r="A15" s="1306" t="s">
        <v>107</v>
      </c>
      <c r="B15" s="1308">
        <v>4000</v>
      </c>
      <c r="C15" s="1596">
        <f>'Expenditures 15-22'!K102</f>
        <v>10788584</v>
      </c>
      <c r="D15" s="1596">
        <f>'Expenditures 15-22'!K139</f>
        <v>0</v>
      </c>
      <c r="E15" s="1596">
        <f>'Expenditures 15-22'!K160</f>
        <v>0</v>
      </c>
      <c r="F15" s="1596">
        <f>'Expenditures 15-22'!K196</f>
        <v>0</v>
      </c>
      <c r="G15" s="1596">
        <f>'Expenditures 15-22'!K285</f>
        <v>0</v>
      </c>
      <c r="H15" s="1596">
        <f>'Expenditures 15-22'!K310</f>
        <v>0</v>
      </c>
      <c r="I15" s="1566" t="s">
        <v>1158</v>
      </c>
      <c r="J15" s="1608">
        <f>'Expenditures 15-22'!K334</f>
        <v>0</v>
      </c>
      <c r="K15" s="1596">
        <f>'Expenditures 15-22'!K357</f>
        <v>0</v>
      </c>
      <c r="L15" s="325"/>
    </row>
    <row r="16" spans="1:13" ht="15.75" customHeight="1" x14ac:dyDescent="0.2">
      <c r="A16" s="1306" t="s">
        <v>447</v>
      </c>
      <c r="B16" s="1308">
        <v>5000</v>
      </c>
      <c r="C16" s="1596">
        <f>'Expenditures 15-22'!K112</f>
        <v>0</v>
      </c>
      <c r="D16" s="1596">
        <f>'Expenditures 15-22'!K149</f>
        <v>0</v>
      </c>
      <c r="E16" s="1596">
        <f>'Expenditures 15-22'!K172</f>
        <v>467250</v>
      </c>
      <c r="F16" s="1596">
        <f>'Expenditures 15-22'!K208</f>
        <v>0</v>
      </c>
      <c r="G16" s="1596">
        <f>'Expenditures 15-22'!K293</f>
        <v>0</v>
      </c>
      <c r="H16" s="1609"/>
      <c r="I16" s="1566" t="s">
        <v>1158</v>
      </c>
      <c r="J16" s="1610">
        <f>'Expenditures 15-22'!K340</f>
        <v>0</v>
      </c>
      <c r="K16" s="1596">
        <f>'Expenditures 15-22'!K365</f>
        <v>0</v>
      </c>
      <c r="L16" s="325"/>
    </row>
    <row r="17" spans="1:12" ht="13.5" thickBot="1" x14ac:dyDescent="0.25">
      <c r="A17" s="1398" t="s">
        <v>48</v>
      </c>
      <c r="B17" s="1399"/>
      <c r="C17" s="1584">
        <f t="shared" ref="C17:H17" si="2">SUM(C12:C16)</f>
        <v>57879986</v>
      </c>
      <c r="D17" s="1584">
        <f t="shared" si="2"/>
        <v>6826919</v>
      </c>
      <c r="E17" s="1584">
        <f t="shared" si="2"/>
        <v>467250</v>
      </c>
      <c r="F17" s="1584">
        <f t="shared" si="2"/>
        <v>1057140</v>
      </c>
      <c r="G17" s="1584">
        <f t="shared" si="2"/>
        <v>1399718</v>
      </c>
      <c r="H17" s="1584">
        <f t="shared" si="2"/>
        <v>0</v>
      </c>
      <c r="I17" s="1566"/>
      <c r="J17" s="1584">
        <f>SUM(J12:J16)</f>
        <v>0</v>
      </c>
      <c r="K17" s="1584">
        <f>SUM(K12:K16)</f>
        <v>0</v>
      </c>
      <c r="L17" s="325"/>
    </row>
    <row r="18" spans="1:12" ht="15" customHeight="1" thickTop="1" x14ac:dyDescent="0.2">
      <c r="A18" s="1422" t="s">
        <v>1632</v>
      </c>
      <c r="B18" s="1423">
        <v>4180</v>
      </c>
      <c r="C18" s="1595">
        <f t="shared" ref="C18:H18" si="3">C9</f>
        <v>16529582</v>
      </c>
      <c r="D18" s="1595">
        <f t="shared" si="3"/>
        <v>0</v>
      </c>
      <c r="E18" s="1595">
        <f t="shared" si="3"/>
        <v>0</v>
      </c>
      <c r="F18" s="1595">
        <f t="shared" si="3"/>
        <v>0</v>
      </c>
      <c r="G18" s="1595">
        <f t="shared" si="3"/>
        <v>0</v>
      </c>
      <c r="H18" s="1595">
        <f t="shared" si="3"/>
        <v>0</v>
      </c>
      <c r="I18" s="1566"/>
      <c r="J18" s="1595">
        <f>J9</f>
        <v>0</v>
      </c>
      <c r="K18" s="1595">
        <f>K9</f>
        <v>0</v>
      </c>
      <c r="L18" s="325"/>
    </row>
    <row r="19" spans="1:12" ht="13.5" thickBot="1" x14ac:dyDescent="0.25">
      <c r="A19" s="1398" t="s">
        <v>502</v>
      </c>
      <c r="B19" s="1399"/>
      <c r="C19" s="1584">
        <f t="shared" ref="C19:H19" si="4">SUM(C17:C18)</f>
        <v>74409568</v>
      </c>
      <c r="D19" s="1584">
        <f t="shared" si="4"/>
        <v>6826919</v>
      </c>
      <c r="E19" s="1584">
        <f t="shared" si="4"/>
        <v>467250</v>
      </c>
      <c r="F19" s="1584">
        <f t="shared" si="4"/>
        <v>1057140</v>
      </c>
      <c r="G19" s="1584">
        <f t="shared" si="4"/>
        <v>1399718</v>
      </c>
      <c r="H19" s="1584">
        <f t="shared" si="4"/>
        <v>0</v>
      </c>
      <c r="I19" s="1566"/>
      <c r="J19" s="1584">
        <f>SUM(J17:J18)</f>
        <v>0</v>
      </c>
      <c r="K19" s="1584">
        <f>SUM(K17:K18)</f>
        <v>0</v>
      </c>
      <c r="L19" s="325"/>
    </row>
    <row r="20" spans="1:12" ht="16.5" thickTop="1" thickBot="1" x14ac:dyDescent="0.25">
      <c r="A20" s="2252" t="s">
        <v>1633</v>
      </c>
      <c r="B20" s="2253"/>
      <c r="C20" s="1611">
        <f>C8-C17</f>
        <v>3034798</v>
      </c>
      <c r="D20" s="1611">
        <f t="shared" ref="D20:K20" si="5">D8-D17</f>
        <v>-3917399</v>
      </c>
      <c r="E20" s="1611">
        <f t="shared" si="5"/>
        <v>3544</v>
      </c>
      <c r="F20" s="1611">
        <f t="shared" si="5"/>
        <v>-268855</v>
      </c>
      <c r="G20" s="1611">
        <f t="shared" si="5"/>
        <v>43894</v>
      </c>
      <c r="H20" s="1611">
        <f t="shared" si="5"/>
        <v>0</v>
      </c>
      <c r="I20" s="1611">
        <f t="shared" si="5"/>
        <v>0</v>
      </c>
      <c r="J20" s="1611">
        <f t="shared" si="5"/>
        <v>0</v>
      </c>
      <c r="K20" s="1611">
        <f t="shared" si="5"/>
        <v>0</v>
      </c>
      <c r="L20" s="325"/>
    </row>
    <row r="21" spans="1:12" ht="16.7" customHeight="1" thickTop="1" x14ac:dyDescent="0.2">
      <c r="A21" s="2264" t="s">
        <v>591</v>
      </c>
      <c r="B21" s="2265"/>
      <c r="C21" s="1591"/>
      <c r="D21" s="1592"/>
      <c r="E21" s="1592"/>
      <c r="F21" s="1592"/>
      <c r="G21" s="1592"/>
      <c r="H21" s="1592"/>
      <c r="I21" s="1592"/>
      <c r="J21" s="1592"/>
      <c r="K21" s="1604"/>
      <c r="L21" s="453"/>
    </row>
    <row r="22" spans="1:12" ht="15.75" customHeight="1" collapsed="1" x14ac:dyDescent="0.2">
      <c r="A22" s="2260" t="s">
        <v>592</v>
      </c>
      <c r="B22" s="2261"/>
      <c r="C22" s="1572"/>
      <c r="D22" s="1572"/>
      <c r="E22" s="1572"/>
      <c r="F22" s="1572"/>
      <c r="G22" s="1572"/>
      <c r="H22" s="1572"/>
      <c r="I22" s="1572"/>
      <c r="J22" s="1572"/>
      <c r="K22" s="1572"/>
      <c r="L22" s="325"/>
    </row>
    <row r="23" spans="1:12" s="433" customFormat="1" ht="15.75" customHeight="1" x14ac:dyDescent="0.2">
      <c r="A23" s="2256" t="s">
        <v>290</v>
      </c>
      <c r="B23" s="2257"/>
      <c r="C23" s="1575"/>
      <c r="D23" s="1572"/>
      <c r="E23" s="1572"/>
      <c r="F23" s="1572"/>
      <c r="G23" s="1572"/>
      <c r="H23" s="1572"/>
      <c r="I23" s="1572"/>
      <c r="J23" s="1572"/>
      <c r="K23" s="1572"/>
      <c r="L23" s="453"/>
    </row>
    <row r="24" spans="1:12" s="433" customFormat="1" ht="13.5" customHeight="1" x14ac:dyDescent="0.2">
      <c r="A24" s="1252" t="s">
        <v>1634</v>
      </c>
      <c r="B24" s="454">
        <v>7110</v>
      </c>
      <c r="C24" s="1565"/>
      <c r="D24" s="1572"/>
      <c r="E24" s="1572"/>
      <c r="F24" s="1572"/>
      <c r="G24" s="1572"/>
      <c r="H24" s="1572"/>
      <c r="I24" s="1572"/>
      <c r="J24" s="1572"/>
      <c r="K24" s="1572"/>
      <c r="L24" s="453"/>
    </row>
    <row r="25" spans="1:12" s="433" customFormat="1" ht="13.5" customHeight="1" x14ac:dyDescent="0.2">
      <c r="A25" s="1252" t="s">
        <v>1635</v>
      </c>
      <c r="B25" s="454">
        <v>7110</v>
      </c>
      <c r="C25" s="1565">
        <v>0</v>
      </c>
      <c r="D25" s="1565">
        <v>0</v>
      </c>
      <c r="E25" s="1565">
        <v>0</v>
      </c>
      <c r="F25" s="1565">
        <v>0</v>
      </c>
      <c r="G25" s="1565">
        <v>0</v>
      </c>
      <c r="H25" s="1565">
        <v>0</v>
      </c>
      <c r="I25" s="1572"/>
      <c r="J25" s="1565">
        <v>0</v>
      </c>
      <c r="K25" s="1565">
        <v>0</v>
      </c>
      <c r="L25" s="453"/>
    </row>
    <row r="26" spans="1:12" s="433" customFormat="1" ht="13.5" customHeight="1" x14ac:dyDescent="0.2">
      <c r="A26" s="1252" t="s">
        <v>183</v>
      </c>
      <c r="B26" s="432">
        <v>7120</v>
      </c>
      <c r="C26" s="1565">
        <v>0</v>
      </c>
      <c r="D26" s="1565">
        <v>0</v>
      </c>
      <c r="E26" s="1565">
        <v>0</v>
      </c>
      <c r="F26" s="1565">
        <v>0</v>
      </c>
      <c r="G26" s="1565">
        <v>0</v>
      </c>
      <c r="H26" s="1565">
        <v>0</v>
      </c>
      <c r="I26" s="1572"/>
      <c r="J26" s="1565">
        <v>0</v>
      </c>
      <c r="K26" s="1565">
        <v>0</v>
      </c>
      <c r="L26" s="453"/>
    </row>
    <row r="27" spans="1:12" s="433" customFormat="1" ht="13.5" customHeight="1" x14ac:dyDescent="0.2">
      <c r="A27" s="1252" t="s">
        <v>184</v>
      </c>
      <c r="B27" s="432">
        <v>7130</v>
      </c>
      <c r="C27" s="1565">
        <v>0</v>
      </c>
      <c r="D27" s="1565">
        <v>4000000</v>
      </c>
      <c r="E27" s="1612"/>
      <c r="F27" s="1565">
        <v>450000</v>
      </c>
      <c r="G27" s="1575"/>
      <c r="H27" s="1575"/>
      <c r="I27" s="1575"/>
      <c r="J27" s="1575"/>
      <c r="K27" s="1575"/>
      <c r="L27" s="453"/>
    </row>
    <row r="28" spans="1:12" s="433" customFormat="1" ht="13.5" customHeight="1" x14ac:dyDescent="0.2">
      <c r="A28" s="1252" t="s">
        <v>1378</v>
      </c>
      <c r="B28" s="432">
        <v>7140</v>
      </c>
      <c r="C28" s="1565">
        <v>0</v>
      </c>
      <c r="D28" s="1565">
        <v>0</v>
      </c>
      <c r="E28" s="1565">
        <v>0</v>
      </c>
      <c r="F28" s="1565">
        <v>0</v>
      </c>
      <c r="G28" s="1565">
        <v>0</v>
      </c>
      <c r="H28" s="1565">
        <v>0</v>
      </c>
      <c r="I28" s="1565">
        <v>0</v>
      </c>
      <c r="J28" s="1565">
        <v>0</v>
      </c>
      <c r="K28" s="1565">
        <v>0</v>
      </c>
      <c r="L28" s="453"/>
    </row>
    <row r="29" spans="1:12" s="433" customFormat="1" ht="13.5" customHeight="1" x14ac:dyDescent="0.2">
      <c r="A29" s="1252" t="s">
        <v>291</v>
      </c>
      <c r="B29" s="432">
        <v>7150</v>
      </c>
      <c r="C29" s="1571"/>
      <c r="D29" s="1565">
        <v>0</v>
      </c>
      <c r="E29" s="1571"/>
      <c r="F29" s="1571"/>
      <c r="G29" s="1571"/>
      <c r="H29" s="1571"/>
      <c r="I29" s="1571"/>
      <c r="J29" s="1571"/>
      <c r="K29" s="1571"/>
      <c r="L29" s="453"/>
    </row>
    <row r="30" spans="1:12" s="433" customFormat="1" ht="26.25" x14ac:dyDescent="0.2">
      <c r="A30" s="1252" t="s">
        <v>1765</v>
      </c>
      <c r="B30" s="455">
        <v>7160</v>
      </c>
      <c r="C30" s="1572"/>
      <c r="D30" s="1565">
        <v>0</v>
      </c>
      <c r="E30" s="1572"/>
      <c r="F30" s="1572"/>
      <c r="G30" s="1572"/>
      <c r="H30" s="1572"/>
      <c r="I30" s="1572"/>
      <c r="J30" s="1572"/>
      <c r="K30" s="1572"/>
      <c r="L30" s="453"/>
    </row>
    <row r="31" spans="1:12" s="433" customFormat="1" ht="26.25" x14ac:dyDescent="0.2">
      <c r="A31" s="1252" t="s">
        <v>1769</v>
      </c>
      <c r="B31" s="455">
        <v>7170</v>
      </c>
      <c r="C31" s="1572"/>
      <c r="D31" s="1572"/>
      <c r="E31" s="1570">
        <v>0</v>
      </c>
      <c r="F31" s="1572"/>
      <c r="G31" s="1572"/>
      <c r="H31" s="1572"/>
      <c r="I31" s="1572"/>
      <c r="J31" s="1572"/>
      <c r="K31" s="1572"/>
      <c r="L31" s="453"/>
    </row>
    <row r="32" spans="1:12" s="433" customFormat="1" ht="15.75" customHeight="1" x14ac:dyDescent="0.2">
      <c r="A32" s="2258" t="s">
        <v>973</v>
      </c>
      <c r="B32" s="2259"/>
      <c r="C32" s="1572"/>
      <c r="D32" s="1572"/>
      <c r="E32" s="1571"/>
      <c r="F32" s="1572"/>
      <c r="G32" s="1572"/>
      <c r="H32" s="1572"/>
      <c r="I32" s="1572"/>
      <c r="J32" s="1572"/>
      <c r="K32" s="1572"/>
      <c r="L32" s="453"/>
    </row>
    <row r="33" spans="1:12" s="433" customFormat="1" x14ac:dyDescent="0.2">
      <c r="A33" s="1252" t="s">
        <v>409</v>
      </c>
      <c r="B33" s="454">
        <v>7210</v>
      </c>
      <c r="C33" s="1565">
        <v>0</v>
      </c>
      <c r="D33" s="1565">
        <v>0</v>
      </c>
      <c r="E33" s="1565">
        <v>0</v>
      </c>
      <c r="F33" s="1565">
        <v>0</v>
      </c>
      <c r="G33" s="1572"/>
      <c r="H33" s="1565">
        <v>0</v>
      </c>
      <c r="I33" s="1565">
        <v>0</v>
      </c>
      <c r="J33" s="1565">
        <v>0</v>
      </c>
      <c r="K33" s="1565">
        <v>0</v>
      </c>
      <c r="L33" s="453"/>
    </row>
    <row r="34" spans="1:12" s="433" customFormat="1" x14ac:dyDescent="0.2">
      <c r="A34" s="1252" t="s">
        <v>993</v>
      </c>
      <c r="B34" s="454">
        <v>7220</v>
      </c>
      <c r="C34" s="1565">
        <v>0</v>
      </c>
      <c r="D34" s="1565">
        <v>0</v>
      </c>
      <c r="E34" s="1565">
        <v>0</v>
      </c>
      <c r="F34" s="1565">
        <v>0</v>
      </c>
      <c r="G34" s="1572"/>
      <c r="H34" s="1573">
        <v>0</v>
      </c>
      <c r="I34" s="1573">
        <v>0</v>
      </c>
      <c r="J34" s="1573">
        <v>0</v>
      </c>
      <c r="K34" s="1573">
        <v>0</v>
      </c>
      <c r="L34" s="453"/>
    </row>
    <row r="35" spans="1:12" s="433" customFormat="1" x14ac:dyDescent="0.2">
      <c r="A35" s="1252" t="s">
        <v>982</v>
      </c>
      <c r="B35" s="454">
        <v>7230</v>
      </c>
      <c r="C35" s="1565">
        <v>0</v>
      </c>
      <c r="D35" s="1565">
        <v>0</v>
      </c>
      <c r="E35" s="1565">
        <v>0</v>
      </c>
      <c r="F35" s="1565">
        <v>0</v>
      </c>
      <c r="G35" s="1575"/>
      <c r="H35" s="1565">
        <v>0</v>
      </c>
      <c r="I35" s="1565">
        <v>0</v>
      </c>
      <c r="J35" s="1565">
        <v>0</v>
      </c>
      <c r="K35" s="1565">
        <v>0</v>
      </c>
      <c r="L35" s="453"/>
    </row>
    <row r="36" spans="1:12" s="433" customFormat="1" ht="15" x14ac:dyDescent="0.2">
      <c r="A36" s="1252" t="s">
        <v>1636</v>
      </c>
      <c r="B36" s="454">
        <v>7300</v>
      </c>
      <c r="C36" s="1565">
        <v>0</v>
      </c>
      <c r="D36" s="1565">
        <v>0</v>
      </c>
      <c r="E36" s="1565">
        <v>0</v>
      </c>
      <c r="F36" s="1565">
        <v>0</v>
      </c>
      <c r="G36" s="1565">
        <v>0</v>
      </c>
      <c r="H36" s="1565">
        <v>0</v>
      </c>
      <c r="I36" s="1571"/>
      <c r="J36" s="1565">
        <v>0</v>
      </c>
      <c r="K36" s="1565">
        <v>0</v>
      </c>
      <c r="L36" s="453"/>
    </row>
    <row r="37" spans="1:12" s="433" customFormat="1" x14ac:dyDescent="0.2">
      <c r="A37" s="1252" t="s">
        <v>438</v>
      </c>
      <c r="B37" s="454">
        <v>7400</v>
      </c>
      <c r="C37" s="1571"/>
      <c r="D37" s="1571"/>
      <c r="E37" s="1596">
        <f>SUM(C54:D57,H54:H57)</f>
        <v>0</v>
      </c>
      <c r="F37" s="1571"/>
      <c r="G37" s="1571"/>
      <c r="H37" s="1571"/>
      <c r="I37" s="1572"/>
      <c r="J37" s="1571"/>
      <c r="K37" s="1571"/>
      <c r="L37" s="453"/>
    </row>
    <row r="38" spans="1:12" s="433" customFormat="1" x14ac:dyDescent="0.2">
      <c r="A38" s="1252" t="s">
        <v>439</v>
      </c>
      <c r="B38" s="454">
        <v>7500</v>
      </c>
      <c r="C38" s="1572"/>
      <c r="D38" s="1572"/>
      <c r="E38" s="1596">
        <f>SUM(C58:D61,H58:H61)</f>
        <v>0</v>
      </c>
      <c r="F38" s="1572"/>
      <c r="G38" s="1572"/>
      <c r="H38" s="1572"/>
      <c r="I38" s="1572"/>
      <c r="J38" s="1572"/>
      <c r="K38" s="1572"/>
      <c r="L38" s="453"/>
    </row>
    <row r="39" spans="1:12" s="433" customFormat="1" x14ac:dyDescent="0.2">
      <c r="A39" s="1252" t="s">
        <v>440</v>
      </c>
      <c r="B39" s="454">
        <v>7600</v>
      </c>
      <c r="C39" s="1572"/>
      <c r="D39" s="1572"/>
      <c r="E39" s="1596">
        <f>SUM(C62:D65)</f>
        <v>0</v>
      </c>
      <c r="F39" s="1572"/>
      <c r="G39" s="1572"/>
      <c r="H39" s="1572"/>
      <c r="I39" s="1572"/>
      <c r="J39" s="1572"/>
      <c r="K39" s="1572"/>
      <c r="L39" s="453"/>
    </row>
    <row r="40" spans="1:12" s="433" customFormat="1" ht="13.5" customHeight="1" x14ac:dyDescent="0.2">
      <c r="A40" s="1252" t="s">
        <v>637</v>
      </c>
      <c r="B40" s="432">
        <v>7700</v>
      </c>
      <c r="C40" s="1572"/>
      <c r="D40" s="1572"/>
      <c r="E40" s="1596">
        <f>SUM(C66:D69)</f>
        <v>0</v>
      </c>
      <c r="F40" s="1572"/>
      <c r="G40" s="1572"/>
      <c r="H40" s="1575"/>
      <c r="I40" s="1572"/>
      <c r="J40" s="1572"/>
      <c r="K40" s="1572"/>
      <c r="L40" s="453"/>
    </row>
    <row r="41" spans="1:12" s="433" customFormat="1" ht="13.5" customHeight="1" x14ac:dyDescent="0.2">
      <c r="A41" s="1252" t="s">
        <v>635</v>
      </c>
      <c r="B41" s="432">
        <v>7800</v>
      </c>
      <c r="C41" s="1575"/>
      <c r="D41" s="1575"/>
      <c r="E41" s="1612"/>
      <c r="F41" s="1575"/>
      <c r="G41" s="1575"/>
      <c r="H41" s="1596">
        <f>SUM(C70:D73)</f>
        <v>0</v>
      </c>
      <c r="I41" s="1572"/>
      <c r="J41" s="1572"/>
      <c r="K41" s="1575"/>
      <c r="L41" s="453"/>
    </row>
    <row r="42" spans="1:12" s="433" customFormat="1" ht="13.5" customHeight="1" x14ac:dyDescent="0.2">
      <c r="A42" s="1252" t="s">
        <v>636</v>
      </c>
      <c r="B42" s="432">
        <v>7900</v>
      </c>
      <c r="C42" s="1565">
        <v>0</v>
      </c>
      <c r="D42" s="1565">
        <v>0</v>
      </c>
      <c r="E42" s="1565">
        <v>0</v>
      </c>
      <c r="F42" s="1565">
        <v>0</v>
      </c>
      <c r="G42" s="1565">
        <v>0</v>
      </c>
      <c r="H42" s="1565">
        <v>0</v>
      </c>
      <c r="I42" s="1575"/>
      <c r="J42" s="1575"/>
      <c r="K42" s="1565">
        <v>0</v>
      </c>
      <c r="L42" s="453"/>
    </row>
    <row r="43" spans="1:12" s="433" customFormat="1" ht="13.5" customHeight="1" x14ac:dyDescent="0.2">
      <c r="A43" s="1252" t="s">
        <v>370</v>
      </c>
      <c r="B43" s="432">
        <v>7990</v>
      </c>
      <c r="C43" s="1565">
        <v>0</v>
      </c>
      <c r="D43" s="1565">
        <v>0</v>
      </c>
      <c r="E43" s="1565">
        <v>0</v>
      </c>
      <c r="F43" s="1565">
        <v>0</v>
      </c>
      <c r="G43" s="1565">
        <v>0</v>
      </c>
      <c r="H43" s="1565">
        <v>0</v>
      </c>
      <c r="I43" s="1565">
        <v>0</v>
      </c>
      <c r="J43" s="1565">
        <v>0</v>
      </c>
      <c r="K43" s="1565">
        <v>0</v>
      </c>
      <c r="L43" s="453"/>
    </row>
    <row r="44" spans="1:12" s="433" customFormat="1" ht="13.5" customHeight="1" thickBot="1" x14ac:dyDescent="0.25">
      <c r="A44" s="2266" t="s">
        <v>371</v>
      </c>
      <c r="B44" s="2267"/>
      <c r="C44" s="1613">
        <f>SUM(C24:C43)</f>
        <v>0</v>
      </c>
      <c r="D44" s="1613">
        <f t="shared" ref="D44:K44" si="6">SUM(D24:D43)</f>
        <v>4000000</v>
      </c>
      <c r="E44" s="1613">
        <f t="shared" si="6"/>
        <v>0</v>
      </c>
      <c r="F44" s="1613">
        <f t="shared" si="6"/>
        <v>450000</v>
      </c>
      <c r="G44" s="1613">
        <f t="shared" si="6"/>
        <v>0</v>
      </c>
      <c r="H44" s="1613">
        <f t="shared" si="6"/>
        <v>0</v>
      </c>
      <c r="I44" s="1613">
        <f t="shared" si="6"/>
        <v>0</v>
      </c>
      <c r="J44" s="1613">
        <f t="shared" si="6"/>
        <v>0</v>
      </c>
      <c r="K44" s="1613">
        <f t="shared" si="6"/>
        <v>0</v>
      </c>
      <c r="L44" s="453"/>
    </row>
    <row r="45" spans="1:12" ht="15.75" customHeight="1" thickTop="1" x14ac:dyDescent="0.2">
      <c r="A45" s="2260" t="s">
        <v>108</v>
      </c>
      <c r="B45" s="2261"/>
      <c r="C45" s="1614"/>
      <c r="D45" s="1614"/>
      <c r="E45" s="1614"/>
      <c r="F45" s="1614"/>
      <c r="G45" s="1614"/>
      <c r="H45" s="1614"/>
      <c r="I45" s="1614"/>
      <c r="J45" s="1614"/>
      <c r="K45" s="1614"/>
      <c r="L45" s="325"/>
    </row>
    <row r="46" spans="1:12" s="433" customFormat="1" ht="15.75" customHeight="1" x14ac:dyDescent="0.2">
      <c r="A46" s="2268" t="s">
        <v>109</v>
      </c>
      <c r="B46" s="2269"/>
      <c r="C46" s="1572"/>
      <c r="D46" s="1572"/>
      <c r="E46" s="1572"/>
      <c r="F46" s="1572"/>
      <c r="G46" s="1572"/>
      <c r="H46" s="1572"/>
      <c r="I46" s="1575"/>
      <c r="J46" s="1572"/>
      <c r="K46" s="1572"/>
      <c r="L46" s="456"/>
    </row>
    <row r="47" spans="1:12" s="433" customFormat="1" ht="15" x14ac:dyDescent="0.2">
      <c r="A47" s="1253" t="s">
        <v>1637</v>
      </c>
      <c r="B47" s="432">
        <v>8110</v>
      </c>
      <c r="C47" s="1572"/>
      <c r="D47" s="1572"/>
      <c r="E47" s="1572"/>
      <c r="F47" s="1572"/>
      <c r="G47" s="1572"/>
      <c r="H47" s="1572"/>
      <c r="I47" s="1596">
        <f>SUM(C24,C25:H25,J25:K25)</f>
        <v>0</v>
      </c>
      <c r="J47" s="1572"/>
      <c r="K47" s="1572"/>
      <c r="L47" s="456"/>
    </row>
    <row r="48" spans="1:12" s="433" customFormat="1" ht="15" x14ac:dyDescent="0.2">
      <c r="A48" s="1253" t="s">
        <v>1638</v>
      </c>
      <c r="B48" s="432">
        <v>8120</v>
      </c>
      <c r="C48" s="1575"/>
      <c r="D48" s="1575"/>
      <c r="E48" s="1572"/>
      <c r="F48" s="1575"/>
      <c r="G48" s="1572"/>
      <c r="H48" s="1572"/>
      <c r="I48" s="1596">
        <f>SUM(C26:H26,J26,K26)</f>
        <v>0</v>
      </c>
      <c r="J48" s="1572"/>
      <c r="K48" s="1572"/>
      <c r="L48" s="456"/>
    </row>
    <row r="49" spans="1:12" s="433" customFormat="1" x14ac:dyDescent="0.2">
      <c r="A49" s="1253" t="s">
        <v>184</v>
      </c>
      <c r="B49" s="432">
        <v>8130</v>
      </c>
      <c r="C49" s="1565">
        <v>4450000</v>
      </c>
      <c r="D49" s="1565">
        <v>0</v>
      </c>
      <c r="E49" s="1575"/>
      <c r="F49" s="1565">
        <v>0</v>
      </c>
      <c r="G49" s="1575"/>
      <c r="H49" s="1575"/>
      <c r="I49" s="1572"/>
      <c r="J49" s="1575"/>
      <c r="K49" s="1572"/>
      <c r="L49" s="453"/>
    </row>
    <row r="50" spans="1:12" s="433" customFormat="1" x14ac:dyDescent="0.2">
      <c r="A50" s="1253" t="s">
        <v>1378</v>
      </c>
      <c r="B50" s="432">
        <v>8140</v>
      </c>
      <c r="C50" s="1565">
        <v>0</v>
      </c>
      <c r="D50" s="1565">
        <v>0</v>
      </c>
      <c r="E50" s="1565">
        <v>0</v>
      </c>
      <c r="F50" s="1565">
        <v>0</v>
      </c>
      <c r="G50" s="1565">
        <v>0</v>
      </c>
      <c r="H50" s="1565">
        <v>0</v>
      </c>
      <c r="I50" s="1572"/>
      <c r="J50" s="1565">
        <v>0</v>
      </c>
      <c r="K50" s="1572"/>
      <c r="L50" s="453"/>
    </row>
    <row r="51" spans="1:12" s="433" customFormat="1" x14ac:dyDescent="0.2">
      <c r="A51" s="1253" t="s">
        <v>291</v>
      </c>
      <c r="B51" s="432">
        <v>8150</v>
      </c>
      <c r="C51" s="1571"/>
      <c r="D51" s="1571"/>
      <c r="E51" s="1571"/>
      <c r="F51" s="1571"/>
      <c r="G51" s="1571"/>
      <c r="H51" s="1596">
        <f>SUM(D29)</f>
        <v>0</v>
      </c>
      <c r="I51" s="1572"/>
      <c r="J51" s="1571"/>
      <c r="K51" s="1575"/>
      <c r="L51" s="453"/>
    </row>
    <row r="52" spans="1:12" s="433" customFormat="1" ht="26.25" x14ac:dyDescent="0.2">
      <c r="A52" s="1253" t="s">
        <v>1768</v>
      </c>
      <c r="B52" s="432">
        <v>8160</v>
      </c>
      <c r="C52" s="1572"/>
      <c r="D52" s="1572"/>
      <c r="E52" s="1572"/>
      <c r="F52" s="1572"/>
      <c r="G52" s="1572"/>
      <c r="H52" s="1572"/>
      <c r="I52" s="1572"/>
      <c r="J52" s="1572"/>
      <c r="K52" s="1596">
        <f>D30</f>
        <v>0</v>
      </c>
      <c r="L52" s="453"/>
    </row>
    <row r="53" spans="1:12" s="433" customFormat="1" ht="26.25" x14ac:dyDescent="0.2">
      <c r="A53" s="1253" t="s">
        <v>1767</v>
      </c>
      <c r="B53" s="432">
        <v>8170</v>
      </c>
      <c r="C53" s="1575"/>
      <c r="D53" s="1575"/>
      <c r="E53" s="1572"/>
      <c r="F53" s="1572"/>
      <c r="G53" s="1572"/>
      <c r="H53" s="1575"/>
      <c r="I53" s="1572"/>
      <c r="J53" s="1572"/>
      <c r="K53" s="1596">
        <f>E31</f>
        <v>0</v>
      </c>
      <c r="L53" s="453"/>
    </row>
    <row r="54" spans="1:12" s="433" customFormat="1" ht="13.5" thickBot="1" x14ac:dyDescent="0.25">
      <c r="A54" s="1253" t="s">
        <v>686</v>
      </c>
      <c r="B54" s="432">
        <v>8410</v>
      </c>
      <c r="C54" s="1615">
        <v>0</v>
      </c>
      <c r="D54" s="1615">
        <v>0</v>
      </c>
      <c r="E54" s="1572"/>
      <c r="F54" s="1572"/>
      <c r="G54" s="1572"/>
      <c r="H54" s="1615">
        <v>0</v>
      </c>
      <c r="I54" s="1572"/>
      <c r="J54" s="1572"/>
      <c r="K54" s="1571"/>
      <c r="L54" s="453"/>
    </row>
    <row r="55" spans="1:12" s="433" customFormat="1" ht="14.25" thickTop="1" thickBot="1" x14ac:dyDescent="0.25">
      <c r="A55" s="1254" t="s">
        <v>687</v>
      </c>
      <c r="B55" s="432">
        <v>8420</v>
      </c>
      <c r="C55" s="1616">
        <v>0</v>
      </c>
      <c r="D55" s="1616">
        <v>0</v>
      </c>
      <c r="E55" s="1572"/>
      <c r="F55" s="1572"/>
      <c r="G55" s="1572"/>
      <c r="H55" s="1615">
        <v>0</v>
      </c>
      <c r="I55" s="1572"/>
      <c r="J55" s="1572"/>
      <c r="K55" s="1572"/>
      <c r="L55" s="453"/>
    </row>
    <row r="56" spans="1:12" s="433" customFormat="1" ht="14.25" thickTop="1" thickBot="1" x14ac:dyDescent="0.25">
      <c r="A56" s="1253" t="s">
        <v>577</v>
      </c>
      <c r="B56" s="432">
        <v>8430</v>
      </c>
      <c r="C56" s="1616">
        <v>0</v>
      </c>
      <c r="D56" s="1616">
        <v>0</v>
      </c>
      <c r="E56" s="1572"/>
      <c r="F56" s="1572"/>
      <c r="G56" s="1572"/>
      <c r="H56" s="1615">
        <v>0</v>
      </c>
      <c r="I56" s="1572"/>
      <c r="J56" s="1572"/>
      <c r="K56" s="1572"/>
      <c r="L56" s="453"/>
    </row>
    <row r="57" spans="1:12" s="433" customFormat="1" ht="14.25" thickTop="1" thickBot="1" x14ac:dyDescent="0.25">
      <c r="A57" s="1254" t="s">
        <v>574</v>
      </c>
      <c r="B57" s="432">
        <v>8440</v>
      </c>
      <c r="C57" s="1616">
        <v>0</v>
      </c>
      <c r="D57" s="1616">
        <v>0</v>
      </c>
      <c r="E57" s="1572"/>
      <c r="F57" s="1572"/>
      <c r="G57" s="1572"/>
      <c r="H57" s="1615">
        <v>0</v>
      </c>
      <c r="I57" s="1572"/>
      <c r="J57" s="1572"/>
      <c r="K57" s="1572"/>
      <c r="L57" s="453"/>
    </row>
    <row r="58" spans="1:12" s="433" customFormat="1" ht="14.25" thickTop="1" thickBot="1" x14ac:dyDescent="0.25">
      <c r="A58" s="1253" t="s">
        <v>575</v>
      </c>
      <c r="B58" s="432">
        <v>8510</v>
      </c>
      <c r="C58" s="1616">
        <v>0</v>
      </c>
      <c r="D58" s="1616">
        <v>0</v>
      </c>
      <c r="E58" s="1572"/>
      <c r="F58" s="1572"/>
      <c r="G58" s="1572"/>
      <c r="H58" s="1615">
        <v>0</v>
      </c>
      <c r="I58" s="1572"/>
      <c r="J58" s="1572"/>
      <c r="K58" s="1572"/>
      <c r="L58" s="453"/>
    </row>
    <row r="59" spans="1:12" s="433" customFormat="1" ht="14.25" thickTop="1" thickBot="1" x14ac:dyDescent="0.25">
      <c r="A59" s="1255" t="s">
        <v>688</v>
      </c>
      <c r="B59" s="432">
        <v>8520</v>
      </c>
      <c r="C59" s="1616">
        <v>0</v>
      </c>
      <c r="D59" s="1616">
        <v>0</v>
      </c>
      <c r="E59" s="1572"/>
      <c r="F59" s="1572"/>
      <c r="G59" s="1572"/>
      <c r="H59" s="1615">
        <v>0</v>
      </c>
      <c r="I59" s="1572"/>
      <c r="J59" s="1572"/>
      <c r="K59" s="1572"/>
      <c r="L59" s="453"/>
    </row>
    <row r="60" spans="1:12" s="433" customFormat="1" ht="14.25" thickTop="1" thickBot="1" x14ac:dyDescent="0.25">
      <c r="A60" s="1253" t="s">
        <v>576</v>
      </c>
      <c r="B60" s="432">
        <v>8530</v>
      </c>
      <c r="C60" s="1616">
        <v>0</v>
      </c>
      <c r="D60" s="1616">
        <v>0</v>
      </c>
      <c r="E60" s="1572"/>
      <c r="F60" s="1572"/>
      <c r="G60" s="1572"/>
      <c r="H60" s="1615">
        <v>0</v>
      </c>
      <c r="I60" s="1572"/>
      <c r="J60" s="1572"/>
      <c r="K60" s="1572"/>
      <c r="L60" s="453"/>
    </row>
    <row r="61" spans="1:12" s="433" customFormat="1" ht="14.25" thickTop="1" thickBot="1" x14ac:dyDescent="0.25">
      <c r="A61" s="1254" t="s">
        <v>737</v>
      </c>
      <c r="B61" s="432">
        <v>8540</v>
      </c>
      <c r="C61" s="1616">
        <v>0</v>
      </c>
      <c r="D61" s="1616">
        <v>0</v>
      </c>
      <c r="E61" s="1572"/>
      <c r="F61" s="1572"/>
      <c r="G61" s="1572"/>
      <c r="H61" s="1615">
        <v>0</v>
      </c>
      <c r="I61" s="1572"/>
      <c r="J61" s="1572"/>
      <c r="K61" s="1572"/>
      <c r="L61" s="453"/>
    </row>
    <row r="62" spans="1:12" s="433" customFormat="1" ht="13.5" customHeight="1" thickTop="1" thickBot="1" x14ac:dyDescent="0.25">
      <c r="A62" s="1253" t="s">
        <v>738</v>
      </c>
      <c r="B62" s="432">
        <v>8610</v>
      </c>
      <c r="C62" s="1616">
        <v>0</v>
      </c>
      <c r="D62" s="1616">
        <v>0</v>
      </c>
      <c r="E62" s="1572"/>
      <c r="F62" s="1572"/>
      <c r="G62" s="1572"/>
      <c r="H62" s="1572"/>
      <c r="I62" s="1572"/>
      <c r="J62" s="1572"/>
      <c r="K62" s="1572"/>
      <c r="L62" s="453"/>
    </row>
    <row r="63" spans="1:12" s="433" customFormat="1" ht="14.25" thickTop="1" thickBot="1" x14ac:dyDescent="0.25">
      <c r="A63" s="1254" t="s">
        <v>689</v>
      </c>
      <c r="B63" s="432">
        <v>8620</v>
      </c>
      <c r="C63" s="1616">
        <v>0</v>
      </c>
      <c r="D63" s="1616">
        <v>0</v>
      </c>
      <c r="E63" s="1572"/>
      <c r="F63" s="1572"/>
      <c r="G63" s="1572"/>
      <c r="H63" s="1572"/>
      <c r="I63" s="1572"/>
      <c r="J63" s="1572"/>
      <c r="K63" s="1572"/>
      <c r="L63" s="453"/>
    </row>
    <row r="64" spans="1:12" s="433" customFormat="1" ht="13.5" customHeight="1" thickTop="1" thickBot="1" x14ac:dyDescent="0.25">
      <c r="A64" s="1253" t="s">
        <v>739</v>
      </c>
      <c r="B64" s="432">
        <v>8630</v>
      </c>
      <c r="C64" s="1616">
        <v>0</v>
      </c>
      <c r="D64" s="1616">
        <v>0</v>
      </c>
      <c r="E64" s="1572"/>
      <c r="F64" s="1572"/>
      <c r="G64" s="1572"/>
      <c r="H64" s="1572"/>
      <c r="I64" s="1572"/>
      <c r="J64" s="1572"/>
      <c r="K64" s="1572"/>
      <c r="L64" s="453"/>
    </row>
    <row r="65" spans="1:12" s="433" customFormat="1" ht="14.25" thickTop="1" thickBot="1" x14ac:dyDescent="0.25">
      <c r="A65" s="1254" t="s">
        <v>740</v>
      </c>
      <c r="B65" s="432">
        <v>8640</v>
      </c>
      <c r="C65" s="1616">
        <v>0</v>
      </c>
      <c r="D65" s="1616">
        <v>0</v>
      </c>
      <c r="E65" s="1572"/>
      <c r="F65" s="1572"/>
      <c r="G65" s="1572"/>
      <c r="H65" s="1572"/>
      <c r="I65" s="1572"/>
      <c r="J65" s="1572"/>
      <c r="K65" s="1572"/>
      <c r="L65" s="453"/>
    </row>
    <row r="66" spans="1:12" s="433" customFormat="1" ht="14.25" thickTop="1" thickBot="1" x14ac:dyDescent="0.25">
      <c r="A66" s="1253" t="s">
        <v>741</v>
      </c>
      <c r="B66" s="432">
        <v>8710</v>
      </c>
      <c r="C66" s="1616">
        <v>0</v>
      </c>
      <c r="D66" s="1616">
        <v>0</v>
      </c>
      <c r="E66" s="1572"/>
      <c r="F66" s="1572"/>
      <c r="G66" s="1572"/>
      <c r="H66" s="1572"/>
      <c r="I66" s="1572"/>
      <c r="J66" s="1572"/>
      <c r="K66" s="1572"/>
      <c r="L66" s="453"/>
    </row>
    <row r="67" spans="1:12" s="433" customFormat="1" ht="14.25" thickTop="1" thickBot="1" x14ac:dyDescent="0.25">
      <c r="A67" s="1254" t="s">
        <v>690</v>
      </c>
      <c r="B67" s="432">
        <v>8720</v>
      </c>
      <c r="C67" s="1616">
        <v>0</v>
      </c>
      <c r="D67" s="1616">
        <v>0</v>
      </c>
      <c r="E67" s="1572"/>
      <c r="F67" s="1572"/>
      <c r="G67" s="1572"/>
      <c r="H67" s="1572"/>
      <c r="I67" s="1572"/>
      <c r="J67" s="1572"/>
      <c r="K67" s="1572"/>
      <c r="L67" s="453"/>
    </row>
    <row r="68" spans="1:12" s="433" customFormat="1" ht="14.25" thickTop="1" thickBot="1" x14ac:dyDescent="0.25">
      <c r="A68" s="1255" t="s">
        <v>742</v>
      </c>
      <c r="B68" s="432">
        <v>8730</v>
      </c>
      <c r="C68" s="1616">
        <v>0</v>
      </c>
      <c r="D68" s="1616">
        <v>0</v>
      </c>
      <c r="E68" s="1572"/>
      <c r="F68" s="1572"/>
      <c r="G68" s="1572"/>
      <c r="H68" s="1572"/>
      <c r="I68" s="1572"/>
      <c r="J68" s="1572"/>
      <c r="K68" s="1572"/>
      <c r="L68" s="453"/>
    </row>
    <row r="69" spans="1:12" s="433" customFormat="1" ht="14.25" thickTop="1" thickBot="1" x14ac:dyDescent="0.25">
      <c r="A69" s="1254" t="s">
        <v>743</v>
      </c>
      <c r="B69" s="432">
        <v>8740</v>
      </c>
      <c r="C69" s="1616">
        <v>0</v>
      </c>
      <c r="D69" s="1616">
        <v>0</v>
      </c>
      <c r="E69" s="1572"/>
      <c r="F69" s="1572"/>
      <c r="G69" s="1572"/>
      <c r="H69" s="1572"/>
      <c r="I69" s="1572"/>
      <c r="J69" s="1572"/>
      <c r="K69" s="1572"/>
      <c r="L69" s="453"/>
    </row>
    <row r="70" spans="1:12" s="433" customFormat="1" ht="14.25" thickTop="1" thickBot="1" x14ac:dyDescent="0.25">
      <c r="A70" s="1253" t="s">
        <v>744</v>
      </c>
      <c r="B70" s="432">
        <v>8810</v>
      </c>
      <c r="C70" s="1616">
        <v>0</v>
      </c>
      <c r="D70" s="1616">
        <v>0</v>
      </c>
      <c r="E70" s="1572"/>
      <c r="F70" s="1572"/>
      <c r="G70" s="1572"/>
      <c r="H70" s="1572"/>
      <c r="I70" s="1572"/>
      <c r="J70" s="1572"/>
      <c r="K70" s="1572"/>
      <c r="L70" s="453"/>
    </row>
    <row r="71" spans="1:12" s="433" customFormat="1" ht="14.25" thickTop="1" thickBot="1" x14ac:dyDescent="0.25">
      <c r="A71" s="1253" t="s">
        <v>748</v>
      </c>
      <c r="B71" s="432">
        <v>8820</v>
      </c>
      <c r="C71" s="1616">
        <v>0</v>
      </c>
      <c r="D71" s="1616">
        <v>0</v>
      </c>
      <c r="E71" s="1572"/>
      <c r="F71" s="1572"/>
      <c r="G71" s="1572"/>
      <c r="H71" s="1572"/>
      <c r="I71" s="1572"/>
      <c r="J71" s="1572"/>
      <c r="K71" s="1572"/>
      <c r="L71" s="453"/>
    </row>
    <row r="72" spans="1:12" s="433" customFormat="1" ht="14.25" thickTop="1" thickBot="1" x14ac:dyDescent="0.25">
      <c r="A72" s="1253" t="s">
        <v>745</v>
      </c>
      <c r="B72" s="432">
        <v>8830</v>
      </c>
      <c r="C72" s="1616">
        <v>0</v>
      </c>
      <c r="D72" s="1616">
        <v>0</v>
      </c>
      <c r="E72" s="1572"/>
      <c r="F72" s="1572"/>
      <c r="G72" s="1572"/>
      <c r="H72" s="1572"/>
      <c r="I72" s="1572"/>
      <c r="J72" s="1572"/>
      <c r="K72" s="1572"/>
      <c r="L72" s="453"/>
    </row>
    <row r="73" spans="1:12" s="433" customFormat="1" ht="14.25" thickTop="1" thickBot="1" x14ac:dyDescent="0.25">
      <c r="A73" s="1253" t="s">
        <v>746</v>
      </c>
      <c r="B73" s="432">
        <v>8840</v>
      </c>
      <c r="C73" s="1616">
        <v>0</v>
      </c>
      <c r="D73" s="1616">
        <v>0</v>
      </c>
      <c r="E73" s="1572"/>
      <c r="F73" s="1572"/>
      <c r="G73" s="1572"/>
      <c r="H73" s="1572"/>
      <c r="I73" s="1572"/>
      <c r="J73" s="1572"/>
      <c r="K73" s="1575"/>
      <c r="L73" s="453"/>
    </row>
    <row r="74" spans="1:12" s="433" customFormat="1" ht="14.25" thickTop="1" thickBot="1" x14ac:dyDescent="0.25">
      <c r="A74" s="1253" t="s">
        <v>372</v>
      </c>
      <c r="B74" s="432">
        <v>8910</v>
      </c>
      <c r="C74" s="1616">
        <v>0</v>
      </c>
      <c r="D74" s="1616">
        <v>0</v>
      </c>
      <c r="E74" s="1575"/>
      <c r="F74" s="1615">
        <v>0</v>
      </c>
      <c r="G74" s="1615">
        <v>0</v>
      </c>
      <c r="H74" s="1615">
        <v>0</v>
      </c>
      <c r="I74" s="1575"/>
      <c r="J74" s="1575"/>
      <c r="K74" s="1615">
        <v>0</v>
      </c>
      <c r="L74" s="453"/>
    </row>
    <row r="75" spans="1:12" s="433" customFormat="1" ht="14.25" thickTop="1" thickBot="1" x14ac:dyDescent="0.25">
      <c r="A75" s="1256" t="s">
        <v>436</v>
      </c>
      <c r="B75" s="432">
        <v>8990</v>
      </c>
      <c r="C75" s="1616">
        <v>0</v>
      </c>
      <c r="D75" s="1616">
        <v>0</v>
      </c>
      <c r="E75" s="1615">
        <v>0</v>
      </c>
      <c r="F75" s="1617">
        <v>0</v>
      </c>
      <c r="G75" s="1617">
        <v>0</v>
      </c>
      <c r="H75" s="1617">
        <v>0</v>
      </c>
      <c r="I75" s="1615">
        <v>0</v>
      </c>
      <c r="J75" s="1615">
        <v>0</v>
      </c>
      <c r="K75" s="1617">
        <v>0</v>
      </c>
      <c r="L75" s="453"/>
    </row>
    <row r="76" spans="1:12" s="433" customFormat="1" ht="14.25" thickTop="1" thickBot="1" x14ac:dyDescent="0.25">
      <c r="A76" s="2242" t="s">
        <v>437</v>
      </c>
      <c r="B76" s="2243"/>
      <c r="C76" s="1613">
        <f t="shared" ref="C76:K76" si="7">SUM(C47:C75)</f>
        <v>4450000</v>
      </c>
      <c r="D76" s="1613">
        <f t="shared" si="7"/>
        <v>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44" t="s">
        <v>1166</v>
      </c>
      <c r="B77" s="2245"/>
      <c r="C77" s="1613">
        <f t="shared" ref="C77:K77" si="8">C44-C76</f>
        <v>-4450000</v>
      </c>
      <c r="D77" s="1613">
        <f t="shared" si="8"/>
        <v>4000000</v>
      </c>
      <c r="E77" s="1613">
        <f t="shared" si="8"/>
        <v>0</v>
      </c>
      <c r="F77" s="1613">
        <f t="shared" si="8"/>
        <v>450000</v>
      </c>
      <c r="G77" s="1613">
        <f t="shared" si="8"/>
        <v>0</v>
      </c>
      <c r="H77" s="1613">
        <f t="shared" si="8"/>
        <v>0</v>
      </c>
      <c r="I77" s="1613">
        <f t="shared" si="8"/>
        <v>0</v>
      </c>
      <c r="J77" s="1613">
        <f t="shared" si="8"/>
        <v>0</v>
      </c>
      <c r="K77" s="1613">
        <f t="shared" si="8"/>
        <v>0</v>
      </c>
      <c r="L77" s="325"/>
    </row>
    <row r="78" spans="1:12" ht="21.75" customHeight="1" thickTop="1" thickBot="1" x14ac:dyDescent="0.25">
      <c r="A78" s="2248" t="s">
        <v>593</v>
      </c>
      <c r="B78" s="2249"/>
      <c r="C78" s="1618">
        <f t="shared" ref="C78:K78" si="9">C20+C77</f>
        <v>-1415202</v>
      </c>
      <c r="D78" s="1618">
        <f t="shared" si="9"/>
        <v>82601</v>
      </c>
      <c r="E78" s="1618">
        <f t="shared" si="9"/>
        <v>3544</v>
      </c>
      <c r="F78" s="1618">
        <f t="shared" si="9"/>
        <v>181145</v>
      </c>
      <c r="G78" s="1618">
        <f t="shared" si="9"/>
        <v>43894</v>
      </c>
      <c r="H78" s="1618">
        <f t="shared" si="9"/>
        <v>0</v>
      </c>
      <c r="I78" s="1618">
        <f t="shared" si="9"/>
        <v>0</v>
      </c>
      <c r="J78" s="1618">
        <f t="shared" si="9"/>
        <v>0</v>
      </c>
      <c r="K78" s="1618">
        <f t="shared" si="9"/>
        <v>0</v>
      </c>
      <c r="L78" s="457"/>
    </row>
    <row r="79" spans="1:12" ht="13.5" thickTop="1" x14ac:dyDescent="0.2">
      <c r="A79" s="1826" t="str">
        <f>"Fund Balances - July 1, "&amp;'AFR20'!E2-1</f>
        <v>Fund Balances - July 1, 2019</v>
      </c>
      <c r="B79" s="458"/>
      <c r="C79" s="1573">
        <v>15242812</v>
      </c>
      <c r="D79" s="1619">
        <v>2621091</v>
      </c>
      <c r="E79" s="1619">
        <v>172498</v>
      </c>
      <c r="F79" s="1619">
        <v>401238</v>
      </c>
      <c r="G79" s="1619">
        <v>1714752</v>
      </c>
      <c r="H79" s="1619">
        <v>0</v>
      </c>
      <c r="I79" s="1619">
        <v>0</v>
      </c>
      <c r="J79" s="1619">
        <v>0</v>
      </c>
      <c r="K79" s="1619">
        <v>0</v>
      </c>
      <c r="L79" s="325"/>
    </row>
    <row r="80" spans="1:12" x14ac:dyDescent="0.2">
      <c r="A80" s="2254" t="s">
        <v>1766</v>
      </c>
      <c r="B80" s="2255"/>
      <c r="C80" s="1565"/>
      <c r="D80" s="1565"/>
      <c r="E80" s="1565"/>
      <c r="F80" s="1565"/>
      <c r="G80" s="1565"/>
      <c r="H80" s="1565"/>
      <c r="I80" s="1565"/>
      <c r="J80" s="1565"/>
      <c r="K80" s="1565"/>
      <c r="L80" s="325"/>
    </row>
    <row r="81" spans="1:12" ht="13.5" thickBot="1" x14ac:dyDescent="0.25">
      <c r="A81" s="2246" t="str">
        <f>"Fund Balances - June 30, "&amp;'AFR20'!E2</f>
        <v>Fund Balances - June 30, 2020</v>
      </c>
      <c r="B81" s="2247"/>
      <c r="C81" s="1584">
        <f>(SUM(C78:C80))</f>
        <v>13827610</v>
      </c>
      <c r="D81" s="1584">
        <f>SUM(D78:D80)</f>
        <v>2703692</v>
      </c>
      <c r="E81" s="1584">
        <f t="shared" ref="E81:K81" si="10">SUM(E78:E80)</f>
        <v>176042</v>
      </c>
      <c r="F81" s="1584">
        <f t="shared" si="10"/>
        <v>582383</v>
      </c>
      <c r="G81" s="1584">
        <f t="shared" si="10"/>
        <v>1758646</v>
      </c>
      <c r="H81" s="1584">
        <f t="shared" si="10"/>
        <v>0</v>
      </c>
      <c r="I81" s="1584">
        <f t="shared" si="10"/>
        <v>0</v>
      </c>
      <c r="J81" s="1584">
        <f t="shared" si="10"/>
        <v>0</v>
      </c>
      <c r="K81" s="1584">
        <f t="shared" si="10"/>
        <v>0</v>
      </c>
      <c r="L81" s="325"/>
    </row>
    <row r="82" spans="1:12" ht="0.75" customHeight="1" thickTop="1" thickBot="1" x14ac:dyDescent="0.25">
      <c r="A82" s="459" t="s">
        <v>340</v>
      </c>
      <c r="B82" s="460"/>
      <c r="C82" s="461">
        <f>(C81-C79)</f>
        <v>-1415202</v>
      </c>
      <c r="D82" s="461">
        <f t="shared" ref="D82:K82" si="11">(D81-D79)</f>
        <v>82601</v>
      </c>
      <c r="E82" s="461">
        <f t="shared" si="11"/>
        <v>3544</v>
      </c>
      <c r="F82" s="461">
        <f t="shared" si="11"/>
        <v>181145</v>
      </c>
      <c r="G82" s="461">
        <f t="shared" si="11"/>
        <v>43894</v>
      </c>
      <c r="H82" s="461">
        <f t="shared" si="11"/>
        <v>0</v>
      </c>
      <c r="I82" s="461">
        <f t="shared" si="11"/>
        <v>0</v>
      </c>
      <c r="J82" s="461">
        <f t="shared" si="11"/>
        <v>0</v>
      </c>
      <c r="K82" s="461">
        <f t="shared" si="11"/>
        <v>0</v>
      </c>
    </row>
    <row r="83" spans="1:12" ht="14.25" hidden="1" thickTop="1" thickBot="1" x14ac:dyDescent="0.25">
      <c r="A83" s="462" t="s">
        <v>341</v>
      </c>
      <c r="B83" s="428"/>
      <c r="C83" s="463">
        <f>C82/C81</f>
        <v>-0.10234610319498452</v>
      </c>
      <c r="D83" s="463">
        <f t="shared" ref="D83:K83" si="12">D82/D81</f>
        <v>3.0551187043494601E-2</v>
      </c>
      <c r="E83" s="463">
        <f t="shared" si="12"/>
        <v>2.0131559514206837E-2</v>
      </c>
      <c r="F83" s="463">
        <f t="shared" si="12"/>
        <v>0.31104101596372147</v>
      </c>
      <c r="G83" s="463">
        <f t="shared" si="12"/>
        <v>2.4958974119862667E-2</v>
      </c>
      <c r="H83" s="463" t="e">
        <f t="shared" si="12"/>
        <v>#DIV/0!</v>
      </c>
      <c r="I83" s="463" t="e">
        <f t="shared" si="12"/>
        <v>#DIV/0!</v>
      </c>
      <c r="J83" s="463" t="e">
        <f t="shared" si="12"/>
        <v>#DIV/0!</v>
      </c>
      <c r="K83" s="463" t="e">
        <f t="shared" si="12"/>
        <v>#DIV/0!</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225" activePane="bottomLeft" state="frozen"/>
      <selection activeCell="C44" sqref="C4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1773</v>
      </c>
      <c r="B1" s="416"/>
      <c r="C1" s="417" t="s">
        <v>422</v>
      </c>
      <c r="D1" s="417" t="s">
        <v>423</v>
      </c>
      <c r="E1" s="417" t="s">
        <v>424</v>
      </c>
      <c r="F1" s="417" t="s">
        <v>425</v>
      </c>
      <c r="G1" s="417" t="s">
        <v>426</v>
      </c>
      <c r="H1" s="417" t="s">
        <v>427</v>
      </c>
      <c r="I1" s="417" t="s">
        <v>428</v>
      </c>
      <c r="J1" s="417" t="s">
        <v>429</v>
      </c>
      <c r="K1" s="417" t="s">
        <v>750</v>
      </c>
    </row>
    <row r="2" spans="1:12" ht="36" x14ac:dyDescent="0.2">
      <c r="A2" s="2251"/>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1639</v>
      </c>
      <c r="B5" s="470"/>
      <c r="C5" s="2039">
        <v>0</v>
      </c>
      <c r="D5" s="1576">
        <v>0</v>
      </c>
      <c r="E5" s="1564">
        <v>0</v>
      </c>
      <c r="F5" s="1620">
        <v>0</v>
      </c>
      <c r="G5" s="1564">
        <v>0</v>
      </c>
      <c r="H5" s="1564">
        <v>0</v>
      </c>
      <c r="I5" s="1564">
        <v>0</v>
      </c>
      <c r="J5" s="1565">
        <v>0</v>
      </c>
      <c r="K5" s="1564">
        <v>0</v>
      </c>
    </row>
    <row r="6" spans="1:12" ht="15" x14ac:dyDescent="0.2">
      <c r="A6" s="427" t="s">
        <v>1640</v>
      </c>
      <c r="B6" s="429">
        <v>1130</v>
      </c>
      <c r="C6" s="2038">
        <v>0</v>
      </c>
      <c r="D6" s="1564">
        <v>0</v>
      </c>
      <c r="E6" s="1571"/>
      <c r="F6" s="1571"/>
      <c r="G6" s="1566"/>
      <c r="H6" s="1566"/>
      <c r="I6" s="1566"/>
      <c r="J6" s="1566"/>
      <c r="K6" s="1566"/>
    </row>
    <row r="7" spans="1:12" x14ac:dyDescent="0.2">
      <c r="A7" s="427" t="s">
        <v>110</v>
      </c>
      <c r="B7" s="471">
        <v>1140</v>
      </c>
      <c r="C7" s="2038">
        <v>0</v>
      </c>
      <c r="D7" s="1564">
        <v>0</v>
      </c>
      <c r="E7" s="1566"/>
      <c r="F7" s="1565">
        <v>0</v>
      </c>
      <c r="G7" s="1565">
        <v>0</v>
      </c>
      <c r="H7" s="1565">
        <v>0</v>
      </c>
      <c r="I7" s="1566"/>
      <c r="J7" s="1566"/>
      <c r="K7" s="1566"/>
    </row>
    <row r="8" spans="1:12" x14ac:dyDescent="0.2">
      <c r="A8" s="427" t="s">
        <v>410</v>
      </c>
      <c r="B8" s="429">
        <v>1150</v>
      </c>
      <c r="C8" s="1571"/>
      <c r="D8" s="1571"/>
      <c r="E8" s="1572"/>
      <c r="F8" s="1572"/>
      <c r="G8" s="1576">
        <v>0</v>
      </c>
      <c r="H8" s="1566"/>
      <c r="I8" s="1566"/>
      <c r="J8" s="1566"/>
      <c r="K8" s="1566"/>
    </row>
    <row r="9" spans="1:12" x14ac:dyDescent="0.2">
      <c r="A9" s="430" t="s">
        <v>111</v>
      </c>
      <c r="B9" s="429">
        <v>1160</v>
      </c>
      <c r="C9" s="1566"/>
      <c r="D9" s="1565">
        <v>0</v>
      </c>
      <c r="E9" s="1565">
        <v>0</v>
      </c>
      <c r="F9" s="1567"/>
      <c r="G9" s="1571"/>
      <c r="H9" s="1565">
        <v>0</v>
      </c>
      <c r="I9" s="1566"/>
      <c r="J9" s="1566"/>
      <c r="K9" s="1566"/>
    </row>
    <row r="10" spans="1:12" x14ac:dyDescent="0.2">
      <c r="A10" s="430" t="s">
        <v>112</v>
      </c>
      <c r="B10" s="429">
        <v>1170</v>
      </c>
      <c r="C10" s="1565">
        <v>0</v>
      </c>
      <c r="D10" s="1612"/>
      <c r="E10" s="1612"/>
      <c r="F10" s="1567"/>
      <c r="G10" s="1566"/>
      <c r="H10" s="1566"/>
      <c r="I10" s="1566"/>
      <c r="J10" s="1566"/>
      <c r="K10" s="1566"/>
    </row>
    <row r="11" spans="1:12" x14ac:dyDescent="0.2">
      <c r="A11" s="430" t="s">
        <v>411</v>
      </c>
      <c r="B11" s="472">
        <v>1190</v>
      </c>
      <c r="C11" s="1621">
        <v>0</v>
      </c>
      <c r="D11" s="1564">
        <v>0</v>
      </c>
      <c r="E11" s="1564">
        <v>0</v>
      </c>
      <c r="F11" s="1564">
        <v>0</v>
      </c>
      <c r="G11" s="1564">
        <v>0</v>
      </c>
      <c r="H11" s="1564">
        <v>0</v>
      </c>
      <c r="I11" s="1564">
        <v>0</v>
      </c>
      <c r="J11" s="1565">
        <v>0</v>
      </c>
      <c r="K11" s="1564">
        <v>0</v>
      </c>
      <c r="L11" s="473"/>
    </row>
    <row r="12" spans="1:12" ht="12.75" customHeight="1" thickBot="1" x14ac:dyDescent="0.25">
      <c r="A12" s="1396" t="s">
        <v>29</v>
      </c>
      <c r="B12" s="1397"/>
      <c r="C12" s="1622">
        <f t="shared" ref="C12:K12" si="0">SUM(C5:C11)</f>
        <v>0</v>
      </c>
      <c r="D12" s="1622">
        <f t="shared" si="0"/>
        <v>0</v>
      </c>
      <c r="E12" s="1622">
        <f t="shared" si="0"/>
        <v>0</v>
      </c>
      <c r="F12" s="1622">
        <f t="shared" si="0"/>
        <v>0</v>
      </c>
      <c r="G12" s="1622">
        <f t="shared" si="0"/>
        <v>0</v>
      </c>
      <c r="H12" s="1622">
        <f t="shared" si="0"/>
        <v>0</v>
      </c>
      <c r="I12" s="1622">
        <f t="shared" si="0"/>
        <v>0</v>
      </c>
      <c r="J12" s="1622">
        <f t="shared" si="0"/>
        <v>0</v>
      </c>
      <c r="K12" s="1584">
        <f t="shared" si="0"/>
        <v>0</v>
      </c>
    </row>
    <row r="13" spans="1:12" ht="15.75" customHeight="1" thickTop="1" x14ac:dyDescent="0.2">
      <c r="A13" s="1322" t="s">
        <v>448</v>
      </c>
      <c r="B13" s="1323">
        <v>1200</v>
      </c>
      <c r="C13" s="1623"/>
      <c r="D13" s="1623"/>
      <c r="E13" s="1623"/>
      <c r="F13" s="1623"/>
      <c r="G13" s="1623"/>
      <c r="H13" s="1623"/>
      <c r="I13" s="1623"/>
      <c r="J13" s="1623"/>
      <c r="K13" s="1566"/>
    </row>
    <row r="14" spans="1:12" x14ac:dyDescent="0.2">
      <c r="A14" s="427" t="s">
        <v>3</v>
      </c>
      <c r="B14" s="429">
        <v>1210</v>
      </c>
      <c r="C14" s="1621">
        <v>0</v>
      </c>
      <c r="D14" s="1564">
        <v>0</v>
      </c>
      <c r="E14" s="1564">
        <v>0</v>
      </c>
      <c r="F14" s="1564">
        <v>0</v>
      </c>
      <c r="G14" s="1564">
        <v>0</v>
      </c>
      <c r="H14" s="1564">
        <v>0</v>
      </c>
      <c r="I14" s="1564">
        <v>0</v>
      </c>
      <c r="J14" s="1565">
        <v>0</v>
      </c>
      <c r="K14" s="1564">
        <v>0</v>
      </c>
    </row>
    <row r="15" spans="1:12" ht="12.75" customHeight="1" x14ac:dyDescent="0.2">
      <c r="A15" s="427" t="s">
        <v>95</v>
      </c>
      <c r="B15" s="429">
        <v>1220</v>
      </c>
      <c r="C15" s="1621">
        <v>0</v>
      </c>
      <c r="D15" s="1564">
        <v>0</v>
      </c>
      <c r="E15" s="1564">
        <v>0</v>
      </c>
      <c r="F15" s="1564">
        <v>0</v>
      </c>
      <c r="G15" s="1564">
        <v>0</v>
      </c>
      <c r="H15" s="1564">
        <v>0</v>
      </c>
      <c r="I15" s="1564">
        <v>0</v>
      </c>
      <c r="J15" s="1565">
        <v>0</v>
      </c>
      <c r="K15" s="1564">
        <v>0</v>
      </c>
    </row>
    <row r="16" spans="1:12" ht="15" customHeight="1" x14ac:dyDescent="0.2">
      <c r="A16" s="427" t="s">
        <v>1641</v>
      </c>
      <c r="B16" s="471">
        <v>1230</v>
      </c>
      <c r="C16" s="1621">
        <v>0</v>
      </c>
      <c r="D16" s="1564">
        <v>0</v>
      </c>
      <c r="E16" s="1564">
        <v>0</v>
      </c>
      <c r="F16" s="1564">
        <v>0</v>
      </c>
      <c r="G16" s="1564">
        <v>0</v>
      </c>
      <c r="H16" s="1564">
        <v>0</v>
      </c>
      <c r="I16" s="1564">
        <v>0</v>
      </c>
      <c r="J16" s="1565">
        <v>0</v>
      </c>
      <c r="K16" s="1564">
        <v>0</v>
      </c>
    </row>
    <row r="17" spans="1:11" ht="12.75" customHeight="1" x14ac:dyDescent="0.2">
      <c r="A17" s="427" t="s">
        <v>801</v>
      </c>
      <c r="B17" s="429">
        <v>1290</v>
      </c>
      <c r="C17" s="1621">
        <v>0</v>
      </c>
      <c r="D17" s="1564">
        <v>0</v>
      </c>
      <c r="E17" s="1564">
        <v>0</v>
      </c>
      <c r="F17" s="1564">
        <v>0</v>
      </c>
      <c r="G17" s="1564">
        <v>0</v>
      </c>
      <c r="H17" s="1564">
        <v>0</v>
      </c>
      <c r="I17" s="1564">
        <v>0</v>
      </c>
      <c r="J17" s="1565">
        <v>0</v>
      </c>
      <c r="K17" s="1564">
        <v>0</v>
      </c>
    </row>
    <row r="18" spans="1:11" ht="12.75" customHeight="1" thickBot="1" x14ac:dyDescent="0.25">
      <c r="A18" s="1398" t="s">
        <v>534</v>
      </c>
      <c r="B18" s="1399"/>
      <c r="C18" s="1624">
        <f>SUM(C14:C17)</f>
        <v>0</v>
      </c>
      <c r="D18" s="1624">
        <f t="shared" ref="D18:K18" si="1">SUM(D14:D17)</f>
        <v>0</v>
      </c>
      <c r="E18" s="1624">
        <f t="shared" si="1"/>
        <v>0</v>
      </c>
      <c r="F18" s="1624">
        <f t="shared" si="1"/>
        <v>0</v>
      </c>
      <c r="G18" s="1624">
        <f t="shared" si="1"/>
        <v>0</v>
      </c>
      <c r="H18" s="1624">
        <f t="shared" si="1"/>
        <v>0</v>
      </c>
      <c r="I18" s="1624">
        <f t="shared" si="1"/>
        <v>0</v>
      </c>
      <c r="J18" s="1624">
        <f t="shared" si="1"/>
        <v>0</v>
      </c>
      <c r="K18" s="1625">
        <f t="shared" si="1"/>
        <v>0</v>
      </c>
    </row>
    <row r="19" spans="1:11" ht="15.75" customHeight="1" thickTop="1" x14ac:dyDescent="0.2">
      <c r="A19" s="1322" t="s">
        <v>449</v>
      </c>
      <c r="B19" s="1323">
        <v>1300</v>
      </c>
      <c r="C19" s="1626"/>
      <c r="D19" s="1626"/>
      <c r="E19" s="1626"/>
      <c r="F19" s="1626"/>
      <c r="G19" s="1623"/>
      <c r="H19" s="1626"/>
      <c r="I19" s="1626"/>
      <c r="J19" s="1626"/>
      <c r="K19" s="1627"/>
    </row>
    <row r="20" spans="1:11" x14ac:dyDescent="0.2">
      <c r="A20" s="427" t="s">
        <v>1063</v>
      </c>
      <c r="B20" s="429">
        <v>1311</v>
      </c>
      <c r="C20" s="1564">
        <v>0</v>
      </c>
      <c r="D20" s="1566"/>
      <c r="E20" s="1566"/>
      <c r="F20" s="1566"/>
      <c r="G20" s="1566"/>
      <c r="H20" s="1566"/>
      <c r="I20" s="1566"/>
      <c r="J20" s="1566"/>
      <c r="K20" s="1566"/>
    </row>
    <row r="21" spans="1:11" ht="12.75" customHeight="1" x14ac:dyDescent="0.2">
      <c r="A21" s="427" t="s">
        <v>826</v>
      </c>
      <c r="B21" s="429">
        <v>1312</v>
      </c>
      <c r="C21" s="1621">
        <v>0</v>
      </c>
      <c r="D21" s="1566"/>
      <c r="E21" s="1566"/>
      <c r="F21" s="1566"/>
      <c r="G21" s="1566"/>
      <c r="H21" s="1566"/>
      <c r="I21" s="1566"/>
      <c r="J21" s="1566"/>
      <c r="K21" s="1566"/>
    </row>
    <row r="22" spans="1:11" ht="12.75" customHeight="1" x14ac:dyDescent="0.2">
      <c r="A22" s="427" t="s">
        <v>1064</v>
      </c>
      <c r="B22" s="429">
        <v>1313</v>
      </c>
      <c r="C22" s="1621">
        <v>0</v>
      </c>
      <c r="D22" s="1566"/>
      <c r="E22" s="1566"/>
      <c r="F22" s="1566"/>
      <c r="G22" s="1566"/>
      <c r="H22" s="1566"/>
      <c r="I22" s="1566"/>
      <c r="J22" s="1566"/>
      <c r="K22" s="1566"/>
    </row>
    <row r="23" spans="1:11" ht="12.75" customHeight="1" x14ac:dyDescent="0.2">
      <c r="A23" s="427" t="s">
        <v>1065</v>
      </c>
      <c r="B23" s="429">
        <v>1314</v>
      </c>
      <c r="C23" s="1587">
        <v>0</v>
      </c>
      <c r="D23" s="1566"/>
      <c r="E23" s="1566"/>
      <c r="F23" s="1566"/>
      <c r="G23" s="1566"/>
      <c r="H23" s="1566"/>
      <c r="I23" s="1566"/>
      <c r="J23" s="1566"/>
      <c r="K23" s="1566"/>
    </row>
    <row r="24" spans="1:11" ht="12.75" customHeight="1" x14ac:dyDescent="0.2">
      <c r="A24" s="427" t="s">
        <v>1019</v>
      </c>
      <c r="B24" s="429">
        <v>1321</v>
      </c>
      <c r="C24" s="1621">
        <v>0</v>
      </c>
      <c r="D24" s="1566"/>
      <c r="E24" s="1566"/>
      <c r="F24" s="1566"/>
      <c r="G24" s="1566"/>
      <c r="H24" s="1566"/>
      <c r="I24" s="1566"/>
      <c r="J24" s="1566"/>
      <c r="K24" s="1566"/>
    </row>
    <row r="25" spans="1:11" ht="12.75" customHeight="1" x14ac:dyDescent="0.2">
      <c r="A25" s="427" t="s">
        <v>827</v>
      </c>
      <c r="B25" s="429">
        <v>1322</v>
      </c>
      <c r="C25" s="1621">
        <v>444281</v>
      </c>
      <c r="D25" s="1566"/>
      <c r="E25" s="1566"/>
      <c r="F25" s="1566"/>
      <c r="G25" s="1566"/>
      <c r="H25" s="1566"/>
      <c r="I25" s="1566"/>
      <c r="J25" s="1566"/>
      <c r="K25" s="1566"/>
    </row>
    <row r="26" spans="1:11" ht="12.75" customHeight="1" x14ac:dyDescent="0.2">
      <c r="A26" s="427" t="s">
        <v>1091</v>
      </c>
      <c r="B26" s="429">
        <v>1323</v>
      </c>
      <c r="C26" s="1621">
        <v>0</v>
      </c>
      <c r="D26" s="1566"/>
      <c r="E26" s="1566"/>
      <c r="F26" s="1566"/>
      <c r="G26" s="1566"/>
      <c r="H26" s="1566"/>
      <c r="I26" s="1566"/>
      <c r="J26" s="1566"/>
      <c r="K26" s="1566"/>
    </row>
    <row r="27" spans="1:11" ht="12.75" customHeight="1" x14ac:dyDescent="0.2">
      <c r="A27" s="427" t="s">
        <v>1015</v>
      </c>
      <c r="B27" s="429">
        <v>1324</v>
      </c>
      <c r="C27" s="1587">
        <v>0</v>
      </c>
      <c r="D27" s="1566"/>
      <c r="E27" s="1566"/>
      <c r="F27" s="1566"/>
      <c r="G27" s="1566"/>
      <c r="H27" s="1566"/>
      <c r="I27" s="1566"/>
      <c r="J27" s="1566"/>
      <c r="K27" s="1566"/>
    </row>
    <row r="28" spans="1:11" ht="12.75" customHeight="1" x14ac:dyDescent="0.2">
      <c r="A28" s="427" t="s">
        <v>1016</v>
      </c>
      <c r="B28" s="429">
        <v>1331</v>
      </c>
      <c r="C28" s="1621">
        <v>0</v>
      </c>
      <c r="D28" s="1566"/>
      <c r="E28" s="1566"/>
      <c r="F28" s="1566"/>
      <c r="G28" s="1566"/>
      <c r="H28" s="1566"/>
      <c r="I28" s="1566"/>
      <c r="J28" s="1566"/>
      <c r="K28" s="1566"/>
    </row>
    <row r="29" spans="1:11" ht="12.75" customHeight="1" x14ac:dyDescent="0.2">
      <c r="A29" s="427" t="s">
        <v>828</v>
      </c>
      <c r="B29" s="429">
        <v>1332</v>
      </c>
      <c r="C29" s="1621">
        <v>0</v>
      </c>
      <c r="D29" s="1566"/>
      <c r="E29" s="1566"/>
      <c r="F29" s="1566"/>
      <c r="G29" s="1566"/>
      <c r="H29" s="1566"/>
      <c r="I29" s="1566"/>
      <c r="J29" s="1566"/>
      <c r="K29" s="1566"/>
    </row>
    <row r="30" spans="1:11" ht="12.75" customHeight="1" x14ac:dyDescent="0.2">
      <c r="A30" s="427" t="s">
        <v>1018</v>
      </c>
      <c r="B30" s="429">
        <v>1333</v>
      </c>
      <c r="C30" s="1621">
        <v>0</v>
      </c>
      <c r="D30" s="1566"/>
      <c r="E30" s="1566"/>
      <c r="F30" s="1566"/>
      <c r="G30" s="1566"/>
      <c r="H30" s="1566"/>
      <c r="I30" s="1566"/>
      <c r="J30" s="1566"/>
      <c r="K30" s="1566"/>
    </row>
    <row r="31" spans="1:11" ht="12.75" customHeight="1" x14ac:dyDescent="0.2">
      <c r="A31" s="427" t="s">
        <v>1017</v>
      </c>
      <c r="B31" s="429">
        <v>1334</v>
      </c>
      <c r="C31" s="1587">
        <v>0</v>
      </c>
      <c r="D31" s="1566"/>
      <c r="E31" s="1566"/>
      <c r="F31" s="1566"/>
      <c r="G31" s="1566"/>
      <c r="H31" s="1566"/>
      <c r="I31" s="1566"/>
      <c r="J31" s="1566"/>
      <c r="K31" s="1566"/>
    </row>
    <row r="32" spans="1:11" ht="12.75" customHeight="1" x14ac:dyDescent="0.2">
      <c r="A32" s="427" t="s">
        <v>491</v>
      </c>
      <c r="B32" s="429">
        <v>1341</v>
      </c>
      <c r="C32" s="1621">
        <v>0</v>
      </c>
      <c r="D32" s="1566"/>
      <c r="E32" s="1566"/>
      <c r="F32" s="1566"/>
      <c r="G32" s="1566"/>
      <c r="H32" s="1566"/>
      <c r="I32" s="1566"/>
      <c r="J32" s="1566"/>
      <c r="K32" s="1566"/>
    </row>
    <row r="33" spans="1:11" ht="12.75" customHeight="1" x14ac:dyDescent="0.2">
      <c r="A33" s="427" t="s">
        <v>829</v>
      </c>
      <c r="B33" s="429">
        <v>1342</v>
      </c>
      <c r="C33" s="1621">
        <v>30555571</v>
      </c>
      <c r="D33" s="1566"/>
      <c r="E33" s="1566"/>
      <c r="F33" s="1566"/>
      <c r="G33" s="1566"/>
      <c r="H33" s="1566"/>
      <c r="I33" s="1566"/>
      <c r="J33" s="1566"/>
      <c r="K33" s="1566"/>
    </row>
    <row r="34" spans="1:11" ht="12.75" customHeight="1" x14ac:dyDescent="0.2">
      <c r="A34" s="427" t="s">
        <v>492</v>
      </c>
      <c r="B34" s="429">
        <v>1343</v>
      </c>
      <c r="C34" s="1621">
        <v>520930</v>
      </c>
      <c r="D34" s="1566"/>
      <c r="E34" s="1566"/>
      <c r="F34" s="1566"/>
      <c r="G34" s="1566"/>
      <c r="H34" s="1566"/>
      <c r="I34" s="1566"/>
      <c r="J34" s="1566"/>
      <c r="K34" s="1566"/>
    </row>
    <row r="35" spans="1:11" ht="12.75" customHeight="1" x14ac:dyDescent="0.2">
      <c r="A35" s="427" t="s">
        <v>490</v>
      </c>
      <c r="B35" s="429">
        <v>1344</v>
      </c>
      <c r="C35" s="1587">
        <v>0</v>
      </c>
      <c r="D35" s="1566"/>
      <c r="E35" s="1566"/>
      <c r="F35" s="1566"/>
      <c r="G35" s="1566"/>
      <c r="H35" s="1566"/>
      <c r="I35" s="1566"/>
      <c r="J35" s="1566"/>
      <c r="K35" s="1566"/>
    </row>
    <row r="36" spans="1:11" ht="12.75" customHeight="1" x14ac:dyDescent="0.2">
      <c r="A36" s="427" t="s">
        <v>825</v>
      </c>
      <c r="B36" s="429">
        <v>1351</v>
      </c>
      <c r="C36" s="1621">
        <v>0</v>
      </c>
      <c r="D36" s="1566"/>
      <c r="E36" s="1566"/>
      <c r="F36" s="1566"/>
      <c r="G36" s="1566"/>
      <c r="H36" s="1566"/>
      <c r="I36" s="1566"/>
      <c r="J36" s="1566"/>
      <c r="K36" s="1566"/>
    </row>
    <row r="37" spans="1:11" ht="12.75" customHeight="1" x14ac:dyDescent="0.2">
      <c r="A37" s="427" t="s">
        <v>830</v>
      </c>
      <c r="B37" s="429">
        <v>1352</v>
      </c>
      <c r="C37" s="1621">
        <v>0</v>
      </c>
      <c r="D37" s="1566"/>
      <c r="E37" s="1566"/>
      <c r="F37" s="1566"/>
      <c r="G37" s="1566"/>
      <c r="H37" s="1566"/>
      <c r="I37" s="1566"/>
      <c r="J37" s="1566"/>
      <c r="K37" s="1566"/>
    </row>
    <row r="38" spans="1:11" ht="12.75" customHeight="1" x14ac:dyDescent="0.2">
      <c r="A38" s="427" t="s">
        <v>589</v>
      </c>
      <c r="B38" s="429">
        <v>1353</v>
      </c>
      <c r="C38" s="1621">
        <v>0</v>
      </c>
      <c r="D38" s="1566"/>
      <c r="E38" s="1566"/>
      <c r="F38" s="1566"/>
      <c r="G38" s="1566"/>
      <c r="H38" s="1566"/>
      <c r="I38" s="1566"/>
      <c r="J38" s="1566"/>
      <c r="K38" s="1566"/>
    </row>
    <row r="39" spans="1:11" ht="12.75" customHeight="1" x14ac:dyDescent="0.2">
      <c r="A39" s="1257" t="s">
        <v>590</v>
      </c>
      <c r="B39" s="474">
        <v>1354</v>
      </c>
      <c r="C39" s="1587">
        <v>0</v>
      </c>
      <c r="D39" s="1566"/>
      <c r="E39" s="1566"/>
      <c r="F39" s="1566"/>
      <c r="G39" s="1566"/>
      <c r="H39" s="1566"/>
      <c r="I39" s="1566"/>
      <c r="J39" s="1566"/>
      <c r="K39" s="1566"/>
    </row>
    <row r="40" spans="1:11" ht="12.75" customHeight="1" thickBot="1" x14ac:dyDescent="0.25">
      <c r="A40" s="1398" t="s">
        <v>535</v>
      </c>
      <c r="B40" s="1399"/>
      <c r="C40" s="1584">
        <f>SUM(C20:C39)</f>
        <v>31520782</v>
      </c>
      <c r="D40" s="1566"/>
      <c r="E40" s="1566"/>
      <c r="F40" s="1566"/>
      <c r="G40" s="1566"/>
      <c r="H40" s="1566"/>
      <c r="I40" s="1566"/>
      <c r="J40" s="1566"/>
      <c r="K40" s="1566"/>
    </row>
    <row r="41" spans="1:11" ht="15.75" customHeight="1" thickTop="1" x14ac:dyDescent="0.2">
      <c r="A41" s="1322" t="s">
        <v>272</v>
      </c>
      <c r="B41" s="1323">
        <v>1400</v>
      </c>
      <c r="C41" s="1566"/>
      <c r="D41" s="1566"/>
      <c r="E41" s="1566"/>
      <c r="F41" s="1606"/>
      <c r="G41" s="1566"/>
      <c r="H41" s="1566"/>
      <c r="I41" s="1566"/>
      <c r="J41" s="1566"/>
      <c r="K41" s="1566"/>
    </row>
    <row r="42" spans="1:11" ht="12.75" customHeight="1" x14ac:dyDescent="0.2">
      <c r="A42" s="427" t="s">
        <v>1066</v>
      </c>
      <c r="B42" s="429">
        <v>1411</v>
      </c>
      <c r="C42" s="1566"/>
      <c r="D42" s="1566"/>
      <c r="E42" s="1566"/>
      <c r="F42" s="1576">
        <v>0</v>
      </c>
      <c r="G42" s="1566"/>
      <c r="H42" s="1566"/>
      <c r="I42" s="1566"/>
      <c r="J42" s="1566"/>
      <c r="K42" s="1566"/>
    </row>
    <row r="43" spans="1:11" ht="12.75" customHeight="1" x14ac:dyDescent="0.2">
      <c r="A43" s="427" t="s">
        <v>831</v>
      </c>
      <c r="B43" s="429">
        <v>1412</v>
      </c>
      <c r="C43" s="1566"/>
      <c r="D43" s="1566"/>
      <c r="E43" s="1566"/>
      <c r="F43" s="1564">
        <v>0</v>
      </c>
      <c r="G43" s="1566"/>
      <c r="H43" s="1566"/>
      <c r="I43" s="1566"/>
      <c r="J43" s="1566"/>
      <c r="K43" s="1566"/>
    </row>
    <row r="44" spans="1:11" ht="12.75" customHeight="1" x14ac:dyDescent="0.2">
      <c r="A44" s="427" t="s">
        <v>381</v>
      </c>
      <c r="B44" s="429">
        <v>1413</v>
      </c>
      <c r="C44" s="1566"/>
      <c r="D44" s="1566"/>
      <c r="E44" s="1566"/>
      <c r="F44" s="1564">
        <v>0</v>
      </c>
      <c r="G44" s="1566"/>
      <c r="H44" s="1566"/>
      <c r="I44" s="1566"/>
      <c r="J44" s="1566"/>
      <c r="K44" s="1566"/>
    </row>
    <row r="45" spans="1:11" ht="12.75" customHeight="1" x14ac:dyDescent="0.2">
      <c r="A45" s="427" t="s">
        <v>238</v>
      </c>
      <c r="B45" s="429">
        <v>1415</v>
      </c>
      <c r="C45" s="1566"/>
      <c r="D45" s="1566"/>
      <c r="E45" s="1566"/>
      <c r="F45" s="1564">
        <v>0</v>
      </c>
      <c r="G45" s="1566"/>
      <c r="H45" s="1566"/>
      <c r="I45" s="1566"/>
      <c r="J45" s="1566"/>
      <c r="K45" s="1566"/>
    </row>
    <row r="46" spans="1:11" ht="12.75" customHeight="1" x14ac:dyDescent="0.2">
      <c r="A46" s="427" t="s">
        <v>1163</v>
      </c>
      <c r="B46" s="429">
        <v>1416</v>
      </c>
      <c r="C46" s="1566"/>
      <c r="D46" s="1566"/>
      <c r="E46" s="1566"/>
      <c r="F46" s="1565">
        <v>0</v>
      </c>
      <c r="G46" s="1566"/>
      <c r="H46" s="1566"/>
      <c r="I46" s="1566"/>
      <c r="J46" s="1566"/>
      <c r="K46" s="1566"/>
    </row>
    <row r="47" spans="1:11" ht="12.75" customHeight="1" x14ac:dyDescent="0.2">
      <c r="A47" s="427" t="s">
        <v>57</v>
      </c>
      <c r="B47" s="429">
        <v>1421</v>
      </c>
      <c r="C47" s="1566"/>
      <c r="D47" s="1566"/>
      <c r="E47" s="1566"/>
      <c r="F47" s="1564">
        <v>0</v>
      </c>
      <c r="G47" s="1566"/>
      <c r="H47" s="1566"/>
      <c r="I47" s="1566"/>
      <c r="J47" s="1566"/>
      <c r="K47" s="1566"/>
    </row>
    <row r="48" spans="1:11" ht="12.75" customHeight="1" x14ac:dyDescent="0.2">
      <c r="A48" s="427" t="s">
        <v>832</v>
      </c>
      <c r="B48" s="429">
        <v>1422</v>
      </c>
      <c r="C48" s="1566"/>
      <c r="D48" s="1566"/>
      <c r="E48" s="1566"/>
      <c r="F48" s="1564">
        <v>0</v>
      </c>
      <c r="G48" s="1566"/>
      <c r="H48" s="1566"/>
      <c r="I48" s="1566"/>
      <c r="J48" s="1566"/>
      <c r="K48" s="1566"/>
    </row>
    <row r="49" spans="1:11" ht="12.75" customHeight="1" x14ac:dyDescent="0.2">
      <c r="A49" s="427" t="s">
        <v>58</v>
      </c>
      <c r="B49" s="429">
        <v>1423</v>
      </c>
      <c r="C49" s="1566"/>
      <c r="D49" s="1566"/>
      <c r="E49" s="1566"/>
      <c r="F49" s="1564">
        <v>0</v>
      </c>
      <c r="G49" s="1566"/>
      <c r="H49" s="1566"/>
      <c r="I49" s="1566"/>
      <c r="J49" s="1566"/>
      <c r="K49" s="1566"/>
    </row>
    <row r="50" spans="1:11" ht="12.75" customHeight="1" x14ac:dyDescent="0.2">
      <c r="A50" s="427" t="s">
        <v>59</v>
      </c>
      <c r="B50" s="429">
        <v>1424</v>
      </c>
      <c r="C50" s="1566"/>
      <c r="D50" s="1566"/>
      <c r="E50" s="1566"/>
      <c r="F50" s="1565">
        <v>0</v>
      </c>
      <c r="G50" s="1566"/>
      <c r="H50" s="1566"/>
      <c r="I50" s="1566"/>
      <c r="J50" s="1566"/>
      <c r="K50" s="1566"/>
    </row>
    <row r="51" spans="1:11" ht="12.75" customHeight="1" x14ac:dyDescent="0.2">
      <c r="A51" s="1258" t="s">
        <v>60</v>
      </c>
      <c r="B51" s="475">
        <v>1431</v>
      </c>
      <c r="C51" s="1566"/>
      <c r="D51" s="1566"/>
      <c r="E51" s="1566"/>
      <c r="F51" s="1564">
        <v>0</v>
      </c>
      <c r="G51" s="1566"/>
      <c r="H51" s="1566"/>
      <c r="I51" s="1566"/>
      <c r="J51" s="1566"/>
      <c r="K51" s="1566"/>
    </row>
    <row r="52" spans="1:11" ht="12.75" customHeight="1" x14ac:dyDescent="0.2">
      <c r="A52" s="1258" t="s">
        <v>1096</v>
      </c>
      <c r="B52" s="475">
        <v>1432</v>
      </c>
      <c r="C52" s="1566"/>
      <c r="D52" s="1566"/>
      <c r="E52" s="1566"/>
      <c r="F52" s="1564">
        <v>0</v>
      </c>
      <c r="G52" s="1566"/>
      <c r="H52" s="1566"/>
      <c r="I52" s="1566"/>
      <c r="J52" s="1566"/>
      <c r="K52" s="1566"/>
    </row>
    <row r="53" spans="1:11" ht="12.75" customHeight="1" x14ac:dyDescent="0.2">
      <c r="A53" s="1258" t="s">
        <v>61</v>
      </c>
      <c r="B53" s="475">
        <v>1433</v>
      </c>
      <c r="C53" s="1566"/>
      <c r="D53" s="1566"/>
      <c r="E53" s="1566"/>
      <c r="F53" s="1564">
        <v>0</v>
      </c>
      <c r="G53" s="1566"/>
      <c r="H53" s="1566"/>
      <c r="I53" s="1566"/>
      <c r="J53" s="1566"/>
      <c r="K53" s="1566"/>
    </row>
    <row r="54" spans="1:11" ht="12.75" customHeight="1" x14ac:dyDescent="0.2">
      <c r="A54" s="1258" t="s">
        <v>62</v>
      </c>
      <c r="B54" s="475">
        <v>1434</v>
      </c>
      <c r="C54" s="1566"/>
      <c r="D54" s="1566"/>
      <c r="E54" s="1566"/>
      <c r="F54" s="1565">
        <v>0</v>
      </c>
      <c r="G54" s="1566"/>
      <c r="H54" s="1566"/>
      <c r="I54" s="1566"/>
      <c r="J54" s="1566"/>
      <c r="K54" s="1566"/>
    </row>
    <row r="55" spans="1:11" ht="12.75" customHeight="1" x14ac:dyDescent="0.2">
      <c r="A55" s="1258" t="s">
        <v>63</v>
      </c>
      <c r="B55" s="475">
        <v>1441</v>
      </c>
      <c r="C55" s="1566"/>
      <c r="D55" s="1566"/>
      <c r="E55" s="1566"/>
      <c r="F55" s="1564">
        <v>0</v>
      </c>
      <c r="G55" s="1566"/>
      <c r="H55" s="1566"/>
      <c r="I55" s="1566"/>
      <c r="J55" s="1566"/>
      <c r="K55" s="1566"/>
    </row>
    <row r="56" spans="1:11" ht="12.75" customHeight="1" x14ac:dyDescent="0.2">
      <c r="A56" s="1258" t="s">
        <v>1097</v>
      </c>
      <c r="B56" s="475">
        <v>1442</v>
      </c>
      <c r="C56" s="1566"/>
      <c r="D56" s="1566"/>
      <c r="E56" s="1566"/>
      <c r="F56" s="1564">
        <v>0</v>
      </c>
      <c r="G56" s="1566"/>
      <c r="H56" s="1566"/>
      <c r="I56" s="1566"/>
      <c r="J56" s="1566"/>
      <c r="K56" s="1566"/>
    </row>
    <row r="57" spans="1:11" ht="12.75" customHeight="1" x14ac:dyDescent="0.2">
      <c r="A57" s="1258" t="s">
        <v>486</v>
      </c>
      <c r="B57" s="475">
        <v>1443</v>
      </c>
      <c r="C57" s="1566"/>
      <c r="D57" s="1566"/>
      <c r="E57" s="1566"/>
      <c r="F57" s="1564">
        <v>0</v>
      </c>
      <c r="G57" s="1566"/>
      <c r="H57" s="1566"/>
      <c r="I57" s="1566"/>
      <c r="J57" s="1566"/>
      <c r="K57" s="1566"/>
    </row>
    <row r="58" spans="1:11" ht="12.75" customHeight="1" x14ac:dyDescent="0.2">
      <c r="A58" s="1258" t="s">
        <v>65</v>
      </c>
      <c r="B58" s="475">
        <v>1444</v>
      </c>
      <c r="C58" s="1566"/>
      <c r="D58" s="1566"/>
      <c r="E58" s="1566"/>
      <c r="F58" s="1564">
        <v>0</v>
      </c>
      <c r="G58" s="1566"/>
      <c r="H58" s="1566"/>
      <c r="I58" s="1566"/>
      <c r="J58" s="1566"/>
      <c r="K58" s="1566"/>
    </row>
    <row r="59" spans="1:11" ht="12.75" customHeight="1" x14ac:dyDescent="0.2">
      <c r="A59" s="1258" t="s">
        <v>872</v>
      </c>
      <c r="B59" s="475">
        <v>1451</v>
      </c>
      <c r="C59" s="1566"/>
      <c r="D59" s="1566"/>
      <c r="E59" s="1566"/>
      <c r="F59" s="1564">
        <v>0</v>
      </c>
      <c r="G59" s="1566"/>
      <c r="H59" s="1566"/>
      <c r="I59" s="1566"/>
      <c r="J59" s="1566"/>
      <c r="K59" s="1566"/>
    </row>
    <row r="60" spans="1:11" ht="12.75" customHeight="1" x14ac:dyDescent="0.2">
      <c r="A60" s="1258" t="s">
        <v>1098</v>
      </c>
      <c r="B60" s="475">
        <v>1452</v>
      </c>
      <c r="C60" s="1566"/>
      <c r="D60" s="1566"/>
      <c r="E60" s="1566"/>
      <c r="F60" s="1564">
        <v>0</v>
      </c>
      <c r="G60" s="1566"/>
      <c r="H60" s="1566"/>
      <c r="I60" s="1566"/>
      <c r="J60" s="1566"/>
      <c r="K60" s="1566"/>
    </row>
    <row r="61" spans="1:11" ht="12.75" customHeight="1" x14ac:dyDescent="0.2">
      <c r="A61" s="479" t="s">
        <v>873</v>
      </c>
      <c r="B61" s="475">
        <v>1453</v>
      </c>
      <c r="C61" s="1566"/>
      <c r="D61" s="1566"/>
      <c r="E61" s="1566"/>
      <c r="F61" s="1564">
        <v>0</v>
      </c>
      <c r="G61" s="1566"/>
      <c r="H61" s="1566"/>
      <c r="I61" s="1566"/>
      <c r="J61" s="1566"/>
      <c r="K61" s="1566"/>
    </row>
    <row r="62" spans="1:11" ht="12.75" customHeight="1" x14ac:dyDescent="0.2">
      <c r="A62" s="1259" t="s">
        <v>874</v>
      </c>
      <c r="B62" s="476">
        <v>1454</v>
      </c>
      <c r="C62" s="1566"/>
      <c r="D62" s="1566"/>
      <c r="E62" s="1566"/>
      <c r="F62" s="1565">
        <v>0</v>
      </c>
      <c r="G62" s="1566"/>
      <c r="H62" s="1566"/>
      <c r="I62" s="1566"/>
      <c r="J62" s="1566"/>
      <c r="K62" s="1566"/>
    </row>
    <row r="63" spans="1:11" ht="12.75" customHeight="1" thickBot="1" x14ac:dyDescent="0.25">
      <c r="A63" s="1398" t="s">
        <v>482</v>
      </c>
      <c r="B63" s="1399"/>
      <c r="C63" s="1566"/>
      <c r="D63" s="1566"/>
      <c r="E63" s="1566"/>
      <c r="F63" s="1584">
        <f>SUM(F42:F62)</f>
        <v>0</v>
      </c>
      <c r="G63" s="1566"/>
      <c r="H63" s="1566"/>
      <c r="I63" s="1566"/>
      <c r="J63" s="1566"/>
      <c r="K63" s="1566"/>
    </row>
    <row r="64" spans="1:11" ht="15.75" customHeight="1" thickTop="1" x14ac:dyDescent="0.2">
      <c r="A64" s="1322" t="s">
        <v>451</v>
      </c>
      <c r="B64" s="1323">
        <v>1500</v>
      </c>
      <c r="C64" s="1566"/>
      <c r="D64" s="1566"/>
      <c r="E64" s="1566"/>
      <c r="F64" s="1566"/>
      <c r="G64" s="1566"/>
      <c r="H64" s="1566"/>
      <c r="I64" s="1566"/>
      <c r="J64" s="1566"/>
      <c r="K64" s="1566"/>
    </row>
    <row r="65" spans="1:11" ht="12.75" customHeight="1" x14ac:dyDescent="0.2">
      <c r="A65" s="427" t="s">
        <v>543</v>
      </c>
      <c r="B65" s="429">
        <v>1510</v>
      </c>
      <c r="C65" s="1564">
        <v>359307</v>
      </c>
      <c r="D65" s="1564">
        <v>50439</v>
      </c>
      <c r="E65" s="1564">
        <v>3894</v>
      </c>
      <c r="F65" s="1565">
        <v>2974</v>
      </c>
      <c r="G65" s="1564">
        <v>36073</v>
      </c>
      <c r="H65" s="1564">
        <v>0</v>
      </c>
      <c r="I65" s="1564">
        <v>0</v>
      </c>
      <c r="J65" s="1565">
        <v>0</v>
      </c>
      <c r="K65" s="1564">
        <v>0</v>
      </c>
    </row>
    <row r="66" spans="1:11" ht="12.75" customHeight="1" x14ac:dyDescent="0.2">
      <c r="A66" s="427" t="s">
        <v>674</v>
      </c>
      <c r="B66" s="429">
        <v>1520</v>
      </c>
      <c r="C66" s="1564">
        <v>0</v>
      </c>
      <c r="D66" s="1564">
        <v>0</v>
      </c>
      <c r="E66" s="1564">
        <v>0</v>
      </c>
      <c r="F66" s="1564">
        <v>0</v>
      </c>
      <c r="G66" s="1564">
        <v>0</v>
      </c>
      <c r="H66" s="1564">
        <v>0</v>
      </c>
      <c r="I66" s="1564">
        <v>0</v>
      </c>
      <c r="J66" s="1565">
        <v>0</v>
      </c>
      <c r="K66" s="1564">
        <v>0</v>
      </c>
    </row>
    <row r="67" spans="1:11" ht="12.75" customHeight="1" thickBot="1" x14ac:dyDescent="0.25">
      <c r="A67" s="1398" t="s">
        <v>483</v>
      </c>
      <c r="B67" s="1399"/>
      <c r="C67" s="1584">
        <f>SUM(C65:C66)</f>
        <v>359307</v>
      </c>
      <c r="D67" s="1584">
        <f t="shared" ref="D67:K67" si="2">SUM(D65:D66)</f>
        <v>50439</v>
      </c>
      <c r="E67" s="1584">
        <f t="shared" si="2"/>
        <v>3894</v>
      </c>
      <c r="F67" s="1584">
        <f t="shared" si="2"/>
        <v>2974</v>
      </c>
      <c r="G67" s="1584">
        <f t="shared" si="2"/>
        <v>36073</v>
      </c>
      <c r="H67" s="1584">
        <f t="shared" si="2"/>
        <v>0</v>
      </c>
      <c r="I67" s="1584">
        <f t="shared" si="2"/>
        <v>0</v>
      </c>
      <c r="J67" s="1584">
        <f t="shared" si="2"/>
        <v>0</v>
      </c>
      <c r="K67" s="1584">
        <f t="shared" si="2"/>
        <v>0</v>
      </c>
    </row>
    <row r="68" spans="1:11" ht="15.75" customHeight="1" thickTop="1" x14ac:dyDescent="0.2">
      <c r="A68" s="1322" t="s">
        <v>452</v>
      </c>
      <c r="B68" s="1324">
        <v>1600</v>
      </c>
      <c r="C68" s="1623"/>
      <c r="D68" s="1566"/>
      <c r="E68" s="1566"/>
      <c r="F68" s="1566"/>
      <c r="G68" s="1566"/>
      <c r="H68" s="1566"/>
      <c r="I68" s="1566"/>
      <c r="J68" s="1566"/>
      <c r="K68" s="1566"/>
    </row>
    <row r="69" spans="1:11" ht="12.75" customHeight="1" x14ac:dyDescent="0.2">
      <c r="A69" s="427" t="s">
        <v>661</v>
      </c>
      <c r="B69" s="429">
        <v>1611</v>
      </c>
      <c r="C69" s="1564">
        <v>13503</v>
      </c>
      <c r="D69" s="1566"/>
      <c r="E69" s="1566"/>
      <c r="F69" s="1566"/>
      <c r="G69" s="1566"/>
      <c r="H69" s="1566"/>
      <c r="I69" s="1566"/>
      <c r="J69" s="1566"/>
      <c r="K69" s="1566"/>
    </row>
    <row r="70" spans="1:11" ht="12.75" customHeight="1" x14ac:dyDescent="0.2">
      <c r="A70" s="427" t="s">
        <v>989</v>
      </c>
      <c r="B70" s="429">
        <v>1612</v>
      </c>
      <c r="C70" s="1621">
        <v>0</v>
      </c>
      <c r="D70" s="1566"/>
      <c r="E70" s="1566"/>
      <c r="F70" s="1566"/>
      <c r="G70" s="1566"/>
      <c r="H70" s="1566"/>
      <c r="I70" s="1566"/>
      <c r="J70" s="1566"/>
      <c r="K70" s="1566"/>
    </row>
    <row r="71" spans="1:11" ht="12.75" customHeight="1" x14ac:dyDescent="0.2">
      <c r="A71" s="427" t="s">
        <v>271</v>
      </c>
      <c r="B71" s="429">
        <v>1613</v>
      </c>
      <c r="C71" s="1621">
        <v>0</v>
      </c>
      <c r="D71" s="1566"/>
      <c r="E71" s="1566"/>
      <c r="F71" s="1566"/>
      <c r="G71" s="1566"/>
      <c r="H71" s="1566"/>
      <c r="I71" s="1566"/>
      <c r="J71" s="1566"/>
      <c r="K71" s="1566"/>
    </row>
    <row r="72" spans="1:11" ht="12.75" customHeight="1" x14ac:dyDescent="0.2">
      <c r="A72" s="427" t="s">
        <v>24</v>
      </c>
      <c r="B72" s="429">
        <v>1614</v>
      </c>
      <c r="C72" s="1621">
        <v>0</v>
      </c>
      <c r="D72" s="1566"/>
      <c r="E72" s="1566"/>
      <c r="F72" s="1566"/>
      <c r="G72" s="1566"/>
      <c r="H72" s="1566"/>
      <c r="I72" s="1566"/>
      <c r="J72" s="1566"/>
      <c r="K72" s="1566"/>
    </row>
    <row r="73" spans="1:11" ht="12.75" customHeight="1" x14ac:dyDescent="0.2">
      <c r="A73" s="427" t="s">
        <v>990</v>
      </c>
      <c r="B73" s="429">
        <v>1620</v>
      </c>
      <c r="C73" s="1621">
        <v>231</v>
      </c>
      <c r="D73" s="1566"/>
      <c r="E73" s="1566"/>
      <c r="F73" s="1566"/>
      <c r="G73" s="1566"/>
      <c r="H73" s="1566"/>
      <c r="I73" s="1566"/>
      <c r="J73" s="1566"/>
      <c r="K73" s="1566"/>
    </row>
    <row r="74" spans="1:11" ht="12.75" customHeight="1" x14ac:dyDescent="0.2">
      <c r="A74" s="427" t="s">
        <v>25</v>
      </c>
      <c r="B74" s="429">
        <v>1690</v>
      </c>
      <c r="C74" s="1621">
        <v>0</v>
      </c>
      <c r="D74" s="1566"/>
      <c r="E74" s="1566"/>
      <c r="F74" s="1566"/>
      <c r="G74" s="1566"/>
      <c r="H74" s="1566"/>
      <c r="I74" s="1566"/>
      <c r="J74" s="1566"/>
      <c r="K74" s="1566"/>
    </row>
    <row r="75" spans="1:11" ht="12.75" customHeight="1" thickBot="1" x14ac:dyDescent="0.25">
      <c r="A75" s="1398" t="s">
        <v>544</v>
      </c>
      <c r="B75" s="1399"/>
      <c r="C75" s="1584">
        <f>SUM(C69:C74)</f>
        <v>13734</v>
      </c>
      <c r="D75" s="1566"/>
      <c r="E75" s="1566"/>
      <c r="F75" s="1566"/>
      <c r="G75" s="1566"/>
      <c r="H75" s="1566"/>
      <c r="I75" s="1566"/>
      <c r="J75" s="1566"/>
      <c r="K75" s="1566"/>
    </row>
    <row r="76" spans="1:11" ht="15.75" customHeight="1" thickTop="1" x14ac:dyDescent="0.2">
      <c r="A76" s="1322" t="s">
        <v>875</v>
      </c>
      <c r="B76" s="1324">
        <v>1700</v>
      </c>
      <c r="C76" s="1623"/>
      <c r="D76" s="1566"/>
      <c r="E76" s="1566"/>
      <c r="F76" s="1566"/>
      <c r="G76" s="1566"/>
      <c r="H76" s="1566"/>
      <c r="I76" s="1566"/>
      <c r="J76" s="1566"/>
      <c r="K76" s="1566"/>
    </row>
    <row r="77" spans="1:11" ht="12.75" customHeight="1" x14ac:dyDescent="0.2">
      <c r="A77" s="427" t="s">
        <v>545</v>
      </c>
      <c r="B77" s="429">
        <v>1711</v>
      </c>
      <c r="C77" s="1602">
        <v>0</v>
      </c>
      <c r="D77" s="1564">
        <v>0</v>
      </c>
      <c r="E77" s="1566"/>
      <c r="F77" s="1566"/>
      <c r="G77" s="1566"/>
      <c r="H77" s="1566"/>
      <c r="I77" s="1566"/>
      <c r="J77" s="1566"/>
      <c r="K77" s="1566"/>
    </row>
    <row r="78" spans="1:11" ht="12.75" customHeight="1" x14ac:dyDescent="0.2">
      <c r="A78" s="427" t="s">
        <v>76</v>
      </c>
      <c r="B78" s="429">
        <v>1719</v>
      </c>
      <c r="C78" s="1621">
        <v>0</v>
      </c>
      <c r="D78" s="1564">
        <v>0</v>
      </c>
      <c r="E78" s="1566"/>
      <c r="F78" s="1566"/>
      <c r="G78" s="1566"/>
      <c r="H78" s="1566"/>
      <c r="I78" s="1566"/>
      <c r="J78" s="1566"/>
      <c r="K78" s="1566"/>
    </row>
    <row r="79" spans="1:11" ht="12.75" customHeight="1" x14ac:dyDescent="0.2">
      <c r="A79" s="427" t="s">
        <v>546</v>
      </c>
      <c r="B79" s="429">
        <v>1720</v>
      </c>
      <c r="C79" s="1621">
        <v>100</v>
      </c>
      <c r="D79" s="1564">
        <v>0</v>
      </c>
      <c r="E79" s="1566"/>
      <c r="F79" s="1566"/>
      <c r="G79" s="1566"/>
      <c r="H79" s="1566"/>
      <c r="I79" s="1566"/>
      <c r="J79" s="1566"/>
      <c r="K79" s="1566"/>
    </row>
    <row r="80" spans="1:11" ht="12.75" customHeight="1" x14ac:dyDescent="0.2">
      <c r="A80" s="427" t="s">
        <v>547</v>
      </c>
      <c r="B80" s="429">
        <v>1730</v>
      </c>
      <c r="C80" s="1621">
        <v>0</v>
      </c>
      <c r="D80" s="1564">
        <v>0</v>
      </c>
      <c r="E80" s="1566"/>
      <c r="F80" s="1566"/>
      <c r="G80" s="1566"/>
      <c r="H80" s="1566"/>
      <c r="I80" s="1566"/>
      <c r="J80" s="1566"/>
      <c r="K80" s="1566"/>
    </row>
    <row r="81" spans="1:11" ht="12.75" customHeight="1" x14ac:dyDescent="0.2">
      <c r="A81" s="427" t="s">
        <v>26</v>
      </c>
      <c r="B81" s="429">
        <v>1790</v>
      </c>
      <c r="C81" s="1621">
        <v>0</v>
      </c>
      <c r="D81" s="1564">
        <v>0</v>
      </c>
      <c r="E81" s="1566"/>
      <c r="F81" s="1566"/>
      <c r="G81" s="1566"/>
      <c r="H81" s="1566"/>
      <c r="I81" s="1566"/>
      <c r="J81" s="1566"/>
      <c r="K81" s="1566"/>
    </row>
    <row r="82" spans="1:11" ht="12.75" customHeight="1" thickBot="1" x14ac:dyDescent="0.25">
      <c r="A82" s="1398" t="s">
        <v>239</v>
      </c>
      <c r="B82" s="1399"/>
      <c r="C82" s="1622">
        <f>SUM(C77:C81)</f>
        <v>100</v>
      </c>
      <c r="D82" s="1584">
        <f>SUM(D77:D81)</f>
        <v>0</v>
      </c>
      <c r="E82" s="1566"/>
      <c r="F82" s="1566"/>
      <c r="G82" s="1566"/>
      <c r="H82" s="1566"/>
      <c r="I82" s="1566"/>
      <c r="J82" s="1566"/>
      <c r="K82" s="1566"/>
    </row>
    <row r="83" spans="1:11" ht="15.75" customHeight="1" thickTop="1" x14ac:dyDescent="0.2">
      <c r="A83" s="1322" t="s">
        <v>240</v>
      </c>
      <c r="B83" s="1324">
        <v>1800</v>
      </c>
      <c r="C83" s="1623"/>
      <c r="D83" s="1566"/>
      <c r="E83" s="1566"/>
      <c r="F83" s="1566"/>
      <c r="G83" s="1566"/>
      <c r="H83" s="1566"/>
      <c r="I83" s="1566"/>
      <c r="J83" s="1566"/>
      <c r="K83" s="1566"/>
    </row>
    <row r="84" spans="1:11" ht="12.75" customHeight="1" x14ac:dyDescent="0.2">
      <c r="A84" s="427" t="s">
        <v>548</v>
      </c>
      <c r="B84" s="429">
        <v>1811</v>
      </c>
      <c r="C84" s="1564">
        <v>0</v>
      </c>
      <c r="D84" s="1566"/>
      <c r="E84" s="1566"/>
      <c r="F84" s="1566"/>
      <c r="G84" s="1566"/>
      <c r="H84" s="1566"/>
      <c r="I84" s="1566"/>
      <c r="J84" s="1566"/>
      <c r="K84" s="1566"/>
    </row>
    <row r="85" spans="1:11" ht="12.75" customHeight="1" x14ac:dyDescent="0.2">
      <c r="A85" s="427" t="s">
        <v>549</v>
      </c>
      <c r="B85" s="429">
        <v>1812</v>
      </c>
      <c r="C85" s="1621">
        <v>0</v>
      </c>
      <c r="D85" s="1566"/>
      <c r="E85" s="1566"/>
      <c r="F85" s="1566"/>
      <c r="G85" s="1566"/>
      <c r="H85" s="1566"/>
      <c r="I85" s="1566"/>
      <c r="J85" s="1566"/>
      <c r="K85" s="1566"/>
    </row>
    <row r="86" spans="1:11" ht="12.75" customHeight="1" x14ac:dyDescent="0.2">
      <c r="A86" s="427" t="s">
        <v>991</v>
      </c>
      <c r="B86" s="429">
        <v>1813</v>
      </c>
      <c r="C86" s="1621">
        <v>0</v>
      </c>
      <c r="D86" s="1566"/>
      <c r="E86" s="1566"/>
      <c r="F86" s="1566"/>
      <c r="G86" s="1566"/>
      <c r="H86" s="1566"/>
      <c r="I86" s="1566"/>
      <c r="J86" s="1566"/>
      <c r="K86" s="1566"/>
    </row>
    <row r="87" spans="1:11" ht="12.75" customHeight="1" x14ac:dyDescent="0.2">
      <c r="A87" s="427" t="s">
        <v>77</v>
      </c>
      <c r="B87" s="429">
        <v>1819</v>
      </c>
      <c r="C87" s="1621">
        <v>0</v>
      </c>
      <c r="D87" s="1566"/>
      <c r="E87" s="1566"/>
      <c r="F87" s="1566"/>
      <c r="G87" s="1566"/>
      <c r="H87" s="1566"/>
      <c r="I87" s="1566"/>
      <c r="J87" s="1566"/>
      <c r="K87" s="1566"/>
    </row>
    <row r="88" spans="1:11" ht="12.75" customHeight="1" x14ac:dyDescent="0.2">
      <c r="A88" s="427" t="s">
        <v>550</v>
      </c>
      <c r="B88" s="429">
        <v>1821</v>
      </c>
      <c r="C88" s="1621">
        <v>0</v>
      </c>
      <c r="D88" s="1566"/>
      <c r="E88" s="1566"/>
      <c r="F88" s="1566"/>
      <c r="G88" s="1566"/>
      <c r="H88" s="1566"/>
      <c r="I88" s="1566"/>
      <c r="J88" s="1566"/>
      <c r="K88" s="1566"/>
    </row>
    <row r="89" spans="1:11" ht="12.75" customHeight="1" x14ac:dyDescent="0.2">
      <c r="A89" s="427" t="s">
        <v>708</v>
      </c>
      <c r="B89" s="429">
        <v>1822</v>
      </c>
      <c r="C89" s="1621">
        <v>0</v>
      </c>
      <c r="D89" s="1566"/>
      <c r="E89" s="1566"/>
      <c r="F89" s="1566"/>
      <c r="G89" s="1566"/>
      <c r="H89" s="1566"/>
      <c r="I89" s="1566"/>
      <c r="J89" s="1566"/>
      <c r="K89" s="1566"/>
    </row>
    <row r="90" spans="1:11" ht="12.75" customHeight="1" x14ac:dyDescent="0.2">
      <c r="A90" s="427" t="s">
        <v>138</v>
      </c>
      <c r="B90" s="429">
        <v>1823</v>
      </c>
      <c r="C90" s="1621">
        <v>0</v>
      </c>
      <c r="D90" s="1566"/>
      <c r="E90" s="1566"/>
      <c r="F90" s="1566"/>
      <c r="G90" s="1566"/>
      <c r="H90" s="1566"/>
      <c r="I90" s="1566"/>
      <c r="J90" s="1566"/>
      <c r="K90" s="1566"/>
    </row>
    <row r="91" spans="1:11" ht="12.75" customHeight="1" x14ac:dyDescent="0.2">
      <c r="A91" s="427" t="s">
        <v>27</v>
      </c>
      <c r="B91" s="429">
        <v>1829</v>
      </c>
      <c r="C91" s="1621">
        <v>0</v>
      </c>
      <c r="D91" s="1566"/>
      <c r="E91" s="1566"/>
      <c r="F91" s="1566"/>
      <c r="G91" s="1566"/>
      <c r="H91" s="1566"/>
      <c r="I91" s="1566"/>
      <c r="J91" s="1566"/>
      <c r="K91" s="1566"/>
    </row>
    <row r="92" spans="1:11" ht="12.75" customHeight="1" x14ac:dyDescent="0.2">
      <c r="A92" s="427" t="s">
        <v>756</v>
      </c>
      <c r="B92" s="429">
        <v>1890</v>
      </c>
      <c r="C92" s="1621">
        <v>0</v>
      </c>
      <c r="D92" s="1566"/>
      <c r="E92" s="1566"/>
      <c r="F92" s="1566"/>
      <c r="G92" s="1566"/>
      <c r="H92" s="1566"/>
      <c r="I92" s="1566"/>
      <c r="J92" s="1566"/>
      <c r="K92" s="1566"/>
    </row>
    <row r="93" spans="1:11" ht="12.75" customHeight="1" thickBot="1" x14ac:dyDescent="0.25">
      <c r="A93" s="1398" t="s">
        <v>241</v>
      </c>
      <c r="B93" s="1399"/>
      <c r="C93" s="1584">
        <f>SUM(C84:C92)</f>
        <v>0</v>
      </c>
      <c r="D93" s="1566"/>
      <c r="E93" s="1566"/>
      <c r="F93" s="1566"/>
      <c r="G93" s="1566"/>
      <c r="H93" s="1566"/>
      <c r="I93" s="1566"/>
      <c r="J93" s="1566"/>
      <c r="K93" s="1566"/>
    </row>
    <row r="94" spans="1:11" ht="15.75" customHeight="1" thickTop="1" x14ac:dyDescent="0.2">
      <c r="A94" s="1322" t="s">
        <v>1126</v>
      </c>
      <c r="B94" s="1324">
        <v>1900</v>
      </c>
      <c r="C94" s="1623"/>
      <c r="D94" s="1606"/>
      <c r="E94" s="1566"/>
      <c r="F94" s="1566"/>
      <c r="G94" s="1566"/>
      <c r="H94" s="1566"/>
      <c r="I94" s="1566"/>
      <c r="J94" s="1566"/>
      <c r="K94" s="1566"/>
    </row>
    <row r="95" spans="1:11" ht="12.75" customHeight="1" x14ac:dyDescent="0.2">
      <c r="A95" s="427" t="s">
        <v>1054</v>
      </c>
      <c r="B95" s="429">
        <v>1910</v>
      </c>
      <c r="C95" s="1564">
        <v>0</v>
      </c>
      <c r="D95" s="1621">
        <v>0</v>
      </c>
      <c r="E95" s="1606"/>
      <c r="F95" s="1606"/>
      <c r="G95" s="1606"/>
      <c r="H95" s="1606"/>
      <c r="I95" s="1606"/>
      <c r="J95" s="1606"/>
      <c r="K95" s="1606"/>
    </row>
    <row r="96" spans="1:11" ht="12.75" customHeight="1" x14ac:dyDescent="0.2">
      <c r="A96" s="427" t="s">
        <v>388</v>
      </c>
      <c r="B96" s="429">
        <v>1920</v>
      </c>
      <c r="C96" s="1621">
        <v>66908</v>
      </c>
      <c r="D96" s="1621">
        <v>0</v>
      </c>
      <c r="E96" s="1574">
        <v>0</v>
      </c>
      <c r="F96" s="1573">
        <v>0</v>
      </c>
      <c r="G96" s="1573">
        <v>0</v>
      </c>
      <c r="H96" s="1573">
        <v>0</v>
      </c>
      <c r="I96" s="1573">
        <v>0</v>
      </c>
      <c r="J96" s="1573">
        <v>0</v>
      </c>
      <c r="K96" s="1573">
        <v>0</v>
      </c>
    </row>
    <row r="97" spans="1:12" ht="12.75" customHeight="1" x14ac:dyDescent="0.2">
      <c r="A97" s="1257" t="s">
        <v>242</v>
      </c>
      <c r="B97" s="477">
        <v>1930</v>
      </c>
      <c r="C97" s="1587">
        <v>0</v>
      </c>
      <c r="D97" s="1565">
        <v>0</v>
      </c>
      <c r="E97" s="1570">
        <v>0</v>
      </c>
      <c r="F97" s="1565">
        <v>0</v>
      </c>
      <c r="G97" s="1565">
        <v>0</v>
      </c>
      <c r="H97" s="1565">
        <v>0</v>
      </c>
      <c r="I97" s="1565">
        <v>0</v>
      </c>
      <c r="J97" s="1565">
        <v>0</v>
      </c>
      <c r="K97" s="1565">
        <v>0</v>
      </c>
    </row>
    <row r="98" spans="1:12" ht="12.75" customHeight="1" x14ac:dyDescent="0.2">
      <c r="A98" s="427" t="s">
        <v>188</v>
      </c>
      <c r="B98" s="429">
        <v>1940</v>
      </c>
      <c r="C98" s="1587">
        <v>2532508</v>
      </c>
      <c r="D98" s="1564">
        <v>0</v>
      </c>
      <c r="E98" s="1601"/>
      <c r="F98" s="1564">
        <v>0</v>
      </c>
      <c r="G98" s="1601"/>
      <c r="H98" s="1601"/>
      <c r="I98" s="1599"/>
      <c r="J98" s="1601"/>
      <c r="K98" s="1601"/>
    </row>
    <row r="99" spans="1:12" ht="12.75" customHeight="1" x14ac:dyDescent="0.2">
      <c r="A99" s="427" t="s">
        <v>815</v>
      </c>
      <c r="B99" s="429">
        <v>1950</v>
      </c>
      <c r="C99" s="1587">
        <v>0</v>
      </c>
      <c r="D99" s="1564">
        <v>0</v>
      </c>
      <c r="E99" s="1564">
        <v>0</v>
      </c>
      <c r="F99" s="1564">
        <v>0</v>
      </c>
      <c r="G99" s="1564">
        <v>7539</v>
      </c>
      <c r="H99" s="1564">
        <v>0</v>
      </c>
      <c r="I99" s="1566"/>
      <c r="J99" s="1565">
        <v>0</v>
      </c>
      <c r="K99" s="1564">
        <v>0</v>
      </c>
    </row>
    <row r="100" spans="1:12" ht="12.75" customHeight="1" x14ac:dyDescent="0.2">
      <c r="A100" s="427" t="s">
        <v>243</v>
      </c>
      <c r="B100" s="429">
        <v>1960</v>
      </c>
      <c r="C100" s="1587">
        <v>0</v>
      </c>
      <c r="D100" s="1587">
        <v>0</v>
      </c>
      <c r="E100" s="1587">
        <v>0</v>
      </c>
      <c r="F100" s="1587">
        <v>0</v>
      </c>
      <c r="G100" s="1587">
        <v>0</v>
      </c>
      <c r="H100" s="1587">
        <v>0</v>
      </c>
      <c r="I100" s="1565">
        <v>0</v>
      </c>
      <c r="J100" s="1587">
        <v>0</v>
      </c>
      <c r="K100" s="1565">
        <v>0</v>
      </c>
    </row>
    <row r="101" spans="1:12" ht="12.75" customHeight="1" x14ac:dyDescent="0.2">
      <c r="A101" s="427" t="s">
        <v>244</v>
      </c>
      <c r="B101" s="429">
        <v>1970</v>
      </c>
      <c r="C101" s="1587">
        <v>0</v>
      </c>
      <c r="D101" s="1612"/>
      <c r="E101" s="1575"/>
      <c r="F101" s="1612"/>
      <c r="G101" s="1571"/>
      <c r="H101" s="1612"/>
      <c r="I101" s="1566"/>
      <c r="J101" s="1571"/>
      <c r="K101" s="1571"/>
    </row>
    <row r="102" spans="1:12" ht="12.75" customHeight="1" x14ac:dyDescent="0.2">
      <c r="A102" s="427" t="s">
        <v>245</v>
      </c>
      <c r="B102" s="429">
        <v>1980</v>
      </c>
      <c r="C102" s="1587">
        <v>0</v>
      </c>
      <c r="D102" s="1587">
        <v>0</v>
      </c>
      <c r="E102" s="1587">
        <v>0</v>
      </c>
      <c r="F102" s="1587">
        <v>0</v>
      </c>
      <c r="G102" s="1587">
        <v>0</v>
      </c>
      <c r="H102" s="1587">
        <v>0</v>
      </c>
      <c r="I102" s="1565">
        <v>0</v>
      </c>
      <c r="J102" s="1587">
        <v>0</v>
      </c>
      <c r="K102" s="1565">
        <v>0</v>
      </c>
    </row>
    <row r="103" spans="1:12" ht="12.75" customHeight="1" x14ac:dyDescent="0.2">
      <c r="A103" s="427" t="s">
        <v>342</v>
      </c>
      <c r="B103" s="429">
        <v>1983</v>
      </c>
      <c r="C103" s="1566"/>
      <c r="D103" s="1566"/>
      <c r="E103" s="1628">
        <v>0</v>
      </c>
      <c r="F103" s="1566"/>
      <c r="G103" s="1566"/>
      <c r="H103" s="1587">
        <v>0</v>
      </c>
      <c r="I103" s="1566"/>
      <c r="J103" s="1599"/>
      <c r="K103" s="1599"/>
    </row>
    <row r="104" spans="1:12" ht="12.75" customHeight="1" x14ac:dyDescent="0.2">
      <c r="A104" s="427" t="s">
        <v>824</v>
      </c>
      <c r="B104" s="429">
        <v>1991</v>
      </c>
      <c r="C104" s="1587">
        <v>0</v>
      </c>
      <c r="D104" s="1564">
        <v>2717963</v>
      </c>
      <c r="E104" s="1576">
        <v>466900</v>
      </c>
      <c r="F104" s="1565">
        <v>0</v>
      </c>
      <c r="G104" s="1565">
        <v>1400000</v>
      </c>
      <c r="H104" s="1564">
        <v>0</v>
      </c>
      <c r="I104" s="1566"/>
      <c r="J104" s="1566"/>
      <c r="K104" s="1566"/>
    </row>
    <row r="105" spans="1:12" ht="12.75" customHeight="1" x14ac:dyDescent="0.2">
      <c r="A105" s="427" t="s">
        <v>816</v>
      </c>
      <c r="B105" s="429">
        <v>1992</v>
      </c>
      <c r="C105" s="1564">
        <v>0</v>
      </c>
      <c r="D105" s="1629"/>
      <c r="E105" s="1566"/>
      <c r="F105" s="1566"/>
      <c r="G105" s="1566"/>
      <c r="H105" s="1599"/>
      <c r="I105" s="1566"/>
      <c r="J105" s="1566"/>
      <c r="K105" s="1566"/>
    </row>
    <row r="106" spans="1:12" ht="12.75" customHeight="1" x14ac:dyDescent="0.2">
      <c r="A106" s="427" t="s">
        <v>1410</v>
      </c>
      <c r="B106" s="429">
        <v>1993</v>
      </c>
      <c r="C106" s="1564">
        <v>2289700</v>
      </c>
      <c r="D106" s="1587">
        <v>0</v>
      </c>
      <c r="E106" s="1565">
        <v>0</v>
      </c>
      <c r="F106" s="1565">
        <v>0</v>
      </c>
      <c r="G106" s="1565">
        <v>0</v>
      </c>
      <c r="H106" s="1565">
        <v>0</v>
      </c>
      <c r="I106" s="1606"/>
      <c r="J106" s="1565">
        <v>0</v>
      </c>
      <c r="K106" s="1565">
        <v>0</v>
      </c>
    </row>
    <row r="107" spans="1:12" ht="12.75" customHeight="1" x14ac:dyDescent="0.2">
      <c r="A107" s="427" t="s">
        <v>78</v>
      </c>
      <c r="B107" s="429">
        <v>1999</v>
      </c>
      <c r="C107" s="1621">
        <v>925512</v>
      </c>
      <c r="D107" s="1564">
        <v>91118</v>
      </c>
      <c r="E107" s="1564">
        <v>0</v>
      </c>
      <c r="F107" s="1564">
        <v>0</v>
      </c>
      <c r="G107" s="1564">
        <v>0</v>
      </c>
      <c r="H107" s="1564">
        <v>0</v>
      </c>
      <c r="I107" s="1564">
        <v>0</v>
      </c>
      <c r="J107" s="1565">
        <v>0</v>
      </c>
      <c r="K107" s="1564">
        <v>0</v>
      </c>
    </row>
    <row r="108" spans="1:12" ht="12.75" customHeight="1" thickBot="1" x14ac:dyDescent="0.25">
      <c r="A108" s="1398" t="s">
        <v>484</v>
      </c>
      <c r="B108" s="1400"/>
      <c r="C108" s="1622">
        <f>SUM(C95:C107)</f>
        <v>5814628</v>
      </c>
      <c r="D108" s="1622">
        <f t="shared" ref="D108:K108" si="3">SUM(D95:D107)</f>
        <v>2809081</v>
      </c>
      <c r="E108" s="1622">
        <f t="shared" si="3"/>
        <v>466900</v>
      </c>
      <c r="F108" s="1622">
        <f t="shared" si="3"/>
        <v>0</v>
      </c>
      <c r="G108" s="1622">
        <f t="shared" si="3"/>
        <v>1407539</v>
      </c>
      <c r="H108" s="1622">
        <f t="shared" si="3"/>
        <v>0</v>
      </c>
      <c r="I108" s="1622">
        <f t="shared" si="3"/>
        <v>0</v>
      </c>
      <c r="J108" s="1622">
        <f t="shared" si="3"/>
        <v>0</v>
      </c>
      <c r="K108" s="1584">
        <f t="shared" si="3"/>
        <v>0</v>
      </c>
    </row>
    <row r="109" spans="1:12" ht="14.25" thickTop="1" thickBot="1" x14ac:dyDescent="0.25">
      <c r="A109" s="1401" t="s">
        <v>246</v>
      </c>
      <c r="B109" s="1402" t="s">
        <v>566</v>
      </c>
      <c r="C109" s="1630">
        <f t="shared" ref="C109:K109" si="4">SUM(C12,C18,C40,C63,C67,C75,C82,C93,C108,)</f>
        <v>37708551</v>
      </c>
      <c r="D109" s="1630">
        <f t="shared" si="4"/>
        <v>2859520</v>
      </c>
      <c r="E109" s="1630">
        <f t="shared" si="4"/>
        <v>470794</v>
      </c>
      <c r="F109" s="1630">
        <f t="shared" si="4"/>
        <v>2974</v>
      </c>
      <c r="G109" s="1630">
        <f t="shared" si="4"/>
        <v>1443612</v>
      </c>
      <c r="H109" s="1630">
        <f t="shared" si="4"/>
        <v>0</v>
      </c>
      <c r="I109" s="1630">
        <f t="shared" si="4"/>
        <v>0</v>
      </c>
      <c r="J109" s="1630">
        <f t="shared" si="4"/>
        <v>0</v>
      </c>
      <c r="K109" s="1618">
        <f t="shared" si="4"/>
        <v>0</v>
      </c>
    </row>
    <row r="110" spans="1:12" ht="30" customHeight="1" thickTop="1" x14ac:dyDescent="0.2">
      <c r="A110" s="1315" t="s">
        <v>343</v>
      </c>
      <c r="B110" s="1316"/>
      <c r="C110" s="1592"/>
      <c r="D110" s="1592"/>
      <c r="E110" s="1592"/>
      <c r="F110" s="1592"/>
      <c r="G110" s="1592"/>
      <c r="H110" s="1592"/>
      <c r="I110" s="1592"/>
      <c r="J110" s="1592"/>
      <c r="K110" s="1604"/>
    </row>
    <row r="111" spans="1:12" ht="12.75" customHeight="1" x14ac:dyDescent="0.2">
      <c r="A111" s="436" t="s">
        <v>817</v>
      </c>
      <c r="B111" s="435">
        <v>2100</v>
      </c>
      <c r="C111" s="1602">
        <v>0</v>
      </c>
      <c r="D111" s="1576">
        <v>0</v>
      </c>
      <c r="E111" s="1629"/>
      <c r="F111" s="1576">
        <v>0</v>
      </c>
      <c r="G111" s="1576">
        <v>0</v>
      </c>
      <c r="H111" s="1629"/>
      <c r="I111" s="1566"/>
      <c r="J111" s="1566"/>
      <c r="K111" s="1566"/>
    </row>
    <row r="112" spans="1:12" ht="12.75" customHeight="1" x14ac:dyDescent="0.2">
      <c r="A112" s="427" t="s">
        <v>818</v>
      </c>
      <c r="B112" s="429">
        <v>2200</v>
      </c>
      <c r="C112" s="1621">
        <v>10641153</v>
      </c>
      <c r="D112" s="1564">
        <v>0</v>
      </c>
      <c r="E112" s="1629"/>
      <c r="F112" s="1564">
        <v>0</v>
      </c>
      <c r="G112" s="1564">
        <v>0</v>
      </c>
      <c r="H112" s="1629"/>
      <c r="I112" s="1566"/>
      <c r="J112" s="1566"/>
      <c r="K112" s="1566"/>
      <c r="L112" s="473"/>
    </row>
    <row r="113" spans="1:11" ht="12.75" customHeight="1" x14ac:dyDescent="0.2">
      <c r="A113" s="427" t="s">
        <v>28</v>
      </c>
      <c r="B113" s="429">
        <v>2300</v>
      </c>
      <c r="C113" s="1621">
        <v>0</v>
      </c>
      <c r="D113" s="1564">
        <v>0</v>
      </c>
      <c r="E113" s="1629"/>
      <c r="F113" s="1564">
        <v>0</v>
      </c>
      <c r="G113" s="1564">
        <v>0</v>
      </c>
      <c r="H113" s="1629"/>
      <c r="I113" s="1566"/>
      <c r="J113" s="1566"/>
      <c r="K113" s="1566"/>
    </row>
    <row r="114" spans="1:11" ht="13.5" thickBot="1" x14ac:dyDescent="0.25">
      <c r="A114" s="1403" t="s">
        <v>800</v>
      </c>
      <c r="B114" s="1404" t="s">
        <v>565</v>
      </c>
      <c r="C114" s="1631">
        <f>SUM(C111:C113)</f>
        <v>10641153</v>
      </c>
      <c r="D114" s="1631">
        <f>SUM(D111:D113)</f>
        <v>0</v>
      </c>
      <c r="E114" s="1629" t="s">
        <v>1158</v>
      </c>
      <c r="F114" s="1631">
        <f>SUM(F111:F113)</f>
        <v>0</v>
      </c>
      <c r="G114" s="1631">
        <f>SUM(G111:G113)</f>
        <v>0</v>
      </c>
      <c r="H114" s="1629"/>
      <c r="I114" s="1566"/>
      <c r="J114" s="1566"/>
      <c r="K114" s="1566"/>
    </row>
    <row r="115" spans="1:11" ht="16.7" customHeight="1" thickTop="1" x14ac:dyDescent="0.2">
      <c r="A115" s="1317" t="s">
        <v>797</v>
      </c>
      <c r="B115" s="1318"/>
      <c r="C115" s="1591"/>
      <c r="D115" s="1592"/>
      <c r="E115" s="1592"/>
      <c r="F115" s="1592"/>
      <c r="G115" s="1592"/>
      <c r="H115" s="1592"/>
      <c r="I115" s="1592"/>
      <c r="J115" s="1592"/>
      <c r="K115" s="1604"/>
    </row>
    <row r="116" spans="1:11" ht="18" customHeight="1" x14ac:dyDescent="0.2">
      <c r="A116" s="1325" t="s">
        <v>1471</v>
      </c>
      <c r="B116" s="1326"/>
      <c r="C116" s="1632"/>
      <c r="D116" s="1606"/>
      <c r="E116" s="1629"/>
      <c r="F116" s="1606"/>
      <c r="G116" s="1606"/>
      <c r="H116" s="1629"/>
      <c r="I116" s="1566"/>
      <c r="J116" s="1606"/>
      <c r="K116" s="1606"/>
    </row>
    <row r="117" spans="1:11" ht="12.75" customHeight="1" x14ac:dyDescent="0.2">
      <c r="A117" s="427" t="s">
        <v>1645</v>
      </c>
      <c r="B117" s="478">
        <v>3001</v>
      </c>
      <c r="C117" s="1602">
        <v>3751446</v>
      </c>
      <c r="D117" s="1576">
        <v>0</v>
      </c>
      <c r="E117" s="1564">
        <v>0</v>
      </c>
      <c r="F117" s="1576">
        <v>0</v>
      </c>
      <c r="G117" s="1576">
        <v>0</v>
      </c>
      <c r="H117" s="1564">
        <v>0</v>
      </c>
      <c r="I117" s="1566"/>
      <c r="J117" s="1565">
        <v>0</v>
      </c>
      <c r="K117" s="1565">
        <v>0</v>
      </c>
    </row>
    <row r="118" spans="1:11" ht="12.75" customHeight="1" x14ac:dyDescent="0.2">
      <c r="A118" s="427" t="s">
        <v>1770</v>
      </c>
      <c r="B118" s="478">
        <v>3002</v>
      </c>
      <c r="C118" s="1621">
        <v>0</v>
      </c>
      <c r="D118" s="1564">
        <v>0</v>
      </c>
      <c r="E118" s="1564">
        <v>0</v>
      </c>
      <c r="F118" s="1564">
        <v>0</v>
      </c>
      <c r="G118" s="1564">
        <v>0</v>
      </c>
      <c r="H118" s="1564">
        <v>0</v>
      </c>
      <c r="I118" s="1566"/>
      <c r="J118" s="1565">
        <v>0</v>
      </c>
      <c r="K118" s="1565">
        <v>0</v>
      </c>
    </row>
    <row r="119" spans="1:11" ht="12.75" customHeight="1" x14ac:dyDescent="0.2">
      <c r="A119" s="427" t="s">
        <v>1771</v>
      </c>
      <c r="B119" s="478">
        <v>3005</v>
      </c>
      <c r="C119" s="1621">
        <v>0</v>
      </c>
      <c r="D119" s="1564">
        <v>0</v>
      </c>
      <c r="E119" s="1564">
        <v>0</v>
      </c>
      <c r="F119" s="1564">
        <v>0</v>
      </c>
      <c r="G119" s="1564">
        <v>0</v>
      </c>
      <c r="H119" s="1564">
        <v>0</v>
      </c>
      <c r="I119" s="1566"/>
      <c r="J119" s="1565">
        <v>0</v>
      </c>
      <c r="K119" s="1565">
        <v>0</v>
      </c>
    </row>
    <row r="120" spans="1:11" ht="12.75" customHeight="1" x14ac:dyDescent="0.2">
      <c r="A120" s="1531" t="s">
        <v>1889</v>
      </c>
      <c r="B120" s="478">
        <v>3030</v>
      </c>
      <c r="C120" s="1621">
        <v>0</v>
      </c>
      <c r="D120" s="1564">
        <v>0</v>
      </c>
      <c r="E120" s="1564">
        <v>0</v>
      </c>
      <c r="F120" s="1564">
        <v>0</v>
      </c>
      <c r="G120" s="1564">
        <v>0</v>
      </c>
      <c r="H120" s="1564">
        <v>0</v>
      </c>
      <c r="I120" s="1566"/>
      <c r="J120" s="1565">
        <v>0</v>
      </c>
      <c r="K120" s="1565">
        <v>0</v>
      </c>
    </row>
    <row r="121" spans="1:11" x14ac:dyDescent="0.2">
      <c r="A121" s="1258" t="s">
        <v>1772</v>
      </c>
      <c r="B121" s="480">
        <v>3099</v>
      </c>
      <c r="C121" s="1621">
        <v>0</v>
      </c>
      <c r="D121" s="1564">
        <v>0</v>
      </c>
      <c r="E121" s="1564">
        <v>0</v>
      </c>
      <c r="F121" s="1564">
        <v>0</v>
      </c>
      <c r="G121" s="1564">
        <v>0</v>
      </c>
      <c r="H121" s="1564">
        <v>0</v>
      </c>
      <c r="I121" s="1566"/>
      <c r="J121" s="1565">
        <v>0</v>
      </c>
      <c r="K121" s="1565">
        <v>0</v>
      </c>
    </row>
    <row r="122" spans="1:11" ht="12.6" customHeight="1" thickBot="1" x14ac:dyDescent="0.25">
      <c r="A122" s="1398" t="s">
        <v>485</v>
      </c>
      <c r="B122" s="1405"/>
      <c r="C122" s="1622">
        <f t="shared" ref="C122:H122" si="5">SUM(C117:C121)</f>
        <v>3751446</v>
      </c>
      <c r="D122" s="1622">
        <f t="shared" si="5"/>
        <v>0</v>
      </c>
      <c r="E122" s="1622">
        <f t="shared" si="5"/>
        <v>0</v>
      </c>
      <c r="F122" s="1622">
        <f t="shared" si="5"/>
        <v>0</v>
      </c>
      <c r="G122" s="1622">
        <f t="shared" si="5"/>
        <v>0</v>
      </c>
      <c r="H122" s="1622">
        <f t="shared" si="5"/>
        <v>0</v>
      </c>
      <c r="I122" s="1566"/>
      <c r="J122" s="1622">
        <f>SUM(J117:J121)</f>
        <v>0</v>
      </c>
      <c r="K122" s="1584">
        <f>SUM(K117:K121)</f>
        <v>0</v>
      </c>
    </row>
    <row r="123" spans="1:11" ht="15.75" customHeight="1" thickTop="1" x14ac:dyDescent="0.2">
      <c r="A123" s="1322" t="s">
        <v>1470</v>
      </c>
      <c r="B123" s="1327"/>
      <c r="C123" s="1633"/>
      <c r="D123" s="1598"/>
      <c r="E123" s="1566"/>
      <c r="F123" s="1634"/>
      <c r="G123" s="1566"/>
      <c r="H123" s="1566"/>
      <c r="I123" s="1566"/>
      <c r="J123" s="1566"/>
      <c r="K123" s="1566"/>
    </row>
    <row r="124" spans="1:11" ht="15" customHeight="1" x14ac:dyDescent="0.2">
      <c r="A124" s="1328" t="s">
        <v>662</v>
      </c>
      <c r="B124" s="1329"/>
      <c r="C124" s="1606"/>
      <c r="D124" s="1598"/>
      <c r="E124" s="1566"/>
      <c r="F124" s="1606"/>
      <c r="G124" s="1566"/>
      <c r="H124" s="1566"/>
      <c r="I124" s="1566"/>
      <c r="J124" s="1566"/>
      <c r="K124" s="1566"/>
    </row>
    <row r="125" spans="1:11" ht="12.75" customHeight="1" x14ac:dyDescent="0.2">
      <c r="A125" s="427" t="s">
        <v>860</v>
      </c>
      <c r="B125" s="481">
        <v>3100</v>
      </c>
      <c r="C125" s="1576">
        <v>0</v>
      </c>
      <c r="D125" s="1629"/>
      <c r="E125" s="1566"/>
      <c r="F125" s="1620">
        <v>0</v>
      </c>
      <c r="G125" s="1566"/>
      <c r="H125" s="1566"/>
      <c r="I125" s="1566"/>
      <c r="J125" s="1566"/>
      <c r="K125" s="1566"/>
    </row>
    <row r="126" spans="1:11" ht="12.75" customHeight="1" x14ac:dyDescent="0.2">
      <c r="A126" s="427" t="s">
        <v>1426</v>
      </c>
      <c r="B126" s="478">
        <v>3105</v>
      </c>
      <c r="C126" s="1564">
        <v>0</v>
      </c>
      <c r="D126" s="1629"/>
      <c r="E126" s="1566"/>
      <c r="F126" s="1564">
        <v>0</v>
      </c>
      <c r="G126" s="1566"/>
      <c r="H126" s="1566"/>
      <c r="I126" s="1566"/>
      <c r="J126" s="1566"/>
      <c r="K126" s="1566"/>
    </row>
    <row r="127" spans="1:11" ht="12.75" customHeight="1" x14ac:dyDescent="0.2">
      <c r="A127" s="427" t="s">
        <v>861</v>
      </c>
      <c r="B127" s="478">
        <v>3110</v>
      </c>
      <c r="C127" s="1621">
        <v>0</v>
      </c>
      <c r="D127" s="1564">
        <v>0</v>
      </c>
      <c r="E127" s="1566"/>
      <c r="F127" s="1564">
        <v>0</v>
      </c>
      <c r="G127" s="1566"/>
      <c r="H127" s="1566"/>
      <c r="I127" s="1566"/>
      <c r="J127" s="1566"/>
      <c r="K127" s="1566"/>
    </row>
    <row r="128" spans="1:11" ht="12.75" customHeight="1" x14ac:dyDescent="0.2">
      <c r="A128" s="427" t="s">
        <v>105</v>
      </c>
      <c r="B128" s="478">
        <v>3120</v>
      </c>
      <c r="C128" s="1564">
        <v>0</v>
      </c>
      <c r="D128" s="1629"/>
      <c r="E128" s="1566"/>
      <c r="F128" s="1564">
        <v>0</v>
      </c>
      <c r="G128" s="1566"/>
      <c r="H128" s="1566"/>
      <c r="I128" s="1566"/>
      <c r="J128" s="1566"/>
      <c r="K128" s="1566"/>
    </row>
    <row r="129" spans="1:11" ht="12.75" customHeight="1" x14ac:dyDescent="0.2">
      <c r="A129" s="427" t="s">
        <v>1427</v>
      </c>
      <c r="B129" s="478">
        <v>3130</v>
      </c>
      <c r="C129" s="1564">
        <v>0</v>
      </c>
      <c r="D129" s="1629"/>
      <c r="E129" s="1566"/>
      <c r="F129" s="1564">
        <v>0</v>
      </c>
      <c r="G129" s="1566"/>
      <c r="H129" s="1566"/>
      <c r="I129" s="1566"/>
      <c r="J129" s="1566"/>
      <c r="K129" s="1566"/>
    </row>
    <row r="130" spans="1:11" ht="12.75" customHeight="1" x14ac:dyDescent="0.2">
      <c r="A130" s="427" t="s">
        <v>136</v>
      </c>
      <c r="B130" s="478">
        <v>3145</v>
      </c>
      <c r="C130" s="1564">
        <v>0</v>
      </c>
      <c r="D130" s="1629"/>
      <c r="E130" s="1566"/>
      <c r="F130" s="1564">
        <v>0</v>
      </c>
      <c r="G130" s="1566"/>
      <c r="H130" s="1566"/>
      <c r="I130" s="1566"/>
      <c r="J130" s="1566"/>
      <c r="K130" s="1566"/>
    </row>
    <row r="131" spans="1:11" ht="12.75" customHeight="1" x14ac:dyDescent="0.2">
      <c r="A131" s="427" t="s">
        <v>66</v>
      </c>
      <c r="B131" s="478">
        <v>3199</v>
      </c>
      <c r="C131" s="1621">
        <v>0</v>
      </c>
      <c r="D131" s="1565">
        <v>0</v>
      </c>
      <c r="E131" s="1566"/>
      <c r="F131" s="1564">
        <v>0</v>
      </c>
      <c r="G131" s="1566"/>
      <c r="H131" s="1566"/>
      <c r="I131" s="1566"/>
      <c r="J131" s="1566"/>
      <c r="K131" s="1566"/>
    </row>
    <row r="132" spans="1:11" ht="12.75" customHeight="1" thickBot="1" x14ac:dyDescent="0.25">
      <c r="A132" s="1398" t="s">
        <v>1024</v>
      </c>
      <c r="B132" s="1406"/>
      <c r="C132" s="1622">
        <f>SUM(C125:C131)</f>
        <v>0</v>
      </c>
      <c r="D132" s="1622">
        <f>SUM(D125:D131)</f>
        <v>0</v>
      </c>
      <c r="E132" s="1567" t="s">
        <v>1158</v>
      </c>
      <c r="F132" s="1622">
        <f>SUM(F125:F131)</f>
        <v>0</v>
      </c>
      <c r="G132" s="1566" t="s">
        <v>1158</v>
      </c>
      <c r="H132" s="1566" t="s">
        <v>1158</v>
      </c>
      <c r="I132" s="1566" t="s">
        <v>1158</v>
      </c>
      <c r="J132" s="1566" t="s">
        <v>1158</v>
      </c>
      <c r="K132" s="1566" t="s">
        <v>1158</v>
      </c>
    </row>
    <row r="133" spans="1:11" ht="15.75" customHeight="1" thickTop="1" x14ac:dyDescent="0.2">
      <c r="A133" s="1330" t="s">
        <v>248</v>
      </c>
      <c r="B133" s="1331"/>
      <c r="C133" s="1623"/>
      <c r="D133" s="1623"/>
      <c r="E133" s="1598"/>
      <c r="F133" s="1623"/>
      <c r="G133" s="1566"/>
      <c r="H133" s="1566"/>
      <c r="I133" s="1566"/>
      <c r="J133" s="1566"/>
      <c r="K133" s="1566"/>
    </row>
    <row r="134" spans="1:11" x14ac:dyDescent="0.2">
      <c r="A134" s="427" t="s">
        <v>595</v>
      </c>
      <c r="B134" s="478">
        <v>3200</v>
      </c>
      <c r="C134" s="1621">
        <v>0</v>
      </c>
      <c r="D134" s="1564">
        <v>0</v>
      </c>
      <c r="E134" s="1629"/>
      <c r="F134" s="1566"/>
      <c r="G134" s="1564">
        <v>0</v>
      </c>
      <c r="H134" s="1566"/>
      <c r="I134" s="1566"/>
      <c r="J134" s="1566"/>
      <c r="K134" s="1566"/>
    </row>
    <row r="135" spans="1:11" ht="12.75" customHeight="1" x14ac:dyDescent="0.2">
      <c r="A135" s="427" t="s">
        <v>664</v>
      </c>
      <c r="B135" s="478">
        <v>3220</v>
      </c>
      <c r="C135" s="1621">
        <v>0</v>
      </c>
      <c r="D135" s="1564">
        <v>0</v>
      </c>
      <c r="E135" s="1629"/>
      <c r="F135" s="1566"/>
      <c r="G135" s="1565">
        <v>0</v>
      </c>
      <c r="H135" s="1566"/>
      <c r="I135" s="1566"/>
      <c r="J135" s="1566"/>
      <c r="K135" s="1566"/>
    </row>
    <row r="136" spans="1:11" ht="12.75" customHeight="1" x14ac:dyDescent="0.2">
      <c r="A136" s="427" t="s">
        <v>247</v>
      </c>
      <c r="B136" s="478">
        <v>3225</v>
      </c>
      <c r="C136" s="1621">
        <v>0</v>
      </c>
      <c r="D136" s="1564">
        <v>0</v>
      </c>
      <c r="E136" s="1629"/>
      <c r="F136" s="1566"/>
      <c r="G136" s="1565">
        <v>0</v>
      </c>
      <c r="H136" s="1566"/>
      <c r="I136" s="1566"/>
      <c r="J136" s="1566"/>
      <c r="K136" s="1566"/>
    </row>
    <row r="137" spans="1:11" ht="12.75" customHeight="1" x14ac:dyDescent="0.2">
      <c r="A137" s="427" t="s">
        <v>596</v>
      </c>
      <c r="B137" s="478">
        <v>3235</v>
      </c>
      <c r="C137" s="1587">
        <v>0</v>
      </c>
      <c r="D137" s="1565">
        <v>0</v>
      </c>
      <c r="E137" s="1629"/>
      <c r="F137" s="1566"/>
      <c r="G137" s="1565">
        <v>0</v>
      </c>
      <c r="H137" s="1566"/>
      <c r="I137" s="1566"/>
      <c r="J137" s="1566"/>
      <c r="K137" s="1566"/>
    </row>
    <row r="138" spans="1:11" ht="12.75" customHeight="1" x14ac:dyDescent="0.2">
      <c r="A138" s="427" t="s">
        <v>597</v>
      </c>
      <c r="B138" s="478">
        <v>3240</v>
      </c>
      <c r="C138" s="1587">
        <v>0</v>
      </c>
      <c r="D138" s="1565">
        <v>0</v>
      </c>
      <c r="E138" s="1629"/>
      <c r="F138" s="1566"/>
      <c r="G138" s="1565">
        <v>0</v>
      </c>
      <c r="H138" s="1566"/>
      <c r="I138" s="1566"/>
      <c r="J138" s="1566"/>
      <c r="K138" s="1566"/>
    </row>
    <row r="139" spans="1:11" ht="12.75" customHeight="1" x14ac:dyDescent="0.2">
      <c r="A139" s="427" t="s">
        <v>598</v>
      </c>
      <c r="B139" s="478">
        <v>3270</v>
      </c>
      <c r="C139" s="1587">
        <v>0</v>
      </c>
      <c r="D139" s="1565">
        <v>0</v>
      </c>
      <c r="E139" s="1629"/>
      <c r="F139" s="1566"/>
      <c r="G139" s="1565">
        <v>0</v>
      </c>
      <c r="H139" s="1566"/>
      <c r="I139" s="1566"/>
      <c r="J139" s="1566"/>
      <c r="K139" s="1566"/>
    </row>
    <row r="140" spans="1:11" ht="12.75" customHeight="1" x14ac:dyDescent="0.2">
      <c r="A140" s="427" t="s">
        <v>67</v>
      </c>
      <c r="B140" s="478">
        <v>3299</v>
      </c>
      <c r="C140" s="1621">
        <v>0</v>
      </c>
      <c r="D140" s="1564">
        <v>0</v>
      </c>
      <c r="E140" s="1629"/>
      <c r="F140" s="1572"/>
      <c r="G140" s="1565">
        <v>0</v>
      </c>
      <c r="H140" s="1566"/>
      <c r="I140" s="1566"/>
      <c r="J140" s="1566"/>
      <c r="K140" s="1566"/>
    </row>
    <row r="141" spans="1:11" ht="12.75" customHeight="1" thickBot="1" x14ac:dyDescent="0.25">
      <c r="A141" s="1398" t="s">
        <v>599</v>
      </c>
      <c r="B141" s="1406"/>
      <c r="C141" s="1622">
        <f>SUM(C134:C140)</f>
        <v>0</v>
      </c>
      <c r="D141" s="1622">
        <f>SUM(D134:D140)</f>
        <v>0</v>
      </c>
      <c r="E141" s="1629" t="s">
        <v>1158</v>
      </c>
      <c r="F141" s="1572"/>
      <c r="G141" s="1622">
        <f>SUM(G134:G140)</f>
        <v>0</v>
      </c>
      <c r="H141" s="1566" t="s">
        <v>1158</v>
      </c>
      <c r="I141" s="1566" t="s">
        <v>1158</v>
      </c>
      <c r="J141" s="1566" t="s">
        <v>1158</v>
      </c>
      <c r="K141" s="1566" t="s">
        <v>1158</v>
      </c>
    </row>
    <row r="142" spans="1:11" ht="15.75" customHeight="1" thickTop="1" x14ac:dyDescent="0.2">
      <c r="A142" s="1330" t="s">
        <v>665</v>
      </c>
      <c r="B142" s="1331"/>
      <c r="C142" s="1623"/>
      <c r="D142" s="1634"/>
      <c r="E142" s="1629"/>
      <c r="F142" s="1623"/>
      <c r="G142" s="1623"/>
      <c r="H142" s="1566"/>
      <c r="I142" s="1566"/>
      <c r="J142" s="1566"/>
      <c r="K142" s="1566"/>
    </row>
    <row r="143" spans="1:11" ht="12.75" customHeight="1" x14ac:dyDescent="0.2">
      <c r="A143" s="427" t="s">
        <v>600</v>
      </c>
      <c r="B143" s="478">
        <v>3305</v>
      </c>
      <c r="C143" s="1564">
        <v>0</v>
      </c>
      <c r="D143" s="1566"/>
      <c r="E143" s="1629"/>
      <c r="F143" s="1566"/>
      <c r="G143" s="1564">
        <v>0</v>
      </c>
      <c r="H143" s="1566"/>
      <c r="I143" s="1566"/>
      <c r="J143" s="1566"/>
      <c r="K143" s="1566"/>
    </row>
    <row r="144" spans="1:11" ht="12.75" customHeight="1" x14ac:dyDescent="0.2">
      <c r="A144" s="427" t="s">
        <v>344</v>
      </c>
      <c r="B144" s="478">
        <v>3310</v>
      </c>
      <c r="C144" s="1621">
        <v>0</v>
      </c>
      <c r="D144" s="1566"/>
      <c r="E144" s="1629"/>
      <c r="F144" s="1566"/>
      <c r="G144" s="1564">
        <v>0</v>
      </c>
      <c r="H144" s="1566"/>
      <c r="I144" s="1566"/>
      <c r="J144" s="1566"/>
      <c r="K144" s="1566"/>
    </row>
    <row r="145" spans="1:11" s="197" customFormat="1" ht="13.5" thickBot="1" x14ac:dyDescent="0.25">
      <c r="A145" s="1398" t="s">
        <v>393</v>
      </c>
      <c r="B145" s="1406"/>
      <c r="C145" s="1584">
        <f>SUM(C143:C144)</f>
        <v>0</v>
      </c>
      <c r="D145" s="1566"/>
      <c r="E145" s="1598"/>
      <c r="F145" s="1566"/>
      <c r="G145" s="1590">
        <f>SUM(G143:G144)</f>
        <v>0</v>
      </c>
      <c r="H145" s="1566"/>
      <c r="I145" s="1566"/>
      <c r="J145" s="1566"/>
      <c r="K145" s="1566"/>
    </row>
    <row r="146" spans="1:11" s="197" customFormat="1" ht="12.75" customHeight="1" thickTop="1" x14ac:dyDescent="0.2">
      <c r="A146" s="1260" t="s">
        <v>1046</v>
      </c>
      <c r="B146" s="482">
        <v>3360</v>
      </c>
      <c r="C146" s="1635">
        <v>3473</v>
      </c>
      <c r="D146" s="1636"/>
      <c r="E146" s="1598"/>
      <c r="F146" s="1566"/>
      <c r="G146" s="1637"/>
      <c r="H146" s="1566"/>
      <c r="I146" s="1566"/>
      <c r="J146" s="1566"/>
      <c r="K146" s="1566"/>
    </row>
    <row r="147" spans="1:11" ht="12.75" customHeight="1" thickBot="1" x14ac:dyDescent="0.25">
      <c r="A147" s="1261" t="s">
        <v>915</v>
      </c>
      <c r="B147" s="483">
        <v>3365</v>
      </c>
      <c r="C147" s="1638">
        <v>0</v>
      </c>
      <c r="D147" s="1617">
        <v>0</v>
      </c>
      <c r="E147" s="1629"/>
      <c r="F147" s="1566"/>
      <c r="G147" s="1617">
        <v>0</v>
      </c>
      <c r="H147" s="1566"/>
      <c r="I147" s="1566"/>
      <c r="J147" s="1566"/>
      <c r="K147" s="1566"/>
    </row>
    <row r="148" spans="1:11" ht="12.75" customHeight="1" thickTop="1" thickBot="1" x14ac:dyDescent="0.25">
      <c r="A148" s="1262" t="s">
        <v>137</v>
      </c>
      <c r="B148" s="484">
        <v>3370</v>
      </c>
      <c r="C148" s="1638">
        <v>0</v>
      </c>
      <c r="D148" s="1638">
        <v>0</v>
      </c>
      <c r="E148" s="1598"/>
      <c r="F148" s="1566"/>
      <c r="G148" s="1566"/>
      <c r="H148" s="1566"/>
      <c r="I148" s="1566"/>
      <c r="J148" s="1566"/>
      <c r="K148" s="1566"/>
    </row>
    <row r="149" spans="1:11" ht="12.75" customHeight="1" thickTop="1" thickBot="1" x14ac:dyDescent="0.25">
      <c r="A149" s="1262" t="s">
        <v>761</v>
      </c>
      <c r="B149" s="484">
        <v>3410</v>
      </c>
      <c r="C149" s="1639">
        <v>0</v>
      </c>
      <c r="D149" s="1640">
        <v>0</v>
      </c>
      <c r="E149" s="1641">
        <v>0</v>
      </c>
      <c r="F149" s="1615">
        <v>0</v>
      </c>
      <c r="G149" s="1615">
        <v>0</v>
      </c>
      <c r="H149" s="1615">
        <v>0</v>
      </c>
      <c r="I149" s="1615">
        <v>0</v>
      </c>
      <c r="J149" s="1615">
        <v>0</v>
      </c>
      <c r="K149" s="1615">
        <v>0</v>
      </c>
    </row>
    <row r="150" spans="1:11" ht="12.75" customHeight="1" thickTop="1" thickBot="1" x14ac:dyDescent="0.25">
      <c r="A150" s="1262" t="s">
        <v>68</v>
      </c>
      <c r="B150" s="484">
        <v>3499</v>
      </c>
      <c r="C150" s="1639">
        <v>0</v>
      </c>
      <c r="D150" s="1640">
        <v>0</v>
      </c>
      <c r="E150" s="1617">
        <v>0</v>
      </c>
      <c r="F150" s="1617">
        <v>0</v>
      </c>
      <c r="G150" s="1617">
        <v>0</v>
      </c>
      <c r="H150" s="1617">
        <v>0</v>
      </c>
      <c r="I150" s="1617">
        <v>0</v>
      </c>
      <c r="J150" s="1617">
        <v>0</v>
      </c>
      <c r="K150" s="1617">
        <v>0</v>
      </c>
    </row>
    <row r="151" spans="1:11" ht="15.75" customHeight="1" thickTop="1" x14ac:dyDescent="0.2">
      <c r="A151" s="1330" t="s">
        <v>450</v>
      </c>
      <c r="B151" s="1332"/>
      <c r="C151" s="1623"/>
      <c r="D151" s="1566"/>
      <c r="E151" s="1629"/>
      <c r="F151" s="1566"/>
      <c r="G151" s="1566"/>
      <c r="H151" s="1566"/>
      <c r="I151" s="1566"/>
      <c r="J151" s="1566"/>
      <c r="K151" s="1566"/>
    </row>
    <row r="152" spans="1:11" ht="12.75" customHeight="1" x14ac:dyDescent="0.2">
      <c r="A152" s="427" t="s">
        <v>1428</v>
      </c>
      <c r="B152" s="478">
        <v>3500</v>
      </c>
      <c r="C152" s="1621">
        <v>0</v>
      </c>
      <c r="D152" s="1564">
        <v>0</v>
      </c>
      <c r="E152" s="1629"/>
      <c r="F152" s="1564">
        <v>0</v>
      </c>
      <c r="G152" s="1565">
        <v>0</v>
      </c>
      <c r="H152" s="1566"/>
      <c r="I152" s="1566"/>
      <c r="J152" s="1566"/>
      <c r="K152" s="1566"/>
    </row>
    <row r="153" spans="1:11" ht="12.75" customHeight="1" x14ac:dyDescent="0.2">
      <c r="A153" s="427" t="s">
        <v>1047</v>
      </c>
      <c r="B153" s="478">
        <v>3510</v>
      </c>
      <c r="C153" s="1621">
        <v>0</v>
      </c>
      <c r="D153" s="1564">
        <v>0</v>
      </c>
      <c r="E153" s="1629"/>
      <c r="F153" s="1564">
        <v>785311</v>
      </c>
      <c r="G153" s="1565">
        <v>0</v>
      </c>
      <c r="H153" s="1566"/>
      <c r="I153" s="1566"/>
      <c r="J153" s="1566"/>
      <c r="K153" s="1566"/>
    </row>
    <row r="154" spans="1:11" ht="12.75" customHeight="1" x14ac:dyDescent="0.2">
      <c r="A154" s="427" t="s">
        <v>69</v>
      </c>
      <c r="B154" s="478">
        <v>3599</v>
      </c>
      <c r="C154" s="1621">
        <v>0</v>
      </c>
      <c r="D154" s="1564">
        <v>0</v>
      </c>
      <c r="E154" s="1629"/>
      <c r="F154" s="1564">
        <v>0</v>
      </c>
      <c r="G154" s="1565">
        <v>0</v>
      </c>
      <c r="H154" s="1566"/>
      <c r="I154" s="1566"/>
      <c r="J154" s="1566"/>
      <c r="K154" s="1566"/>
    </row>
    <row r="155" spans="1:11" ht="12.75" customHeight="1" thickBot="1" x14ac:dyDescent="0.25">
      <c r="A155" s="1398" t="s">
        <v>94</v>
      </c>
      <c r="B155" s="1406"/>
      <c r="C155" s="1622">
        <f>SUM(C152:C154)</f>
        <v>0</v>
      </c>
      <c r="D155" s="1622">
        <f>SUM(D152:D154)</f>
        <v>0</v>
      </c>
      <c r="E155" s="1629"/>
      <c r="F155" s="1622">
        <f>SUM(F152:F154)</f>
        <v>785311</v>
      </c>
      <c r="G155" s="1622">
        <f>SUM(G152:G154)</f>
        <v>0</v>
      </c>
      <c r="H155" s="1566"/>
      <c r="I155" s="1566"/>
      <c r="J155" s="1566"/>
      <c r="K155" s="1566"/>
    </row>
    <row r="156" spans="1:11" ht="12.75" customHeight="1" thickTop="1" thickBot="1" x14ac:dyDescent="0.25">
      <c r="A156" s="1262" t="s">
        <v>377</v>
      </c>
      <c r="B156" s="484">
        <v>3610</v>
      </c>
      <c r="C156" s="1640">
        <v>0</v>
      </c>
      <c r="D156" s="1566"/>
      <c r="E156" s="1598"/>
      <c r="F156" s="1566"/>
      <c r="G156" s="1566"/>
      <c r="H156" s="1566"/>
      <c r="I156" s="1566"/>
      <c r="J156" s="1566"/>
      <c r="K156" s="1566"/>
    </row>
    <row r="157" spans="1:11" ht="12.75" customHeight="1" thickTop="1" thickBot="1" x14ac:dyDescent="0.25">
      <c r="A157" s="1262" t="s">
        <v>50</v>
      </c>
      <c r="B157" s="484">
        <v>3660</v>
      </c>
      <c r="C157" s="1638">
        <v>0</v>
      </c>
      <c r="D157" s="1642">
        <v>0</v>
      </c>
      <c r="E157" s="1629"/>
      <c r="F157" s="1642">
        <v>0</v>
      </c>
      <c r="G157" s="1642">
        <v>0</v>
      </c>
      <c r="H157" s="1566"/>
      <c r="I157" s="1566"/>
      <c r="J157" s="1566"/>
      <c r="K157" s="1566"/>
    </row>
    <row r="158" spans="1:11" ht="12.75" customHeight="1" thickTop="1" thickBot="1" x14ac:dyDescent="0.25">
      <c r="A158" s="1262" t="s">
        <v>992</v>
      </c>
      <c r="B158" s="484">
        <v>3695</v>
      </c>
      <c r="C158" s="1640">
        <v>0</v>
      </c>
      <c r="D158" s="1566"/>
      <c r="E158" s="1629"/>
      <c r="F158" s="1640">
        <v>0</v>
      </c>
      <c r="G158" s="1640">
        <v>0</v>
      </c>
      <c r="H158" s="1566"/>
      <c r="I158" s="1566"/>
      <c r="J158" s="1566"/>
      <c r="K158" s="1566"/>
    </row>
    <row r="159" spans="1:11" ht="12.75" customHeight="1" thickTop="1" thickBot="1" x14ac:dyDescent="0.25">
      <c r="A159" s="1262" t="s">
        <v>1041</v>
      </c>
      <c r="B159" s="484">
        <v>3705</v>
      </c>
      <c r="C159" s="1640">
        <v>0</v>
      </c>
      <c r="D159" s="1642">
        <v>0</v>
      </c>
      <c r="E159" s="1629"/>
      <c r="F159" s="1640">
        <v>0</v>
      </c>
      <c r="G159" s="1640">
        <v>0</v>
      </c>
      <c r="H159" s="1566"/>
      <c r="I159" s="1566"/>
      <c r="J159" s="1566"/>
      <c r="K159" s="1566"/>
    </row>
    <row r="160" spans="1:11" ht="12.75" customHeight="1" thickTop="1" thickBot="1" x14ac:dyDescent="0.25">
      <c r="A160" s="1262" t="s">
        <v>39</v>
      </c>
      <c r="B160" s="484">
        <v>3766</v>
      </c>
      <c r="C160" s="1640">
        <v>0</v>
      </c>
      <c r="D160" s="1642">
        <v>0</v>
      </c>
      <c r="E160" s="1629"/>
      <c r="F160" s="1640">
        <v>0</v>
      </c>
      <c r="G160" s="1616">
        <v>0</v>
      </c>
      <c r="H160" s="1566"/>
      <c r="I160" s="1566"/>
      <c r="J160" s="1566"/>
      <c r="K160" s="1566"/>
    </row>
    <row r="161" spans="1:11" ht="12.75" customHeight="1" thickTop="1" thickBot="1" x14ac:dyDescent="0.25">
      <c r="A161" s="1262" t="s">
        <v>977</v>
      </c>
      <c r="B161" s="484">
        <v>3767</v>
      </c>
      <c r="C161" s="1640">
        <v>0</v>
      </c>
      <c r="D161" s="1616">
        <v>0</v>
      </c>
      <c r="E161" s="1629"/>
      <c r="F161" s="1616">
        <v>0</v>
      </c>
      <c r="G161" s="1616">
        <v>0</v>
      </c>
      <c r="H161" s="1566"/>
      <c r="I161" s="1566"/>
      <c r="J161" s="1566"/>
      <c r="K161" s="1566"/>
    </row>
    <row r="162" spans="1:11" ht="12.75" customHeight="1" thickTop="1" thickBot="1" x14ac:dyDescent="0.25">
      <c r="A162" s="1262" t="s">
        <v>978</v>
      </c>
      <c r="B162" s="484">
        <v>3775</v>
      </c>
      <c r="C162" s="1640">
        <v>0</v>
      </c>
      <c r="D162" s="1638">
        <v>0</v>
      </c>
      <c r="E162" s="1615">
        <v>0</v>
      </c>
      <c r="F162" s="1638">
        <v>0</v>
      </c>
      <c r="G162" s="1617">
        <v>0</v>
      </c>
      <c r="H162" s="1615">
        <v>0</v>
      </c>
      <c r="I162" s="1566"/>
      <c r="J162" s="1566"/>
      <c r="K162" s="1615">
        <v>0</v>
      </c>
    </row>
    <row r="163" spans="1:11" ht="12.75" customHeight="1" thickTop="1" thickBot="1" x14ac:dyDescent="0.25">
      <c r="A163" s="1262" t="s">
        <v>1429</v>
      </c>
      <c r="B163" s="484">
        <v>3780</v>
      </c>
      <c r="C163" s="1616">
        <v>0</v>
      </c>
      <c r="D163" s="1615">
        <v>0</v>
      </c>
      <c r="E163" s="1616">
        <v>0</v>
      </c>
      <c r="F163" s="1616">
        <v>0</v>
      </c>
      <c r="G163" s="1616">
        <v>0</v>
      </c>
      <c r="H163" s="1616">
        <v>0</v>
      </c>
      <c r="I163" s="1566"/>
      <c r="J163" s="1566"/>
      <c r="K163" s="1616">
        <v>0</v>
      </c>
    </row>
    <row r="164" spans="1:11" ht="12.75" customHeight="1" thickTop="1" thickBot="1" x14ac:dyDescent="0.25">
      <c r="A164" s="1262" t="s">
        <v>852</v>
      </c>
      <c r="B164" s="484">
        <v>3815</v>
      </c>
      <c r="C164" s="1640">
        <v>0</v>
      </c>
      <c r="D164" s="1566"/>
      <c r="E164" s="1629"/>
      <c r="F164" s="1640">
        <v>0</v>
      </c>
      <c r="G164" s="1566"/>
      <c r="H164" s="1566"/>
      <c r="I164" s="1566"/>
      <c r="J164" s="1566"/>
      <c r="K164" s="1566"/>
    </row>
    <row r="165" spans="1:11" ht="12.75" customHeight="1" thickTop="1" thickBot="1" x14ac:dyDescent="0.25">
      <c r="A165" s="1262" t="s">
        <v>394</v>
      </c>
      <c r="B165" s="484">
        <v>3825</v>
      </c>
      <c r="C165" s="1640">
        <v>0</v>
      </c>
      <c r="D165" s="1566"/>
      <c r="E165" s="1629"/>
      <c r="F165" s="1640">
        <v>0</v>
      </c>
      <c r="G165" s="1566"/>
      <c r="H165" s="1566"/>
      <c r="I165" s="1566"/>
      <c r="J165" s="1566"/>
      <c r="K165" s="1566"/>
    </row>
    <row r="166" spans="1:11" ht="12.75" customHeight="1" thickTop="1" thickBot="1" x14ac:dyDescent="0.25">
      <c r="A166" s="1262" t="s">
        <v>345</v>
      </c>
      <c r="B166" s="484">
        <v>3920</v>
      </c>
      <c r="C166" s="1634"/>
      <c r="D166" s="1642">
        <v>0</v>
      </c>
      <c r="E166" s="1566"/>
      <c r="F166" s="1634"/>
      <c r="G166" s="1566"/>
      <c r="H166" s="1615">
        <v>0</v>
      </c>
      <c r="I166" s="1566"/>
      <c r="J166" s="1566"/>
      <c r="K166" s="1566"/>
    </row>
    <row r="167" spans="1:11" ht="12.75" customHeight="1" thickTop="1" thickBot="1" x14ac:dyDescent="0.25">
      <c r="A167" s="1262" t="s">
        <v>346</v>
      </c>
      <c r="B167" s="484">
        <v>3925</v>
      </c>
      <c r="C167" s="1606"/>
      <c r="D167" s="1640">
        <v>0</v>
      </c>
      <c r="E167" s="1606"/>
      <c r="F167" s="1606"/>
      <c r="G167" s="1566"/>
      <c r="H167" s="1616">
        <v>0</v>
      </c>
      <c r="I167" s="1566"/>
      <c r="J167" s="1566"/>
      <c r="K167" s="1615">
        <v>0</v>
      </c>
    </row>
    <row r="168" spans="1:11" ht="14.25" thickTop="1" thickBot="1" x14ac:dyDescent="0.25">
      <c r="A168" s="1262" t="s">
        <v>70</v>
      </c>
      <c r="B168" s="484">
        <v>3999</v>
      </c>
      <c r="C168" s="1643">
        <v>400938</v>
      </c>
      <c r="D168" s="1644">
        <v>50000</v>
      </c>
      <c r="E168" s="1644">
        <v>0</v>
      </c>
      <c r="F168" s="1644">
        <v>0</v>
      </c>
      <c r="G168" s="1645">
        <v>0</v>
      </c>
      <c r="H168" s="1646">
        <v>0</v>
      </c>
      <c r="I168" s="1645">
        <v>0</v>
      </c>
      <c r="J168" s="1645">
        <v>0</v>
      </c>
      <c r="K168" s="1646">
        <v>0</v>
      </c>
    </row>
    <row r="169" spans="1:11" ht="12.75" customHeight="1" thickTop="1" thickBot="1" x14ac:dyDescent="0.25">
      <c r="A169" s="2270" t="s">
        <v>395</v>
      </c>
      <c r="B169" s="2271"/>
      <c r="C169" s="1647">
        <f t="shared" ref="C169:K169" si="6">SUM(C132,C141,C145,C146:C150,C155,C156:C167,C168)</f>
        <v>404411</v>
      </c>
      <c r="D169" s="1647">
        <f t="shared" si="6"/>
        <v>50000</v>
      </c>
      <c r="E169" s="1647">
        <f t="shared" si="6"/>
        <v>0</v>
      </c>
      <c r="F169" s="1647">
        <f t="shared" si="6"/>
        <v>785311</v>
      </c>
      <c r="G169" s="1647">
        <f t="shared" si="6"/>
        <v>0</v>
      </c>
      <c r="H169" s="1647">
        <f t="shared" si="6"/>
        <v>0</v>
      </c>
      <c r="I169" s="1647">
        <f t="shared" si="6"/>
        <v>0</v>
      </c>
      <c r="J169" s="1647">
        <f t="shared" si="6"/>
        <v>0</v>
      </c>
      <c r="K169" s="1613">
        <f t="shared" si="6"/>
        <v>0</v>
      </c>
    </row>
    <row r="170" spans="1:11" ht="12.75" customHeight="1" thickTop="1" thickBot="1" x14ac:dyDescent="0.25">
      <c r="A170" s="1398" t="s">
        <v>396</v>
      </c>
      <c r="B170" s="1402" t="s">
        <v>571</v>
      </c>
      <c r="C170" s="1630">
        <f t="shared" ref="C170:K170" si="7">SUM(C122,C169)</f>
        <v>4155857</v>
      </c>
      <c r="D170" s="1630">
        <f t="shared" si="7"/>
        <v>50000</v>
      </c>
      <c r="E170" s="1630">
        <f t="shared" si="7"/>
        <v>0</v>
      </c>
      <c r="F170" s="1630">
        <f t="shared" si="7"/>
        <v>785311</v>
      </c>
      <c r="G170" s="1630">
        <f t="shared" si="7"/>
        <v>0</v>
      </c>
      <c r="H170" s="1630">
        <f t="shared" si="7"/>
        <v>0</v>
      </c>
      <c r="I170" s="1630">
        <f t="shared" si="7"/>
        <v>0</v>
      </c>
      <c r="J170" s="1630">
        <f t="shared" si="7"/>
        <v>0</v>
      </c>
      <c r="K170" s="1618">
        <f t="shared" si="7"/>
        <v>0</v>
      </c>
    </row>
    <row r="171" spans="1:11" ht="16.7" customHeight="1" thickTop="1" x14ac:dyDescent="0.2">
      <c r="A171" s="1319" t="s">
        <v>798</v>
      </c>
      <c r="B171" s="1302"/>
      <c r="C171" s="1591"/>
      <c r="D171" s="1592"/>
      <c r="E171" s="1592"/>
      <c r="F171" s="1592"/>
      <c r="G171" s="1592"/>
      <c r="H171" s="1592"/>
      <c r="I171" s="1592"/>
      <c r="J171" s="1592"/>
      <c r="K171" s="1604"/>
    </row>
    <row r="172" spans="1:11" ht="15.75" customHeight="1" x14ac:dyDescent="0.2">
      <c r="A172" s="2272" t="s">
        <v>1472</v>
      </c>
      <c r="B172" s="2273"/>
      <c r="C172" s="1605"/>
      <c r="D172" s="1605"/>
      <c r="E172" s="1598"/>
      <c r="F172" s="1566"/>
      <c r="G172" s="1566"/>
      <c r="H172" s="1566"/>
      <c r="I172" s="1566"/>
      <c r="J172" s="1566"/>
      <c r="K172" s="1566"/>
    </row>
    <row r="173" spans="1:11" ht="12.6" customHeight="1" x14ac:dyDescent="0.2">
      <c r="A173" s="436" t="s">
        <v>1034</v>
      </c>
      <c r="B173" s="435">
        <v>4001</v>
      </c>
      <c r="C173" s="1602">
        <v>0</v>
      </c>
      <c r="D173" s="1576">
        <v>0</v>
      </c>
      <c r="E173" s="1565">
        <v>0</v>
      </c>
      <c r="F173" s="1564">
        <v>0</v>
      </c>
      <c r="G173" s="1564">
        <v>0</v>
      </c>
      <c r="H173" s="1565">
        <v>0</v>
      </c>
      <c r="I173" s="1565">
        <v>0</v>
      </c>
      <c r="J173" s="1565">
        <v>0</v>
      </c>
      <c r="K173" s="1565">
        <v>0</v>
      </c>
    </row>
    <row r="174" spans="1:11" ht="22.5" x14ac:dyDescent="0.2">
      <c r="A174" s="479" t="s">
        <v>799</v>
      </c>
      <c r="B174" s="485">
        <v>4009</v>
      </c>
      <c r="C174" s="1621">
        <v>0</v>
      </c>
      <c r="D174" s="1564">
        <v>0</v>
      </c>
      <c r="E174" s="1565">
        <v>0</v>
      </c>
      <c r="F174" s="1564">
        <v>0</v>
      </c>
      <c r="G174" s="1564">
        <v>0</v>
      </c>
      <c r="H174" s="1565">
        <v>0</v>
      </c>
      <c r="I174" s="1565">
        <v>0</v>
      </c>
      <c r="J174" s="1565">
        <v>0</v>
      </c>
      <c r="K174" s="1565">
        <v>0</v>
      </c>
    </row>
    <row r="175" spans="1:11" ht="13.5" thickBot="1" x14ac:dyDescent="0.25">
      <c r="A175" s="2276" t="s">
        <v>1643</v>
      </c>
      <c r="B175" s="2277"/>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4">
        <f t="shared" si="8"/>
        <v>0</v>
      </c>
    </row>
    <row r="176" spans="1:11" s="421" customFormat="1" ht="15.75" customHeight="1" thickTop="1" x14ac:dyDescent="0.2">
      <c r="A176" s="2280" t="s">
        <v>1642</v>
      </c>
      <c r="B176" s="2281"/>
      <c r="C176" s="1648"/>
      <c r="D176" s="1649"/>
      <c r="E176" s="1650"/>
      <c r="F176" s="1651"/>
      <c r="G176" s="1651"/>
      <c r="H176" s="1651"/>
      <c r="I176" s="1651"/>
      <c r="J176" s="1651"/>
      <c r="K176" s="1651"/>
    </row>
    <row r="177" spans="1:11" ht="12.75" customHeight="1" x14ac:dyDescent="0.2">
      <c r="A177" s="427" t="s">
        <v>1035</v>
      </c>
      <c r="B177" s="429">
        <v>4045</v>
      </c>
      <c r="C177" s="1621">
        <v>0</v>
      </c>
      <c r="D177" s="1566"/>
      <c r="E177" s="1629"/>
      <c r="F177" s="1566"/>
      <c r="G177" s="1566"/>
      <c r="H177" s="1566"/>
      <c r="I177" s="1566"/>
      <c r="J177" s="1566"/>
      <c r="K177" s="1566"/>
    </row>
    <row r="178" spans="1:11" ht="12.75" customHeight="1" x14ac:dyDescent="0.2">
      <c r="A178" s="427" t="s">
        <v>1036</v>
      </c>
      <c r="B178" s="429">
        <v>4050</v>
      </c>
      <c r="C178" s="1621">
        <v>0</v>
      </c>
      <c r="D178" s="1565">
        <v>0</v>
      </c>
      <c r="E178" s="1629"/>
      <c r="F178" s="1566"/>
      <c r="G178" s="1566"/>
      <c r="H178" s="1565">
        <v>0</v>
      </c>
      <c r="I178" s="1566"/>
      <c r="J178" s="1566"/>
      <c r="K178" s="1566"/>
    </row>
    <row r="179" spans="1:11" ht="12.75" customHeight="1" x14ac:dyDescent="0.2">
      <c r="A179" s="427" t="s">
        <v>258</v>
      </c>
      <c r="B179" s="429">
        <v>4060</v>
      </c>
      <c r="C179" s="1602">
        <v>0</v>
      </c>
      <c r="D179" s="1564">
        <v>0</v>
      </c>
      <c r="E179" s="1566"/>
      <c r="F179" s="1564">
        <v>0</v>
      </c>
      <c r="G179" s="1564">
        <v>0</v>
      </c>
      <c r="H179" s="1564">
        <v>0</v>
      </c>
      <c r="I179" s="1566"/>
      <c r="J179" s="1566"/>
      <c r="K179" s="1606"/>
    </row>
    <row r="180" spans="1:11" ht="22.5" x14ac:dyDescent="0.2">
      <c r="A180" s="479" t="s">
        <v>780</v>
      </c>
      <c r="B180" s="485">
        <v>4090</v>
      </c>
      <c r="C180" s="1621">
        <v>0</v>
      </c>
      <c r="D180" s="1564">
        <v>0</v>
      </c>
      <c r="E180" s="1566"/>
      <c r="F180" s="1564">
        <v>0</v>
      </c>
      <c r="G180" s="1564">
        <v>0</v>
      </c>
      <c r="H180" s="1564">
        <v>0</v>
      </c>
      <c r="I180" s="1566"/>
      <c r="J180" s="1566"/>
      <c r="K180" s="1564">
        <v>0</v>
      </c>
    </row>
    <row r="181" spans="1:11" ht="13.5" thickBot="1" x14ac:dyDescent="0.25">
      <c r="A181" s="2278" t="s">
        <v>779</v>
      </c>
      <c r="B181" s="2279"/>
      <c r="C181" s="1622">
        <f>SUM(C177:C180)</f>
        <v>0</v>
      </c>
      <c r="D181" s="1622">
        <f>SUM(D177:D180)</f>
        <v>0</v>
      </c>
      <c r="E181" s="1566"/>
      <c r="F181" s="1622">
        <f>SUM(F177:F180)</f>
        <v>0</v>
      </c>
      <c r="G181" s="1622">
        <f>SUM(G177:G180)</f>
        <v>0</v>
      </c>
      <c r="H181" s="1622">
        <f>SUM(H177:H180)</f>
        <v>0</v>
      </c>
      <c r="I181" s="1566"/>
      <c r="J181" s="1566"/>
      <c r="K181" s="1584">
        <f>SUM(K177:K180)</f>
        <v>0</v>
      </c>
    </row>
    <row r="182" spans="1:11" ht="22.5" customHeight="1" thickTop="1" x14ac:dyDescent="0.2">
      <c r="A182" s="2274" t="s">
        <v>1774</v>
      </c>
      <c r="B182" s="2275"/>
      <c r="C182" s="1652"/>
      <c r="D182" s="1634"/>
      <c r="E182" s="1598"/>
      <c r="F182" s="1634"/>
      <c r="G182" s="1634"/>
      <c r="H182" s="1566"/>
      <c r="I182" s="1566"/>
      <c r="J182" s="1566"/>
      <c r="K182" s="1566"/>
    </row>
    <row r="183" spans="1:11" ht="15.75" customHeight="1" x14ac:dyDescent="0.2">
      <c r="A183" s="1333" t="s">
        <v>1582</v>
      </c>
      <c r="B183" s="1334"/>
      <c r="C183" s="1632"/>
      <c r="D183" s="1606"/>
      <c r="E183" s="1598"/>
      <c r="F183" s="1606"/>
      <c r="G183" s="1606"/>
      <c r="H183" s="1566"/>
      <c r="I183" s="1566"/>
      <c r="J183" s="1566"/>
      <c r="K183" s="1566"/>
    </row>
    <row r="184" spans="1:11" ht="12.75" customHeight="1" x14ac:dyDescent="0.2">
      <c r="A184" s="427" t="s">
        <v>1583</v>
      </c>
      <c r="B184" s="429">
        <v>4100</v>
      </c>
      <c r="C184" s="1602">
        <v>0</v>
      </c>
      <c r="D184" s="1576">
        <v>0</v>
      </c>
      <c r="E184" s="1629"/>
      <c r="F184" s="1576">
        <v>0</v>
      </c>
      <c r="G184" s="1576">
        <v>0</v>
      </c>
      <c r="H184" s="1566"/>
      <c r="I184" s="1566"/>
      <c r="J184" s="1566"/>
      <c r="K184" s="1566"/>
    </row>
    <row r="185" spans="1:11" ht="12.75" customHeight="1" x14ac:dyDescent="0.2">
      <c r="A185" s="427" t="s">
        <v>1584</v>
      </c>
      <c r="B185" s="429">
        <v>4105</v>
      </c>
      <c r="C185" s="1621">
        <v>0</v>
      </c>
      <c r="D185" s="1564">
        <v>0</v>
      </c>
      <c r="E185" s="1629"/>
      <c r="F185" s="1564">
        <v>0</v>
      </c>
      <c r="G185" s="1564">
        <v>0</v>
      </c>
      <c r="H185" s="1566"/>
      <c r="I185" s="1566"/>
      <c r="J185" s="1566"/>
      <c r="K185" s="1566"/>
    </row>
    <row r="186" spans="1:11" ht="12.75" customHeight="1" x14ac:dyDescent="0.2">
      <c r="A186" s="427" t="s">
        <v>1586</v>
      </c>
      <c r="B186" s="429">
        <v>4107</v>
      </c>
      <c r="C186" s="1621">
        <v>0</v>
      </c>
      <c r="D186" s="1564">
        <v>0</v>
      </c>
      <c r="E186" s="1629"/>
      <c r="F186" s="1564">
        <v>0</v>
      </c>
      <c r="G186" s="1564">
        <v>0</v>
      </c>
      <c r="H186" s="1566"/>
      <c r="I186" s="1566"/>
      <c r="J186" s="1566"/>
      <c r="K186" s="1566"/>
    </row>
    <row r="187" spans="1:11" ht="12.75" customHeight="1" x14ac:dyDescent="0.2">
      <c r="A187" s="427" t="s">
        <v>1585</v>
      </c>
      <c r="B187" s="429">
        <v>4199</v>
      </c>
      <c r="C187" s="1621">
        <v>0</v>
      </c>
      <c r="D187" s="1564">
        <v>0</v>
      </c>
      <c r="E187" s="1629"/>
      <c r="F187" s="1564">
        <v>0</v>
      </c>
      <c r="G187" s="1564">
        <v>0</v>
      </c>
      <c r="H187" s="1566"/>
      <c r="I187" s="1566"/>
      <c r="J187" s="1566"/>
      <c r="K187" s="1566"/>
    </row>
    <row r="188" spans="1:11" ht="12.75" customHeight="1" thickBot="1" x14ac:dyDescent="0.25">
      <c r="A188" s="1398" t="s">
        <v>1587</v>
      </c>
      <c r="B188" s="1399"/>
      <c r="C188" s="1622">
        <f>SUM(C184:C187)</f>
        <v>0</v>
      </c>
      <c r="D188" s="1622">
        <f>SUM(D184:D187)</f>
        <v>0</v>
      </c>
      <c r="E188" s="1629"/>
      <c r="F188" s="1622">
        <f>SUM(F184:F187)</f>
        <v>0</v>
      </c>
      <c r="G188" s="1622">
        <f>SUM(G184:G187)</f>
        <v>0</v>
      </c>
      <c r="H188" s="1566"/>
      <c r="I188" s="1566"/>
      <c r="J188" s="1566"/>
      <c r="K188" s="1566"/>
    </row>
    <row r="189" spans="1:11" ht="15.75" customHeight="1" thickTop="1" x14ac:dyDescent="0.2">
      <c r="A189" s="1330" t="s">
        <v>452</v>
      </c>
      <c r="B189" s="1335"/>
      <c r="C189" s="1623"/>
      <c r="D189" s="1634"/>
      <c r="E189" s="1629"/>
      <c r="F189" s="1623"/>
      <c r="G189" s="1623"/>
      <c r="H189" s="1566"/>
      <c r="I189" s="1566"/>
      <c r="J189" s="1566"/>
      <c r="K189" s="1566"/>
    </row>
    <row r="190" spans="1:11" x14ac:dyDescent="0.2">
      <c r="A190" s="427" t="s">
        <v>1430</v>
      </c>
      <c r="B190" s="429">
        <v>4200</v>
      </c>
      <c r="C190" s="1565">
        <v>0</v>
      </c>
      <c r="D190" s="1566"/>
      <c r="E190" s="1629"/>
      <c r="F190" s="1623"/>
      <c r="G190" s="1653">
        <v>0</v>
      </c>
      <c r="H190" s="1566"/>
      <c r="I190" s="1566"/>
      <c r="J190" s="1566"/>
      <c r="K190" s="1566"/>
    </row>
    <row r="191" spans="1:11" ht="12.75" customHeight="1" x14ac:dyDescent="0.2">
      <c r="A191" s="427" t="s">
        <v>1048</v>
      </c>
      <c r="B191" s="429">
        <v>4210</v>
      </c>
      <c r="C191" s="1564">
        <v>116460</v>
      </c>
      <c r="D191" s="1566"/>
      <c r="E191" s="1629"/>
      <c r="F191" s="1566"/>
      <c r="G191" s="1653">
        <v>0</v>
      </c>
      <c r="H191" s="1566"/>
      <c r="I191" s="1566"/>
      <c r="J191" s="1566"/>
      <c r="K191" s="1566"/>
    </row>
    <row r="192" spans="1:11" ht="12.75" customHeight="1" x14ac:dyDescent="0.2">
      <c r="A192" s="427" t="s">
        <v>1037</v>
      </c>
      <c r="B192" s="429">
        <v>4215</v>
      </c>
      <c r="C192" s="1621">
        <v>0</v>
      </c>
      <c r="D192" s="1566"/>
      <c r="E192" s="1629"/>
      <c r="F192" s="1566"/>
      <c r="G192" s="1653">
        <v>0</v>
      </c>
      <c r="H192" s="1566"/>
      <c r="I192" s="1566"/>
      <c r="J192" s="1566"/>
      <c r="K192" s="1566"/>
    </row>
    <row r="193" spans="1:11" ht="12.75" customHeight="1" x14ac:dyDescent="0.2">
      <c r="A193" s="427" t="s">
        <v>1049</v>
      </c>
      <c r="B193" s="429">
        <v>4220</v>
      </c>
      <c r="C193" s="1621">
        <v>45857</v>
      </c>
      <c r="D193" s="1566"/>
      <c r="E193" s="1629"/>
      <c r="F193" s="1566"/>
      <c r="G193" s="1653">
        <v>0</v>
      </c>
      <c r="H193" s="1566"/>
      <c r="I193" s="1566"/>
      <c r="J193" s="1566"/>
      <c r="K193" s="1566"/>
    </row>
    <row r="194" spans="1:11" ht="12.75" customHeight="1" x14ac:dyDescent="0.2">
      <c r="A194" s="427" t="s">
        <v>1431</v>
      </c>
      <c r="B194" s="429">
        <v>4225</v>
      </c>
      <c r="C194" s="1621">
        <v>0</v>
      </c>
      <c r="D194" s="1566"/>
      <c r="E194" s="1629"/>
      <c r="F194" s="1566"/>
      <c r="G194" s="1653">
        <v>0</v>
      </c>
      <c r="H194" s="1566"/>
      <c r="I194" s="1566"/>
      <c r="J194" s="1566"/>
      <c r="K194" s="1566"/>
    </row>
    <row r="195" spans="1:11" ht="12.75" customHeight="1" x14ac:dyDescent="0.2">
      <c r="A195" s="427" t="s">
        <v>1432</v>
      </c>
      <c r="B195" s="429">
        <v>4226</v>
      </c>
      <c r="C195" s="1621">
        <v>0</v>
      </c>
      <c r="D195" s="1566"/>
      <c r="E195" s="1629"/>
      <c r="F195" s="1566"/>
      <c r="G195" s="1653">
        <v>0</v>
      </c>
      <c r="H195" s="1566"/>
      <c r="I195" s="1566"/>
      <c r="J195" s="1566"/>
      <c r="K195" s="1566"/>
    </row>
    <row r="196" spans="1:11" ht="12.75" customHeight="1" x14ac:dyDescent="0.2">
      <c r="A196" s="427" t="s">
        <v>786</v>
      </c>
      <c r="B196" s="429">
        <v>4240</v>
      </c>
      <c r="C196" s="1587">
        <v>0</v>
      </c>
      <c r="D196" s="1566"/>
      <c r="E196" s="1629"/>
      <c r="F196" s="1566"/>
      <c r="G196" s="1654"/>
      <c r="H196" s="1566"/>
      <c r="I196" s="1566"/>
      <c r="J196" s="1566"/>
      <c r="K196" s="1566"/>
    </row>
    <row r="197" spans="1:11" ht="12.75" customHeight="1" x14ac:dyDescent="0.2">
      <c r="A197" s="427" t="s">
        <v>71</v>
      </c>
      <c r="B197" s="429">
        <v>4299</v>
      </c>
      <c r="C197" s="1621">
        <v>0</v>
      </c>
      <c r="D197" s="1566"/>
      <c r="E197" s="1629"/>
      <c r="F197" s="1566"/>
      <c r="G197" s="1653">
        <v>0</v>
      </c>
      <c r="H197" s="1566"/>
      <c r="I197" s="1566"/>
      <c r="J197" s="1566"/>
      <c r="K197" s="1566"/>
    </row>
    <row r="198" spans="1:11" ht="12.75" customHeight="1" thickBot="1" x14ac:dyDescent="0.25">
      <c r="A198" s="1398" t="s">
        <v>544</v>
      </c>
      <c r="B198" s="1399"/>
      <c r="C198" s="1584">
        <f>SUM(C190:C197)</f>
        <v>162317</v>
      </c>
      <c r="D198" s="1566"/>
      <c r="E198" s="1566"/>
      <c r="F198" s="1566"/>
      <c r="G198" s="1584">
        <f>SUM(G190:G197)</f>
        <v>0</v>
      </c>
      <c r="H198" s="1566"/>
      <c r="I198" s="1566"/>
      <c r="J198" s="1566"/>
      <c r="K198" s="1566"/>
    </row>
    <row r="199" spans="1:11" ht="15.75" customHeight="1" thickTop="1" x14ac:dyDescent="0.2">
      <c r="A199" s="1330" t="s">
        <v>1127</v>
      </c>
      <c r="B199" s="1335"/>
      <c r="C199" s="1623"/>
      <c r="D199" s="1566"/>
      <c r="E199" s="1566"/>
      <c r="F199" s="1566"/>
      <c r="G199" s="1566"/>
      <c r="H199" s="1566"/>
      <c r="I199" s="1566"/>
      <c r="J199" s="1566"/>
      <c r="K199" s="1566"/>
    </row>
    <row r="200" spans="1:11" ht="12.75" customHeight="1" x14ac:dyDescent="0.2">
      <c r="A200" s="427" t="s">
        <v>911</v>
      </c>
      <c r="B200" s="429">
        <v>4300</v>
      </c>
      <c r="C200" s="1564">
        <v>0</v>
      </c>
      <c r="D200" s="1564">
        <v>0</v>
      </c>
      <c r="E200" s="1566"/>
      <c r="F200" s="1564">
        <v>0</v>
      </c>
      <c r="G200" s="1564">
        <v>0</v>
      </c>
      <c r="H200" s="1566"/>
      <c r="I200" s="1566"/>
      <c r="J200" s="1566"/>
      <c r="K200" s="1566"/>
    </row>
    <row r="201" spans="1:11" ht="12.75" customHeight="1" x14ac:dyDescent="0.2">
      <c r="A201" s="427" t="s">
        <v>912</v>
      </c>
      <c r="B201" s="429">
        <v>4305</v>
      </c>
      <c r="C201" s="1621">
        <v>0</v>
      </c>
      <c r="D201" s="1564">
        <v>0</v>
      </c>
      <c r="E201" s="1566"/>
      <c r="F201" s="1564">
        <v>0</v>
      </c>
      <c r="G201" s="1564">
        <v>0</v>
      </c>
      <c r="H201" s="1566"/>
      <c r="I201" s="1566"/>
      <c r="J201" s="1566"/>
      <c r="K201" s="1566"/>
    </row>
    <row r="202" spans="1:11" ht="12.75" customHeight="1" x14ac:dyDescent="0.2">
      <c r="A202" s="427" t="s">
        <v>1023</v>
      </c>
      <c r="B202" s="429">
        <v>4340</v>
      </c>
      <c r="C202" s="1621">
        <v>0</v>
      </c>
      <c r="D202" s="1564">
        <v>0</v>
      </c>
      <c r="E202" s="1566"/>
      <c r="F202" s="1564">
        <v>0</v>
      </c>
      <c r="G202" s="1564">
        <v>0</v>
      </c>
      <c r="H202" s="1566"/>
      <c r="I202" s="1566"/>
      <c r="J202" s="1566"/>
      <c r="K202" s="1566"/>
    </row>
    <row r="203" spans="1:11" ht="12.75" customHeight="1" x14ac:dyDescent="0.2">
      <c r="A203" s="427" t="s">
        <v>72</v>
      </c>
      <c r="B203" s="429">
        <v>4399</v>
      </c>
      <c r="C203" s="1621">
        <v>0</v>
      </c>
      <c r="D203" s="1564">
        <v>0</v>
      </c>
      <c r="E203" s="1566"/>
      <c r="F203" s="1564">
        <v>0</v>
      </c>
      <c r="G203" s="1564">
        <v>0</v>
      </c>
      <c r="H203" s="1566"/>
      <c r="I203" s="1566"/>
      <c r="J203" s="1566"/>
      <c r="K203" s="1566"/>
    </row>
    <row r="204" spans="1:11" ht="12.75" customHeight="1" thickBot="1" x14ac:dyDescent="0.25">
      <c r="A204" s="1398" t="s">
        <v>397</v>
      </c>
      <c r="B204" s="1399"/>
      <c r="C204" s="1622">
        <f>SUM(C200:C203)</f>
        <v>0</v>
      </c>
      <c r="D204" s="1622">
        <f>SUM(D200:D203)</f>
        <v>0</v>
      </c>
      <c r="E204" s="1566"/>
      <c r="F204" s="1622">
        <f>SUM(F200:F203)</f>
        <v>0</v>
      </c>
      <c r="G204" s="1622">
        <f>SUM(G200:G203)</f>
        <v>0</v>
      </c>
      <c r="H204" s="1566"/>
      <c r="I204" s="1566"/>
      <c r="J204" s="1566"/>
      <c r="K204" s="1566"/>
    </row>
    <row r="205" spans="1:11" ht="15.75" customHeight="1" thickTop="1" x14ac:dyDescent="0.2">
      <c r="A205" s="1330" t="s">
        <v>1128</v>
      </c>
      <c r="B205" s="1335"/>
      <c r="C205" s="1623"/>
      <c r="D205" s="1623"/>
      <c r="E205" s="1566"/>
      <c r="F205" s="1623"/>
      <c r="G205" s="1623"/>
      <c r="H205" s="1566"/>
      <c r="I205" s="1566"/>
      <c r="J205" s="1566"/>
      <c r="K205" s="1566"/>
    </row>
    <row r="206" spans="1:11" ht="12.75" customHeight="1" x14ac:dyDescent="0.2">
      <c r="A206" s="427" t="s">
        <v>753</v>
      </c>
      <c r="B206" s="429">
        <v>4400</v>
      </c>
      <c r="C206" s="1621">
        <v>0</v>
      </c>
      <c r="D206" s="1564">
        <v>0</v>
      </c>
      <c r="E206" s="1566"/>
      <c r="F206" s="1564">
        <v>0</v>
      </c>
      <c r="G206" s="1564">
        <v>0</v>
      </c>
      <c r="H206" s="1566"/>
      <c r="I206" s="1566"/>
      <c r="J206" s="1566"/>
      <c r="K206" s="1566"/>
    </row>
    <row r="207" spans="1:11" ht="12.75" customHeight="1" x14ac:dyDescent="0.2">
      <c r="A207" s="427" t="s">
        <v>1433</v>
      </c>
      <c r="B207" s="429">
        <v>4421</v>
      </c>
      <c r="C207" s="1621">
        <v>0</v>
      </c>
      <c r="D207" s="1564">
        <v>0</v>
      </c>
      <c r="E207" s="1566"/>
      <c r="F207" s="1564">
        <v>0</v>
      </c>
      <c r="G207" s="1564">
        <v>0</v>
      </c>
      <c r="H207" s="1566"/>
      <c r="I207" s="1566"/>
      <c r="J207" s="1566"/>
      <c r="K207" s="1566"/>
    </row>
    <row r="208" spans="1:11" ht="12.75" customHeight="1" x14ac:dyDescent="0.2">
      <c r="A208" s="427" t="s">
        <v>73</v>
      </c>
      <c r="B208" s="429">
        <v>4499</v>
      </c>
      <c r="C208" s="1621">
        <v>0</v>
      </c>
      <c r="D208" s="1564">
        <v>0</v>
      </c>
      <c r="E208" s="1566"/>
      <c r="F208" s="1564">
        <v>0</v>
      </c>
      <c r="G208" s="1564">
        <v>0</v>
      </c>
      <c r="H208" s="1566"/>
      <c r="I208" s="1566"/>
      <c r="J208" s="1566"/>
      <c r="K208" s="1566"/>
    </row>
    <row r="209" spans="1:11" ht="12.75" customHeight="1" thickBot="1" x14ac:dyDescent="0.25">
      <c r="A209" s="1398" t="s">
        <v>882</v>
      </c>
      <c r="B209" s="1399"/>
      <c r="C209" s="1622">
        <f>SUM(C206:C208)</f>
        <v>0</v>
      </c>
      <c r="D209" s="1622">
        <f>SUM(D206:D208)</f>
        <v>0</v>
      </c>
      <c r="E209" s="1566" t="s">
        <v>1158</v>
      </c>
      <c r="F209" s="1622">
        <f>SUM(F206:F208)</f>
        <v>0</v>
      </c>
      <c r="G209" s="1622">
        <f>SUM(G206:G208)</f>
        <v>0</v>
      </c>
      <c r="H209" s="1566"/>
      <c r="I209" s="1566"/>
      <c r="J209" s="1566"/>
      <c r="K209" s="1566"/>
    </row>
    <row r="210" spans="1:11" ht="15.75" customHeight="1" thickTop="1" x14ac:dyDescent="0.2">
      <c r="A210" s="1330" t="s">
        <v>1082</v>
      </c>
      <c r="B210" s="1335"/>
      <c r="C210" s="1623"/>
      <c r="D210" s="1623"/>
      <c r="E210" s="1566"/>
      <c r="F210" s="1623"/>
      <c r="G210" s="1623"/>
      <c r="H210" s="1566"/>
      <c r="I210" s="1566"/>
      <c r="J210" s="1566"/>
      <c r="K210" s="1566"/>
    </row>
    <row r="211" spans="1:11" ht="12.75" customHeight="1" x14ac:dyDescent="0.2">
      <c r="A211" s="427" t="s">
        <v>1042</v>
      </c>
      <c r="B211" s="429">
        <v>4600</v>
      </c>
      <c r="C211" s="1621">
        <v>26672</v>
      </c>
      <c r="D211" s="1564">
        <v>0</v>
      </c>
      <c r="E211" s="1566"/>
      <c r="F211" s="1564">
        <v>0</v>
      </c>
      <c r="G211" s="1564">
        <v>0</v>
      </c>
      <c r="H211" s="1566"/>
      <c r="I211" s="1566"/>
      <c r="J211" s="1566"/>
      <c r="K211" s="1566"/>
    </row>
    <row r="212" spans="1:11" ht="12.75" customHeight="1" x14ac:dyDescent="0.2">
      <c r="A212" s="427" t="s">
        <v>1043</v>
      </c>
      <c r="B212" s="429">
        <v>4605</v>
      </c>
      <c r="C212" s="1621">
        <v>0</v>
      </c>
      <c r="D212" s="1564">
        <v>0</v>
      </c>
      <c r="E212" s="1566"/>
      <c r="F212" s="1564">
        <v>0</v>
      </c>
      <c r="G212" s="1564">
        <v>0</v>
      </c>
      <c r="H212" s="1566"/>
      <c r="I212" s="1566"/>
      <c r="J212" s="1566"/>
      <c r="K212" s="1566"/>
    </row>
    <row r="213" spans="1:11" ht="12.75" customHeight="1" x14ac:dyDescent="0.2">
      <c r="A213" s="427" t="s">
        <v>1434</v>
      </c>
      <c r="B213" s="475">
        <v>4620</v>
      </c>
      <c r="C213" s="1621">
        <v>7764501</v>
      </c>
      <c r="D213" s="1564">
        <v>0</v>
      </c>
      <c r="E213" s="1566"/>
      <c r="F213" s="1564">
        <v>0</v>
      </c>
      <c r="G213" s="1564">
        <v>0</v>
      </c>
      <c r="H213" s="1566"/>
      <c r="I213" s="1566"/>
      <c r="J213" s="1566"/>
      <c r="K213" s="1566"/>
    </row>
    <row r="214" spans="1:11" ht="12.75" customHeight="1" x14ac:dyDescent="0.2">
      <c r="A214" s="427" t="s">
        <v>1044</v>
      </c>
      <c r="B214" s="429">
        <v>4625</v>
      </c>
      <c r="C214" s="1621">
        <v>0</v>
      </c>
      <c r="D214" s="1564">
        <v>0</v>
      </c>
      <c r="E214" s="1566"/>
      <c r="F214" s="1564">
        <v>0</v>
      </c>
      <c r="G214" s="1564">
        <v>0</v>
      </c>
      <c r="H214" s="1566"/>
      <c r="I214" s="1566"/>
      <c r="J214" s="1566"/>
      <c r="K214" s="1566"/>
    </row>
    <row r="215" spans="1:11" ht="12.75" customHeight="1" x14ac:dyDescent="0.2">
      <c r="A215" s="427" t="s">
        <v>1045</v>
      </c>
      <c r="B215" s="429">
        <v>4630</v>
      </c>
      <c r="C215" s="1621">
        <v>0</v>
      </c>
      <c r="D215" s="1564">
        <v>0</v>
      </c>
      <c r="E215" s="1566"/>
      <c r="F215" s="1564">
        <v>0</v>
      </c>
      <c r="G215" s="1564">
        <v>0</v>
      </c>
      <c r="H215" s="1566"/>
      <c r="I215" s="1566"/>
      <c r="J215" s="1566"/>
      <c r="K215" s="1566"/>
    </row>
    <row r="216" spans="1:11" ht="12.75" customHeight="1" x14ac:dyDescent="0.2">
      <c r="A216" s="1263" t="s">
        <v>74</v>
      </c>
      <c r="B216" s="475">
        <v>4699</v>
      </c>
      <c r="C216" s="1621">
        <v>0</v>
      </c>
      <c r="D216" s="1564">
        <v>0</v>
      </c>
      <c r="E216" s="1566"/>
      <c r="F216" s="1564">
        <v>0</v>
      </c>
      <c r="G216" s="1564">
        <v>0</v>
      </c>
      <c r="H216" s="1566"/>
      <c r="I216" s="1566"/>
      <c r="J216" s="1566"/>
      <c r="K216" s="1566"/>
    </row>
    <row r="217" spans="1:11" ht="12.75" customHeight="1" thickBot="1" x14ac:dyDescent="0.25">
      <c r="A217" s="1398" t="s">
        <v>444</v>
      </c>
      <c r="B217" s="1399"/>
      <c r="C217" s="1622">
        <f>SUM(C211:C216)</f>
        <v>7791173</v>
      </c>
      <c r="D217" s="1622">
        <f>SUM(D211:D216)</f>
        <v>0</v>
      </c>
      <c r="E217" s="1566"/>
      <c r="F217" s="1622">
        <f>SUM(F211:F216)</f>
        <v>0</v>
      </c>
      <c r="G217" s="1622">
        <f>SUM(G211:G216)</f>
        <v>0</v>
      </c>
      <c r="H217" s="1566"/>
      <c r="I217" s="1566"/>
      <c r="J217" s="1566"/>
      <c r="K217" s="1566"/>
    </row>
    <row r="218" spans="1:11" ht="15.75" customHeight="1" thickTop="1" x14ac:dyDescent="0.2">
      <c r="A218" s="1330" t="s">
        <v>1083</v>
      </c>
      <c r="B218" s="1335"/>
      <c r="C218" s="1623"/>
      <c r="D218" s="1623"/>
      <c r="E218" s="1566"/>
      <c r="F218" s="1623"/>
      <c r="G218" s="1623"/>
      <c r="H218" s="1566"/>
      <c r="I218" s="1566"/>
      <c r="J218" s="1566"/>
      <c r="K218" s="1566"/>
    </row>
    <row r="219" spans="1:11" ht="12.75" customHeight="1" x14ac:dyDescent="0.2">
      <c r="A219" s="427" t="s">
        <v>781</v>
      </c>
      <c r="B219" s="429">
        <v>4770</v>
      </c>
      <c r="C219" s="1621">
        <v>0</v>
      </c>
      <c r="D219" s="1564">
        <v>0</v>
      </c>
      <c r="E219" s="1566"/>
      <c r="F219" s="1566"/>
      <c r="G219" s="1564">
        <v>0</v>
      </c>
      <c r="H219" s="1566"/>
      <c r="I219" s="1566"/>
      <c r="J219" s="1566"/>
      <c r="K219" s="1566"/>
    </row>
    <row r="220" spans="1:11" ht="12.75" customHeight="1" x14ac:dyDescent="0.2">
      <c r="A220" s="427" t="s">
        <v>67</v>
      </c>
      <c r="B220" s="429">
        <v>4799</v>
      </c>
      <c r="C220" s="1621">
        <v>0</v>
      </c>
      <c r="D220" s="1564">
        <v>0</v>
      </c>
      <c r="E220" s="1566"/>
      <c r="F220" s="1566"/>
      <c r="G220" s="1564">
        <v>0</v>
      </c>
      <c r="H220" s="1566"/>
      <c r="I220" s="1566"/>
      <c r="J220" s="1566"/>
      <c r="K220" s="1566"/>
    </row>
    <row r="221" spans="1:11" ht="12.75" customHeight="1" thickBot="1" x14ac:dyDescent="0.25">
      <c r="A221" s="1407" t="s">
        <v>1075</v>
      </c>
      <c r="B221" s="1408"/>
      <c r="C221" s="1622">
        <f>SUM(C219:C220)</f>
        <v>0</v>
      </c>
      <c r="D221" s="1622">
        <f>SUM(D219:D220)</f>
        <v>0</v>
      </c>
      <c r="E221" s="1566"/>
      <c r="F221" s="1566"/>
      <c r="G221" s="1622">
        <f>SUM(G219:G220)</f>
        <v>0</v>
      </c>
      <c r="H221" s="1566"/>
      <c r="I221" s="1566"/>
      <c r="J221" s="1566"/>
      <c r="K221" s="1566"/>
    </row>
    <row r="222" spans="1:11" ht="12.75" customHeight="1" thickTop="1" thickBot="1" x14ac:dyDescent="0.25">
      <c r="A222" s="436" t="s">
        <v>751</v>
      </c>
      <c r="B222" s="435">
        <v>4810</v>
      </c>
      <c r="C222" s="1639">
        <v>0</v>
      </c>
      <c r="D222" s="1640">
        <v>0</v>
      </c>
      <c r="E222" s="1566"/>
      <c r="F222" s="1566"/>
      <c r="G222" s="1640">
        <v>0</v>
      </c>
      <c r="H222" s="1566"/>
      <c r="I222" s="1566"/>
      <c r="J222" s="1566"/>
      <c r="K222" s="1566"/>
    </row>
    <row r="223" spans="1:11" ht="12.75" customHeight="1" thickTop="1" x14ac:dyDescent="0.2">
      <c r="A223" s="436" t="s">
        <v>347</v>
      </c>
      <c r="B223" s="435">
        <v>4850</v>
      </c>
      <c r="C223" s="1587">
        <v>0</v>
      </c>
      <c r="D223" s="1565">
        <v>0</v>
      </c>
      <c r="E223" s="1565">
        <v>0</v>
      </c>
      <c r="F223" s="1565">
        <v>0</v>
      </c>
      <c r="G223" s="1565">
        <v>0</v>
      </c>
      <c r="H223" s="1565">
        <v>0</v>
      </c>
      <c r="I223" s="1566"/>
      <c r="J223" s="1565">
        <v>0</v>
      </c>
      <c r="K223" s="1565">
        <v>0</v>
      </c>
    </row>
    <row r="224" spans="1:11" ht="12.75" customHeight="1" x14ac:dyDescent="0.2">
      <c r="A224" s="436" t="s">
        <v>348</v>
      </c>
      <c r="B224" s="435">
        <v>4851</v>
      </c>
      <c r="C224" s="1587">
        <v>0</v>
      </c>
      <c r="D224" s="1565">
        <v>0</v>
      </c>
      <c r="E224" s="1566"/>
      <c r="F224" s="1570">
        <v>0</v>
      </c>
      <c r="G224" s="1565">
        <v>0</v>
      </c>
      <c r="H224" s="1566"/>
      <c r="I224" s="1566"/>
      <c r="J224" s="1566"/>
      <c r="K224" s="1566"/>
    </row>
    <row r="225" spans="1:11" ht="12.75" customHeight="1" x14ac:dyDescent="0.2">
      <c r="A225" s="436" t="s">
        <v>349</v>
      </c>
      <c r="B225" s="435">
        <v>4852</v>
      </c>
      <c r="C225" s="1587">
        <v>0</v>
      </c>
      <c r="D225" s="1565">
        <v>0</v>
      </c>
      <c r="E225" s="1565">
        <v>0</v>
      </c>
      <c r="F225" s="1565">
        <v>0</v>
      </c>
      <c r="G225" s="1565">
        <v>0</v>
      </c>
      <c r="H225" s="1565">
        <v>0</v>
      </c>
      <c r="I225" s="1566"/>
      <c r="J225" s="1565">
        <v>0</v>
      </c>
      <c r="K225" s="1565">
        <v>0</v>
      </c>
    </row>
    <row r="226" spans="1:11" ht="12.75" customHeight="1" x14ac:dyDescent="0.2">
      <c r="A226" s="436" t="s">
        <v>350</v>
      </c>
      <c r="B226" s="435">
        <v>4853</v>
      </c>
      <c r="C226" s="1587">
        <v>0</v>
      </c>
      <c r="D226" s="1565">
        <v>0</v>
      </c>
      <c r="E226" s="1565">
        <v>0</v>
      </c>
      <c r="F226" s="1565">
        <v>0</v>
      </c>
      <c r="G226" s="1565">
        <v>0</v>
      </c>
      <c r="H226" s="1565">
        <v>0</v>
      </c>
      <c r="I226" s="1566"/>
      <c r="J226" s="1565">
        <v>0</v>
      </c>
      <c r="K226" s="1565">
        <v>0</v>
      </c>
    </row>
    <row r="227" spans="1:11" ht="12.75" customHeight="1" x14ac:dyDescent="0.2">
      <c r="A227" s="436" t="s">
        <v>351</v>
      </c>
      <c r="B227" s="435">
        <v>4854</v>
      </c>
      <c r="C227" s="1587">
        <v>0</v>
      </c>
      <c r="D227" s="1565">
        <v>0</v>
      </c>
      <c r="E227" s="1565">
        <v>0</v>
      </c>
      <c r="F227" s="1565">
        <v>0</v>
      </c>
      <c r="G227" s="1565">
        <v>0</v>
      </c>
      <c r="H227" s="1565">
        <v>0</v>
      </c>
      <c r="I227" s="1566"/>
      <c r="J227" s="1565">
        <v>0</v>
      </c>
      <c r="K227" s="1565">
        <v>0</v>
      </c>
    </row>
    <row r="228" spans="1:11" ht="12.75" customHeight="1" x14ac:dyDescent="0.2">
      <c r="A228" s="436" t="s">
        <v>461</v>
      </c>
      <c r="B228" s="435">
        <v>4855</v>
      </c>
      <c r="C228" s="1587">
        <v>0</v>
      </c>
      <c r="D228" s="1565">
        <v>0</v>
      </c>
      <c r="E228" s="1565">
        <v>0</v>
      </c>
      <c r="F228" s="1565">
        <v>0</v>
      </c>
      <c r="G228" s="1565">
        <v>0</v>
      </c>
      <c r="H228" s="1565">
        <v>0</v>
      </c>
      <c r="I228" s="1566"/>
      <c r="J228" s="1565">
        <v>0</v>
      </c>
      <c r="K228" s="1565">
        <v>0</v>
      </c>
    </row>
    <row r="229" spans="1:11" ht="12.75" customHeight="1" x14ac:dyDescent="0.2">
      <c r="A229" s="436" t="s">
        <v>352</v>
      </c>
      <c r="B229" s="435">
        <v>4856</v>
      </c>
      <c r="C229" s="1587">
        <v>0</v>
      </c>
      <c r="D229" s="1565">
        <v>0</v>
      </c>
      <c r="E229" s="1565">
        <v>0</v>
      </c>
      <c r="F229" s="1565">
        <v>0</v>
      </c>
      <c r="G229" s="1565">
        <v>0</v>
      </c>
      <c r="H229" s="1565">
        <v>0</v>
      </c>
      <c r="I229" s="1566"/>
      <c r="J229" s="1565">
        <v>0</v>
      </c>
      <c r="K229" s="1565">
        <v>0</v>
      </c>
    </row>
    <row r="230" spans="1:11" ht="12.75" customHeight="1" x14ac:dyDescent="0.2">
      <c r="A230" s="436" t="s">
        <v>353</v>
      </c>
      <c r="B230" s="435">
        <v>4857</v>
      </c>
      <c r="C230" s="1587">
        <v>0</v>
      </c>
      <c r="D230" s="1565">
        <v>0</v>
      </c>
      <c r="E230" s="1565">
        <v>0</v>
      </c>
      <c r="F230" s="1565">
        <v>0</v>
      </c>
      <c r="G230" s="1565">
        <v>0</v>
      </c>
      <c r="H230" s="1565">
        <v>0</v>
      </c>
      <c r="I230" s="1566"/>
      <c r="J230" s="1565">
        <v>0</v>
      </c>
      <c r="K230" s="1565">
        <v>0</v>
      </c>
    </row>
    <row r="231" spans="1:11" ht="12.75" customHeight="1" x14ac:dyDescent="0.2">
      <c r="A231" s="436" t="s">
        <v>354</v>
      </c>
      <c r="B231" s="435">
        <v>4860</v>
      </c>
      <c r="C231" s="1587">
        <v>0</v>
      </c>
      <c r="D231" s="1565">
        <v>0</v>
      </c>
      <c r="E231" s="1565">
        <v>0</v>
      </c>
      <c r="F231" s="1565">
        <v>0</v>
      </c>
      <c r="G231" s="1565">
        <v>0</v>
      </c>
      <c r="H231" s="1565">
        <v>0</v>
      </c>
      <c r="I231" s="1566"/>
      <c r="J231" s="1565">
        <v>0</v>
      </c>
      <c r="K231" s="1565">
        <v>0</v>
      </c>
    </row>
    <row r="232" spans="1:11" ht="12.75" customHeight="1" x14ac:dyDescent="0.2">
      <c r="A232" s="436" t="s">
        <v>355</v>
      </c>
      <c r="B232" s="435">
        <v>4861</v>
      </c>
      <c r="C232" s="1587">
        <v>0</v>
      </c>
      <c r="D232" s="1565">
        <v>0</v>
      </c>
      <c r="E232" s="1565">
        <v>0</v>
      </c>
      <c r="F232" s="1565">
        <v>0</v>
      </c>
      <c r="G232" s="1565">
        <v>0</v>
      </c>
      <c r="H232" s="1565">
        <v>0</v>
      </c>
      <c r="I232" s="1566"/>
      <c r="J232" s="1565">
        <v>0</v>
      </c>
      <c r="K232" s="1565">
        <v>0</v>
      </c>
    </row>
    <row r="233" spans="1:11" ht="12.75" customHeight="1" x14ac:dyDescent="0.2">
      <c r="A233" s="436" t="s">
        <v>356</v>
      </c>
      <c r="B233" s="435">
        <v>4862</v>
      </c>
      <c r="C233" s="1587">
        <v>0</v>
      </c>
      <c r="D233" s="1565">
        <v>0</v>
      </c>
      <c r="E233" s="1571"/>
      <c r="F233" s="1565">
        <v>0</v>
      </c>
      <c r="G233" s="1565">
        <v>0</v>
      </c>
      <c r="H233" s="1571"/>
      <c r="I233" s="1566"/>
      <c r="J233" s="1571"/>
      <c r="K233" s="1571"/>
    </row>
    <row r="234" spans="1:11" ht="12.75" customHeight="1" x14ac:dyDescent="0.2">
      <c r="A234" s="436" t="s">
        <v>357</v>
      </c>
      <c r="B234" s="435">
        <v>4863</v>
      </c>
      <c r="C234" s="1587">
        <v>0</v>
      </c>
      <c r="D234" s="1565">
        <v>0</v>
      </c>
      <c r="E234" s="1566"/>
      <c r="F234" s="1571"/>
      <c r="G234" s="1612"/>
      <c r="H234" s="1566"/>
      <c r="I234" s="1566"/>
      <c r="J234" s="1566"/>
      <c r="K234" s="1566"/>
    </row>
    <row r="235" spans="1:11" ht="12.75" customHeight="1" x14ac:dyDescent="0.2">
      <c r="A235" s="436" t="s">
        <v>466</v>
      </c>
      <c r="B235" s="435">
        <v>4864</v>
      </c>
      <c r="C235" s="1587">
        <v>0</v>
      </c>
      <c r="D235" s="1565">
        <v>0</v>
      </c>
      <c r="E235" s="1565">
        <v>0</v>
      </c>
      <c r="F235" s="1565">
        <v>0</v>
      </c>
      <c r="G235" s="1565">
        <v>0</v>
      </c>
      <c r="H235" s="1565">
        <v>0</v>
      </c>
      <c r="I235" s="1566"/>
      <c r="J235" s="1565">
        <v>0</v>
      </c>
      <c r="K235" s="1565">
        <v>0</v>
      </c>
    </row>
    <row r="236" spans="1:11" ht="12.75" customHeight="1" x14ac:dyDescent="0.2">
      <c r="A236" s="436" t="s">
        <v>467</v>
      </c>
      <c r="B236" s="435">
        <v>4865</v>
      </c>
      <c r="C236" s="1587">
        <v>0</v>
      </c>
      <c r="D236" s="1565">
        <v>0</v>
      </c>
      <c r="E236" s="1565">
        <v>0</v>
      </c>
      <c r="F236" s="1565">
        <v>0</v>
      </c>
      <c r="G236" s="1565">
        <v>0</v>
      </c>
      <c r="H236" s="1565">
        <v>0</v>
      </c>
      <c r="I236" s="1566"/>
      <c r="J236" s="1565">
        <v>0</v>
      </c>
      <c r="K236" s="1565">
        <v>0</v>
      </c>
    </row>
    <row r="237" spans="1:11" ht="12.75" customHeight="1" x14ac:dyDescent="0.2">
      <c r="A237" s="436" t="s">
        <v>465</v>
      </c>
      <c r="B237" s="435">
        <v>4866</v>
      </c>
      <c r="C237" s="1587">
        <v>0</v>
      </c>
      <c r="D237" s="1565">
        <v>0</v>
      </c>
      <c r="E237" s="1565">
        <v>0</v>
      </c>
      <c r="F237" s="1565">
        <v>0</v>
      </c>
      <c r="G237" s="1565">
        <v>0</v>
      </c>
      <c r="H237" s="1565">
        <v>0</v>
      </c>
      <c r="I237" s="1566"/>
      <c r="J237" s="1565">
        <v>0</v>
      </c>
      <c r="K237" s="1565">
        <v>0</v>
      </c>
    </row>
    <row r="238" spans="1:11" ht="12.75" customHeight="1" x14ac:dyDescent="0.2">
      <c r="A238" s="436" t="s">
        <v>464</v>
      </c>
      <c r="B238" s="435">
        <v>4867</v>
      </c>
      <c r="C238" s="1587">
        <v>0</v>
      </c>
      <c r="D238" s="1565">
        <v>0</v>
      </c>
      <c r="E238" s="1565">
        <v>0</v>
      </c>
      <c r="F238" s="1565">
        <v>0</v>
      </c>
      <c r="G238" s="1565">
        <v>0</v>
      </c>
      <c r="H238" s="1565">
        <v>0</v>
      </c>
      <c r="I238" s="1566"/>
      <c r="J238" s="1565">
        <v>0</v>
      </c>
      <c r="K238" s="1565">
        <v>0</v>
      </c>
    </row>
    <row r="239" spans="1:11" ht="12.75" customHeight="1" x14ac:dyDescent="0.2">
      <c r="A239" s="436" t="s">
        <v>463</v>
      </c>
      <c r="B239" s="435">
        <v>4868</v>
      </c>
      <c r="C239" s="1587">
        <v>0</v>
      </c>
      <c r="D239" s="1565">
        <v>0</v>
      </c>
      <c r="E239" s="1565">
        <v>0</v>
      </c>
      <c r="F239" s="1565">
        <v>0</v>
      </c>
      <c r="G239" s="1565">
        <v>0</v>
      </c>
      <c r="H239" s="1565">
        <v>0</v>
      </c>
      <c r="I239" s="1566"/>
      <c r="J239" s="1565">
        <v>0</v>
      </c>
      <c r="K239" s="1565">
        <v>0</v>
      </c>
    </row>
    <row r="240" spans="1:11" ht="12.75" customHeight="1" x14ac:dyDescent="0.2">
      <c r="A240" s="436" t="s">
        <v>462</v>
      </c>
      <c r="B240" s="435">
        <v>4869</v>
      </c>
      <c r="C240" s="1587">
        <v>0</v>
      </c>
      <c r="D240" s="1565">
        <v>0</v>
      </c>
      <c r="E240" s="1565">
        <v>0</v>
      </c>
      <c r="F240" s="1565">
        <v>0</v>
      </c>
      <c r="G240" s="1565">
        <v>0</v>
      </c>
      <c r="H240" s="1565">
        <v>0</v>
      </c>
      <c r="I240" s="1566"/>
      <c r="J240" s="1565">
        <v>0</v>
      </c>
      <c r="K240" s="1565">
        <v>0</v>
      </c>
    </row>
    <row r="241" spans="1:11" ht="12.75" customHeight="1" x14ac:dyDescent="0.2">
      <c r="A241" s="436" t="s">
        <v>1117</v>
      </c>
      <c r="B241" s="435">
        <v>4870</v>
      </c>
      <c r="C241" s="1587">
        <v>0</v>
      </c>
      <c r="D241" s="1565">
        <v>0</v>
      </c>
      <c r="E241" s="1565">
        <v>0</v>
      </c>
      <c r="F241" s="1565">
        <v>0</v>
      </c>
      <c r="G241" s="1565">
        <v>0</v>
      </c>
      <c r="H241" s="1565">
        <v>0</v>
      </c>
      <c r="I241" s="1566"/>
      <c r="J241" s="1565">
        <v>0</v>
      </c>
      <c r="K241" s="1565">
        <v>0</v>
      </c>
    </row>
    <row r="242" spans="1:11" ht="12.75" customHeight="1" x14ac:dyDescent="0.2">
      <c r="A242" s="436" t="s">
        <v>782</v>
      </c>
      <c r="B242" s="435">
        <v>4871</v>
      </c>
      <c r="C242" s="1587">
        <v>0</v>
      </c>
      <c r="D242" s="1565">
        <v>0</v>
      </c>
      <c r="E242" s="1565">
        <v>0</v>
      </c>
      <c r="F242" s="1565">
        <v>0</v>
      </c>
      <c r="G242" s="1565">
        <v>0</v>
      </c>
      <c r="H242" s="1565">
        <v>0</v>
      </c>
      <c r="I242" s="1566"/>
      <c r="J242" s="1565">
        <v>0</v>
      </c>
      <c r="K242" s="1565">
        <v>0</v>
      </c>
    </row>
    <row r="243" spans="1:11" ht="12.75" customHeight="1" x14ac:dyDescent="0.2">
      <c r="A243" s="436" t="s">
        <v>783</v>
      </c>
      <c r="B243" s="435">
        <v>4872</v>
      </c>
      <c r="C243" s="1587">
        <v>0</v>
      </c>
      <c r="D243" s="1565">
        <v>0</v>
      </c>
      <c r="E243" s="1565">
        <v>0</v>
      </c>
      <c r="F243" s="1565">
        <v>0</v>
      </c>
      <c r="G243" s="1565">
        <v>0</v>
      </c>
      <c r="H243" s="1565">
        <v>0</v>
      </c>
      <c r="I243" s="1566"/>
      <c r="J243" s="1565">
        <v>0</v>
      </c>
      <c r="K243" s="1565">
        <v>0</v>
      </c>
    </row>
    <row r="244" spans="1:11" ht="12.75" customHeight="1" x14ac:dyDescent="0.2">
      <c r="A244" s="436" t="s">
        <v>784</v>
      </c>
      <c r="B244" s="435">
        <v>4873</v>
      </c>
      <c r="C244" s="1587">
        <v>0</v>
      </c>
      <c r="D244" s="1565">
        <v>0</v>
      </c>
      <c r="E244" s="1565">
        <v>0</v>
      </c>
      <c r="F244" s="1565">
        <v>0</v>
      </c>
      <c r="G244" s="1565">
        <v>0</v>
      </c>
      <c r="H244" s="1565">
        <v>0</v>
      </c>
      <c r="I244" s="1566"/>
      <c r="J244" s="1565">
        <v>0</v>
      </c>
      <c r="K244" s="1565">
        <v>0</v>
      </c>
    </row>
    <row r="245" spans="1:11" ht="12.75" customHeight="1" x14ac:dyDescent="0.2">
      <c r="A245" s="436" t="s">
        <v>785</v>
      </c>
      <c r="B245" s="435">
        <v>4874</v>
      </c>
      <c r="C245" s="1587">
        <v>0</v>
      </c>
      <c r="D245" s="1565">
        <v>0</v>
      </c>
      <c r="E245" s="1565">
        <v>0</v>
      </c>
      <c r="F245" s="1565">
        <v>0</v>
      </c>
      <c r="G245" s="1565">
        <v>0</v>
      </c>
      <c r="H245" s="1565">
        <v>0</v>
      </c>
      <c r="I245" s="1566"/>
      <c r="J245" s="1565">
        <v>0</v>
      </c>
      <c r="K245" s="1565">
        <v>0</v>
      </c>
    </row>
    <row r="246" spans="1:11" ht="12.75" customHeight="1" x14ac:dyDescent="0.2">
      <c r="A246" s="436" t="s">
        <v>468</v>
      </c>
      <c r="B246" s="435">
        <v>4875</v>
      </c>
      <c r="C246" s="1587">
        <v>0</v>
      </c>
      <c r="D246" s="1565">
        <v>0</v>
      </c>
      <c r="E246" s="1565">
        <v>0</v>
      </c>
      <c r="F246" s="1565">
        <v>0</v>
      </c>
      <c r="G246" s="1565">
        <v>0</v>
      </c>
      <c r="H246" s="1565">
        <v>0</v>
      </c>
      <c r="I246" s="1566"/>
      <c r="J246" s="1565">
        <v>0</v>
      </c>
      <c r="K246" s="1565">
        <v>0</v>
      </c>
    </row>
    <row r="247" spans="1:11" ht="12.75" customHeight="1" x14ac:dyDescent="0.2">
      <c r="A247" s="436" t="s">
        <v>764</v>
      </c>
      <c r="B247" s="435">
        <v>4876</v>
      </c>
      <c r="C247" s="1587">
        <v>0</v>
      </c>
      <c r="D247" s="1565">
        <v>0</v>
      </c>
      <c r="E247" s="1565">
        <v>0</v>
      </c>
      <c r="F247" s="1565">
        <v>0</v>
      </c>
      <c r="G247" s="1565">
        <v>0</v>
      </c>
      <c r="H247" s="1565">
        <v>0</v>
      </c>
      <c r="I247" s="1566"/>
      <c r="J247" s="1565">
        <v>0</v>
      </c>
      <c r="K247" s="1565">
        <v>0</v>
      </c>
    </row>
    <row r="248" spans="1:11" ht="12.75" customHeight="1" x14ac:dyDescent="0.2">
      <c r="A248" s="436" t="s">
        <v>765</v>
      </c>
      <c r="B248" s="435">
        <v>4877</v>
      </c>
      <c r="C248" s="1587">
        <v>0</v>
      </c>
      <c r="D248" s="1565">
        <v>0</v>
      </c>
      <c r="E248" s="1565">
        <v>0</v>
      </c>
      <c r="F248" s="1565">
        <v>0</v>
      </c>
      <c r="G248" s="1565">
        <v>0</v>
      </c>
      <c r="H248" s="1565">
        <v>0</v>
      </c>
      <c r="I248" s="1566"/>
      <c r="J248" s="1565">
        <v>0</v>
      </c>
      <c r="K248" s="1565">
        <v>0</v>
      </c>
    </row>
    <row r="249" spans="1:11" ht="12.75" customHeight="1" x14ac:dyDescent="0.2">
      <c r="A249" s="436" t="s">
        <v>766</v>
      </c>
      <c r="B249" s="435">
        <v>4878</v>
      </c>
      <c r="C249" s="1587">
        <v>0</v>
      </c>
      <c r="D249" s="1565">
        <v>0</v>
      </c>
      <c r="E249" s="1565">
        <v>0</v>
      </c>
      <c r="F249" s="1565">
        <v>0</v>
      </c>
      <c r="G249" s="1565">
        <v>0</v>
      </c>
      <c r="H249" s="1565">
        <v>0</v>
      </c>
      <c r="I249" s="1566"/>
      <c r="J249" s="1565">
        <v>0</v>
      </c>
      <c r="K249" s="1565">
        <v>0</v>
      </c>
    </row>
    <row r="250" spans="1:11" ht="12.75" customHeight="1" x14ac:dyDescent="0.2">
      <c r="A250" s="436" t="s">
        <v>767</v>
      </c>
      <c r="B250" s="435">
        <v>4879</v>
      </c>
      <c r="C250" s="1587">
        <v>0</v>
      </c>
      <c r="D250" s="1565">
        <v>0</v>
      </c>
      <c r="E250" s="1565">
        <v>0</v>
      </c>
      <c r="F250" s="1565">
        <v>0</v>
      </c>
      <c r="G250" s="1565">
        <v>0</v>
      </c>
      <c r="H250" s="1565">
        <v>0</v>
      </c>
      <c r="I250" s="1566"/>
      <c r="J250" s="1565">
        <v>0</v>
      </c>
      <c r="K250" s="1565">
        <v>0</v>
      </c>
    </row>
    <row r="251" spans="1:11" ht="12.75" customHeight="1" x14ac:dyDescent="0.2">
      <c r="A251" s="220" t="s">
        <v>1435</v>
      </c>
      <c r="B251" s="486">
        <v>4880</v>
      </c>
      <c r="C251" s="1587">
        <v>0</v>
      </c>
      <c r="D251" s="1565">
        <v>0</v>
      </c>
      <c r="E251" s="1565">
        <v>0</v>
      </c>
      <c r="F251" s="1565">
        <v>0</v>
      </c>
      <c r="G251" s="1565">
        <v>0</v>
      </c>
      <c r="H251" s="1565">
        <v>0</v>
      </c>
      <c r="I251" s="1566"/>
      <c r="J251" s="1565">
        <v>0</v>
      </c>
      <c r="K251" s="1565">
        <v>0</v>
      </c>
    </row>
    <row r="252" spans="1:11" ht="12.75" customHeight="1" thickBot="1" x14ac:dyDescent="0.25">
      <c r="A252" s="1409" t="s">
        <v>768</v>
      </c>
      <c r="B252" s="1410"/>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4">
        <f>SUM(K223:K251)</f>
        <v>0</v>
      </c>
    </row>
    <row r="253" spans="1:11" ht="12.75" customHeight="1" thickTop="1" thickBot="1" x14ac:dyDescent="0.25">
      <c r="A253" s="1264" t="s">
        <v>1401</v>
      </c>
      <c r="B253" s="487">
        <v>4901</v>
      </c>
      <c r="C253" s="1655">
        <v>0</v>
      </c>
      <c r="D253" s="1567"/>
      <c r="E253" s="1566"/>
      <c r="F253" s="1566"/>
      <c r="G253" s="1566"/>
      <c r="H253" s="1566"/>
      <c r="I253" s="1566"/>
      <c r="J253" s="1566"/>
      <c r="K253" s="1566"/>
    </row>
    <row r="254" spans="1:11" ht="12.75" customHeight="1" thickTop="1" thickBot="1" x14ac:dyDescent="0.25">
      <c r="A254" s="1265" t="s">
        <v>1443</v>
      </c>
      <c r="B254" s="488">
        <v>4902</v>
      </c>
      <c r="C254" s="1656">
        <v>0</v>
      </c>
      <c r="D254" s="1657">
        <v>0</v>
      </c>
      <c r="E254" s="1567"/>
      <c r="F254" s="1657">
        <v>0</v>
      </c>
      <c r="G254" s="1657">
        <v>0</v>
      </c>
      <c r="H254" s="1567"/>
      <c r="I254" s="1566"/>
      <c r="J254" s="1567"/>
      <c r="K254" s="1567"/>
    </row>
    <row r="255" spans="1:11" ht="12.75" customHeight="1" thickTop="1" thickBot="1" x14ac:dyDescent="0.25">
      <c r="A255" s="427" t="s">
        <v>1436</v>
      </c>
      <c r="B255" s="429">
        <v>4905</v>
      </c>
      <c r="C255" s="1638">
        <v>0</v>
      </c>
      <c r="D255" s="1566"/>
      <c r="E255" s="1566"/>
      <c r="F255" s="1642">
        <v>0</v>
      </c>
      <c r="G255" s="1638">
        <v>0</v>
      </c>
      <c r="H255" s="1566"/>
      <c r="I255" s="1566"/>
      <c r="J255" s="1566"/>
      <c r="K255" s="1566"/>
    </row>
    <row r="256" spans="1:11" ht="12.75" customHeight="1" thickTop="1" thickBot="1" x14ac:dyDescent="0.25">
      <c r="A256" s="427" t="s">
        <v>1437</v>
      </c>
      <c r="B256" s="429">
        <v>4909</v>
      </c>
      <c r="C256" s="1640">
        <v>0</v>
      </c>
      <c r="D256" s="1566"/>
      <c r="E256" s="1566"/>
      <c r="F256" s="1640">
        <v>0</v>
      </c>
      <c r="G256" s="1640">
        <v>0</v>
      </c>
      <c r="H256" s="1566"/>
      <c r="I256" s="1566"/>
      <c r="J256" s="1566"/>
      <c r="K256" s="1566"/>
    </row>
    <row r="257" spans="1:11" ht="12.75" customHeight="1" thickTop="1" thickBot="1" x14ac:dyDescent="0.25">
      <c r="A257" s="427" t="s">
        <v>191</v>
      </c>
      <c r="B257" s="429">
        <v>4920</v>
      </c>
      <c r="C257" s="1640">
        <v>0</v>
      </c>
      <c r="D257" s="1642">
        <v>0</v>
      </c>
      <c r="E257" s="1566"/>
      <c r="F257" s="1638">
        <v>0</v>
      </c>
      <c r="G257" s="1638">
        <v>0</v>
      </c>
      <c r="H257" s="1566"/>
      <c r="I257" s="1566"/>
      <c r="J257" s="1566"/>
      <c r="K257" s="1566"/>
    </row>
    <row r="258" spans="1:11" ht="12.75" customHeight="1" thickTop="1" thickBot="1" x14ac:dyDescent="0.25">
      <c r="A258" s="427" t="s">
        <v>418</v>
      </c>
      <c r="B258" s="429">
        <v>4930</v>
      </c>
      <c r="C258" s="1640">
        <v>0</v>
      </c>
      <c r="D258" s="1640">
        <v>0</v>
      </c>
      <c r="E258" s="1566"/>
      <c r="F258" s="1640">
        <v>0</v>
      </c>
      <c r="G258" s="1640">
        <v>0</v>
      </c>
      <c r="H258" s="1566"/>
      <c r="I258" s="1566"/>
      <c r="J258" s="1566"/>
      <c r="K258" s="1566"/>
    </row>
    <row r="259" spans="1:11" ht="12.75" customHeight="1" thickTop="1" thickBot="1" x14ac:dyDescent="0.25">
      <c r="A259" s="427" t="s">
        <v>752</v>
      </c>
      <c r="B259" s="429">
        <v>4932</v>
      </c>
      <c r="C259" s="1640">
        <v>0</v>
      </c>
      <c r="D259" s="1640">
        <v>0</v>
      </c>
      <c r="E259" s="1566"/>
      <c r="F259" s="1640">
        <v>0</v>
      </c>
      <c r="G259" s="1640">
        <v>0</v>
      </c>
      <c r="H259" s="1566"/>
      <c r="I259" s="1566"/>
      <c r="J259" s="1566"/>
      <c r="K259" s="1566"/>
    </row>
    <row r="260" spans="1:11" ht="12.75" customHeight="1" thickTop="1" thickBot="1" x14ac:dyDescent="0.25">
      <c r="A260" s="427" t="s">
        <v>883</v>
      </c>
      <c r="B260" s="429">
        <v>4960</v>
      </c>
      <c r="C260" s="1639">
        <v>0</v>
      </c>
      <c r="D260" s="1640">
        <v>0</v>
      </c>
      <c r="E260" s="1566"/>
      <c r="F260" s="1640">
        <v>0</v>
      </c>
      <c r="G260" s="1640">
        <v>0</v>
      </c>
      <c r="H260" s="1566"/>
      <c r="I260" s="1566"/>
      <c r="J260" s="1566"/>
      <c r="K260" s="1566"/>
    </row>
    <row r="261" spans="1:11" ht="12.75" customHeight="1" thickTop="1" thickBot="1" x14ac:dyDescent="0.25">
      <c r="A261" s="1531" t="s">
        <v>1890</v>
      </c>
      <c r="B261" s="429">
        <v>4981</v>
      </c>
      <c r="C261" s="1639">
        <v>0</v>
      </c>
      <c r="D261" s="1640">
        <v>0</v>
      </c>
      <c r="E261" s="1566"/>
      <c r="F261" s="1640">
        <v>0</v>
      </c>
      <c r="G261" s="1640">
        <v>0</v>
      </c>
      <c r="H261" s="1566"/>
      <c r="I261" s="1566"/>
      <c r="J261" s="1566"/>
      <c r="K261" s="1566"/>
    </row>
    <row r="262" spans="1:11" ht="12.75" customHeight="1" thickTop="1" thickBot="1" x14ac:dyDescent="0.25">
      <c r="A262" s="1532" t="s">
        <v>1891</v>
      </c>
      <c r="B262" s="429">
        <v>4982</v>
      </c>
      <c r="C262" s="1639">
        <v>0</v>
      </c>
      <c r="D262" s="1640">
        <v>0</v>
      </c>
      <c r="E262" s="1566"/>
      <c r="F262" s="1640">
        <v>0</v>
      </c>
      <c r="G262" s="1640">
        <v>0</v>
      </c>
      <c r="H262" s="1566"/>
      <c r="I262" s="1566"/>
      <c r="J262" s="1566"/>
      <c r="K262" s="1566"/>
    </row>
    <row r="263" spans="1:11" ht="12.75" customHeight="1" thickTop="1" thickBot="1" x14ac:dyDescent="0.25">
      <c r="A263" s="427" t="s">
        <v>564</v>
      </c>
      <c r="B263" s="429">
        <v>4991</v>
      </c>
      <c r="C263" s="1639">
        <v>360550</v>
      </c>
      <c r="D263" s="1640">
        <v>0</v>
      </c>
      <c r="E263" s="1566"/>
      <c r="F263" s="1640">
        <v>0</v>
      </c>
      <c r="G263" s="1640">
        <v>0</v>
      </c>
      <c r="H263" s="1566"/>
      <c r="I263" s="1566"/>
      <c r="J263" s="1566"/>
      <c r="K263" s="1566"/>
    </row>
    <row r="264" spans="1:11" ht="12.75" customHeight="1" thickTop="1" thickBot="1" x14ac:dyDescent="0.25">
      <c r="A264" s="427" t="s">
        <v>374</v>
      </c>
      <c r="B264" s="429">
        <v>4992</v>
      </c>
      <c r="C264" s="1639">
        <v>95183</v>
      </c>
      <c r="D264" s="1640">
        <v>0</v>
      </c>
      <c r="E264" s="1566"/>
      <c r="F264" s="1640">
        <v>0</v>
      </c>
      <c r="G264" s="1640">
        <v>0</v>
      </c>
      <c r="H264" s="1566"/>
      <c r="I264" s="1566"/>
      <c r="J264" s="1566"/>
      <c r="K264" s="1566"/>
    </row>
    <row r="265" spans="1:11" s="489" customFormat="1" ht="12.75" customHeight="1" thickTop="1" thickBot="1" x14ac:dyDescent="0.25">
      <c r="A265" s="479" t="s">
        <v>75</v>
      </c>
      <c r="B265" s="475">
        <v>4998</v>
      </c>
      <c r="C265" s="1639">
        <v>0</v>
      </c>
      <c r="D265" s="1640">
        <v>0</v>
      </c>
      <c r="E265" s="1566"/>
      <c r="F265" s="1640">
        <v>0</v>
      </c>
      <c r="G265" s="1640">
        <v>0</v>
      </c>
      <c r="H265" s="1615">
        <v>0</v>
      </c>
      <c r="I265" s="1566"/>
      <c r="J265" s="1566"/>
      <c r="K265" s="1615">
        <v>0</v>
      </c>
    </row>
    <row r="266" spans="1:11" ht="14.25" thickTop="1" thickBot="1" x14ac:dyDescent="0.25">
      <c r="A266" s="1398" t="s">
        <v>1644</v>
      </c>
      <c r="B266" s="1411"/>
      <c r="C266" s="1630">
        <f t="shared" ref="C266:H266" si="10">SUM(C188,C198,C204,C209,C217,C221,C222,C252:C265)</f>
        <v>8409223</v>
      </c>
      <c r="D266" s="1630">
        <f t="shared" si="10"/>
        <v>0</v>
      </c>
      <c r="E266" s="1630">
        <f t="shared" si="10"/>
        <v>0</v>
      </c>
      <c r="F266" s="1630">
        <f t="shared" si="10"/>
        <v>0</v>
      </c>
      <c r="G266" s="1630">
        <f t="shared" si="10"/>
        <v>0</v>
      </c>
      <c r="H266" s="1630">
        <f t="shared" si="10"/>
        <v>0</v>
      </c>
      <c r="I266" s="1566"/>
      <c r="J266" s="1630">
        <f>SUM(J188,J198,J204,J209,J217,J221,J222,J252:J265)</f>
        <v>0</v>
      </c>
      <c r="K266" s="1618">
        <f>SUM(K188,K198,K204,K209,K217,K221,K222,K252:K265)</f>
        <v>0</v>
      </c>
    </row>
    <row r="267" spans="1:11" ht="14.25" thickTop="1" thickBot="1" x14ac:dyDescent="0.25">
      <c r="A267" s="1412" t="s">
        <v>1076</v>
      </c>
      <c r="B267" s="1413" t="s">
        <v>854</v>
      </c>
      <c r="C267" s="1630">
        <f>SUM(C175,C181,C266)</f>
        <v>8409223</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4" t="s">
        <v>249</v>
      </c>
      <c r="B268" s="1415"/>
      <c r="C268" s="1630">
        <f t="shared" ref="C268:K268" si="12">SUM(C109,C114,C170,C267)</f>
        <v>60914784</v>
      </c>
      <c r="D268" s="1630">
        <f t="shared" si="12"/>
        <v>2909520</v>
      </c>
      <c r="E268" s="1630">
        <f t="shared" si="12"/>
        <v>470794</v>
      </c>
      <c r="F268" s="1630">
        <f t="shared" si="12"/>
        <v>788285</v>
      </c>
      <c r="G268" s="1630">
        <f t="shared" si="12"/>
        <v>1443612</v>
      </c>
      <c r="H268" s="1630">
        <f t="shared" si="12"/>
        <v>0</v>
      </c>
      <c r="I268" s="1630">
        <f t="shared" si="12"/>
        <v>0</v>
      </c>
      <c r="J268" s="1630">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11" activePane="bottomLeft" state="frozen"/>
      <selection activeCell="C44" sqref="C44"/>
      <selection pane="bottomLeft" activeCell="J121" sqref="J12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2"/>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8" t="s">
        <v>294</v>
      </c>
      <c r="B3" s="2289"/>
      <c r="C3" s="1293"/>
      <c r="D3" s="1293"/>
      <c r="E3" s="1293"/>
      <c r="F3" s="1293"/>
      <c r="G3" s="1293"/>
      <c r="H3" s="1293"/>
      <c r="I3" s="1293"/>
      <c r="J3" s="1293"/>
      <c r="K3" s="1294"/>
      <c r="L3" s="1295"/>
      <c r="M3" s="501"/>
      <c r="N3" s="501"/>
    </row>
    <row r="4" spans="1:14" s="254" customFormat="1" ht="15.75" customHeight="1" x14ac:dyDescent="0.2">
      <c r="A4" s="1336" t="s">
        <v>44</v>
      </c>
      <c r="B4" s="1337" t="s">
        <v>566</v>
      </c>
      <c r="C4" s="1658"/>
      <c r="D4" s="1658"/>
      <c r="E4" s="1658"/>
      <c r="F4" s="1658"/>
      <c r="G4" s="1658"/>
      <c r="H4" s="1658"/>
      <c r="I4" s="1659"/>
      <c r="J4" s="1658"/>
      <c r="K4" s="1660"/>
      <c r="L4" s="1658"/>
      <c r="M4" s="502"/>
      <c r="N4" s="502"/>
    </row>
    <row r="5" spans="1:14" x14ac:dyDescent="0.2">
      <c r="A5" s="1266" t="s">
        <v>954</v>
      </c>
      <c r="B5" s="503">
        <v>1100</v>
      </c>
      <c r="C5" s="1564">
        <v>0</v>
      </c>
      <c r="D5" s="1564">
        <v>0</v>
      </c>
      <c r="E5" s="1564">
        <v>0</v>
      </c>
      <c r="F5" s="1564">
        <v>0</v>
      </c>
      <c r="G5" s="1564">
        <v>0</v>
      </c>
      <c r="H5" s="1564">
        <v>0</v>
      </c>
      <c r="I5" s="1565">
        <v>0</v>
      </c>
      <c r="J5" s="1565">
        <v>0</v>
      </c>
      <c r="K5" s="1661">
        <f>SUM(C5:J5)</f>
        <v>0</v>
      </c>
      <c r="L5" s="1564">
        <v>0</v>
      </c>
    </row>
    <row r="6" spans="1:14" x14ac:dyDescent="0.2">
      <c r="A6" s="1266" t="s">
        <v>1413</v>
      </c>
      <c r="B6" s="503" t="s">
        <v>1411</v>
      </c>
      <c r="C6" s="1572"/>
      <c r="D6" s="1572"/>
      <c r="E6" s="1564">
        <v>0</v>
      </c>
      <c r="F6" s="1572"/>
      <c r="G6" s="1572"/>
      <c r="H6" s="1572"/>
      <c r="I6" s="1572"/>
      <c r="J6" s="1572"/>
      <c r="K6" s="1661">
        <f>SUM(C6,E6)</f>
        <v>0</v>
      </c>
      <c r="L6" s="1564">
        <v>0</v>
      </c>
    </row>
    <row r="7" spans="1:14" x14ac:dyDescent="0.2">
      <c r="A7" s="1266" t="s">
        <v>162</v>
      </c>
      <c r="B7" s="503" t="s">
        <v>960</v>
      </c>
      <c r="C7" s="1565">
        <v>0</v>
      </c>
      <c r="D7" s="1565">
        <v>0</v>
      </c>
      <c r="E7" s="1565">
        <v>0</v>
      </c>
      <c r="F7" s="1565">
        <v>0</v>
      </c>
      <c r="G7" s="1565">
        <v>0</v>
      </c>
      <c r="H7" s="1565">
        <v>0</v>
      </c>
      <c r="I7" s="1565">
        <v>0</v>
      </c>
      <c r="J7" s="1565">
        <v>0</v>
      </c>
      <c r="K7" s="1661">
        <f t="shared" ref="K7:K32" si="0">SUM(C7:J7)</f>
        <v>0</v>
      </c>
      <c r="L7" s="1564">
        <v>0</v>
      </c>
    </row>
    <row r="8" spans="1:14" x14ac:dyDescent="0.2">
      <c r="A8" s="1266" t="s">
        <v>163</v>
      </c>
      <c r="B8" s="503">
        <v>1200</v>
      </c>
      <c r="C8" s="1564">
        <v>15837096</v>
      </c>
      <c r="D8" s="1564">
        <v>4186469</v>
      </c>
      <c r="E8" s="1564">
        <v>2152630</v>
      </c>
      <c r="F8" s="1564">
        <v>236526</v>
      </c>
      <c r="G8" s="1564">
        <v>32657</v>
      </c>
      <c r="H8" s="1564">
        <v>7364</v>
      </c>
      <c r="I8" s="1565">
        <v>83606</v>
      </c>
      <c r="J8" s="1565">
        <v>0</v>
      </c>
      <c r="K8" s="1661">
        <f t="shared" si="0"/>
        <v>22536348</v>
      </c>
      <c r="L8" s="1564">
        <v>23042450</v>
      </c>
    </row>
    <row r="9" spans="1:14" x14ac:dyDescent="0.2">
      <c r="A9" s="1266" t="s">
        <v>715</v>
      </c>
      <c r="B9" s="503" t="s">
        <v>961</v>
      </c>
      <c r="C9" s="1565">
        <v>835560</v>
      </c>
      <c r="D9" s="1565">
        <v>238729</v>
      </c>
      <c r="E9" s="1565">
        <v>14</v>
      </c>
      <c r="F9" s="1565">
        <v>212</v>
      </c>
      <c r="G9" s="1565">
        <v>0</v>
      </c>
      <c r="H9" s="1565">
        <v>0</v>
      </c>
      <c r="I9" s="1565">
        <v>0</v>
      </c>
      <c r="J9" s="1565">
        <v>0</v>
      </c>
      <c r="K9" s="1661">
        <f t="shared" si="0"/>
        <v>1074515</v>
      </c>
      <c r="L9" s="1564">
        <v>1129900</v>
      </c>
    </row>
    <row r="10" spans="1:14" x14ac:dyDescent="0.2">
      <c r="A10" s="1266" t="s">
        <v>716</v>
      </c>
      <c r="B10" s="503">
        <v>1250</v>
      </c>
      <c r="C10" s="1564">
        <v>0</v>
      </c>
      <c r="D10" s="1564">
        <v>0</v>
      </c>
      <c r="E10" s="1564">
        <v>0</v>
      </c>
      <c r="F10" s="1564">
        <v>0</v>
      </c>
      <c r="G10" s="1564">
        <v>0</v>
      </c>
      <c r="H10" s="1564">
        <v>0</v>
      </c>
      <c r="I10" s="1565">
        <v>0</v>
      </c>
      <c r="J10" s="1565">
        <v>0</v>
      </c>
      <c r="K10" s="1661">
        <f t="shared" si="0"/>
        <v>0</v>
      </c>
      <c r="L10" s="1564">
        <v>0</v>
      </c>
    </row>
    <row r="11" spans="1:14" x14ac:dyDescent="0.2">
      <c r="A11" s="1266" t="s">
        <v>1119</v>
      </c>
      <c r="B11" s="503" t="s">
        <v>160</v>
      </c>
      <c r="C11" s="1565">
        <v>0</v>
      </c>
      <c r="D11" s="1565">
        <v>0</v>
      </c>
      <c r="E11" s="1565">
        <v>0</v>
      </c>
      <c r="F11" s="1565">
        <v>0</v>
      </c>
      <c r="G11" s="1565">
        <v>0</v>
      </c>
      <c r="H11" s="1565">
        <v>0</v>
      </c>
      <c r="I11" s="1565">
        <v>0</v>
      </c>
      <c r="J11" s="1565">
        <v>0</v>
      </c>
      <c r="K11" s="1661">
        <f t="shared" si="0"/>
        <v>0</v>
      </c>
      <c r="L11" s="1564">
        <v>0</v>
      </c>
    </row>
    <row r="12" spans="1:14" x14ac:dyDescent="0.2">
      <c r="A12" s="1266" t="s">
        <v>955</v>
      </c>
      <c r="B12" s="503">
        <v>1300</v>
      </c>
      <c r="C12" s="1564">
        <v>0</v>
      </c>
      <c r="D12" s="1564">
        <v>0</v>
      </c>
      <c r="E12" s="1564">
        <v>0</v>
      </c>
      <c r="F12" s="1564">
        <v>0</v>
      </c>
      <c r="G12" s="1564">
        <v>0</v>
      </c>
      <c r="H12" s="1564">
        <v>0</v>
      </c>
      <c r="I12" s="1565">
        <v>0</v>
      </c>
      <c r="J12" s="1565">
        <v>0</v>
      </c>
      <c r="K12" s="1661">
        <f t="shared" si="0"/>
        <v>0</v>
      </c>
      <c r="L12" s="1564">
        <v>0</v>
      </c>
    </row>
    <row r="13" spans="1:14" x14ac:dyDescent="0.2">
      <c r="A13" s="1266" t="s">
        <v>717</v>
      </c>
      <c r="B13" s="503">
        <v>1400</v>
      </c>
      <c r="C13" s="1564">
        <v>709160</v>
      </c>
      <c r="D13" s="1564">
        <v>208982</v>
      </c>
      <c r="E13" s="1564">
        <v>36438</v>
      </c>
      <c r="F13" s="1564">
        <v>21227</v>
      </c>
      <c r="G13" s="1564">
        <v>0</v>
      </c>
      <c r="H13" s="1564">
        <v>0</v>
      </c>
      <c r="I13" s="1565">
        <v>542</v>
      </c>
      <c r="J13" s="1565">
        <v>0</v>
      </c>
      <c r="K13" s="1661">
        <f t="shared" si="0"/>
        <v>976349</v>
      </c>
      <c r="L13" s="1564">
        <v>1093500</v>
      </c>
    </row>
    <row r="14" spans="1:14" x14ac:dyDescent="0.2">
      <c r="A14" s="1266" t="s">
        <v>956</v>
      </c>
      <c r="B14" s="503">
        <v>1500</v>
      </c>
      <c r="C14" s="1564">
        <v>0</v>
      </c>
      <c r="D14" s="1564">
        <v>0</v>
      </c>
      <c r="E14" s="1564">
        <v>0</v>
      </c>
      <c r="F14" s="1564">
        <v>0</v>
      </c>
      <c r="G14" s="1564">
        <v>0</v>
      </c>
      <c r="H14" s="1564">
        <v>0</v>
      </c>
      <c r="I14" s="1565">
        <v>0</v>
      </c>
      <c r="J14" s="1565">
        <v>0</v>
      </c>
      <c r="K14" s="1661">
        <f t="shared" si="0"/>
        <v>0</v>
      </c>
      <c r="L14" s="1564">
        <v>15500</v>
      </c>
    </row>
    <row r="15" spans="1:14" x14ac:dyDescent="0.2">
      <c r="A15" s="1266" t="s">
        <v>957</v>
      </c>
      <c r="B15" s="503">
        <v>1600</v>
      </c>
      <c r="C15" s="1564">
        <v>519975</v>
      </c>
      <c r="D15" s="1564">
        <v>25652</v>
      </c>
      <c r="E15" s="1564">
        <v>38068</v>
      </c>
      <c r="F15" s="1564">
        <v>1818</v>
      </c>
      <c r="G15" s="1564">
        <v>0</v>
      </c>
      <c r="H15" s="1564">
        <v>0</v>
      </c>
      <c r="I15" s="1565">
        <v>0</v>
      </c>
      <c r="J15" s="1565">
        <v>0</v>
      </c>
      <c r="K15" s="1661">
        <f t="shared" si="0"/>
        <v>585513</v>
      </c>
      <c r="L15" s="1564">
        <v>544400</v>
      </c>
    </row>
    <row r="16" spans="1:14" x14ac:dyDescent="0.2">
      <c r="A16" s="1266" t="s">
        <v>979</v>
      </c>
      <c r="B16" s="503" t="s">
        <v>421</v>
      </c>
      <c r="C16" s="1564">
        <v>0</v>
      </c>
      <c r="D16" s="1564">
        <v>0</v>
      </c>
      <c r="E16" s="1564">
        <v>0</v>
      </c>
      <c r="F16" s="1564">
        <v>0</v>
      </c>
      <c r="G16" s="1564">
        <v>0</v>
      </c>
      <c r="H16" s="1564">
        <v>0</v>
      </c>
      <c r="I16" s="1565">
        <v>0</v>
      </c>
      <c r="J16" s="1565">
        <v>0</v>
      </c>
      <c r="K16" s="1661">
        <f t="shared" si="0"/>
        <v>0</v>
      </c>
      <c r="L16" s="1564">
        <v>0</v>
      </c>
    </row>
    <row r="17" spans="1:12" x14ac:dyDescent="0.2">
      <c r="A17" s="1266" t="s">
        <v>718</v>
      </c>
      <c r="B17" s="503" t="s">
        <v>161</v>
      </c>
      <c r="C17" s="1565">
        <v>0</v>
      </c>
      <c r="D17" s="1565">
        <v>0</v>
      </c>
      <c r="E17" s="1565">
        <v>0</v>
      </c>
      <c r="F17" s="1565">
        <v>0</v>
      </c>
      <c r="G17" s="1565">
        <v>0</v>
      </c>
      <c r="H17" s="1565">
        <v>0</v>
      </c>
      <c r="I17" s="1565">
        <v>0</v>
      </c>
      <c r="J17" s="1565">
        <v>0</v>
      </c>
      <c r="K17" s="1661">
        <f t="shared" si="0"/>
        <v>0</v>
      </c>
      <c r="L17" s="1564">
        <v>0</v>
      </c>
    </row>
    <row r="18" spans="1:12" x14ac:dyDescent="0.2">
      <c r="A18" s="1266" t="s">
        <v>1077</v>
      </c>
      <c r="B18" s="503">
        <v>1800</v>
      </c>
      <c r="C18" s="1564">
        <v>0</v>
      </c>
      <c r="D18" s="1564">
        <v>0</v>
      </c>
      <c r="E18" s="1564">
        <v>0</v>
      </c>
      <c r="F18" s="1564">
        <v>0</v>
      </c>
      <c r="G18" s="1564">
        <v>0</v>
      </c>
      <c r="H18" s="1564">
        <v>0</v>
      </c>
      <c r="I18" s="1565">
        <v>0</v>
      </c>
      <c r="J18" s="1565">
        <v>0</v>
      </c>
      <c r="K18" s="1661">
        <f t="shared" si="0"/>
        <v>0</v>
      </c>
      <c r="L18" s="1564">
        <v>0</v>
      </c>
    </row>
    <row r="19" spans="1:12" x14ac:dyDescent="0.2">
      <c r="A19" s="1266" t="s">
        <v>133</v>
      </c>
      <c r="B19" s="503">
        <v>1900</v>
      </c>
      <c r="C19" s="1564">
        <v>446837</v>
      </c>
      <c r="D19" s="1564">
        <v>131910</v>
      </c>
      <c r="E19" s="1564">
        <v>92707</v>
      </c>
      <c r="F19" s="1564">
        <v>15010</v>
      </c>
      <c r="G19" s="1564">
        <v>0</v>
      </c>
      <c r="H19" s="1564">
        <v>0</v>
      </c>
      <c r="I19" s="1565">
        <v>6864</v>
      </c>
      <c r="J19" s="1565">
        <v>0</v>
      </c>
      <c r="K19" s="1661">
        <f t="shared" si="0"/>
        <v>693328</v>
      </c>
      <c r="L19" s="1564">
        <v>754400</v>
      </c>
    </row>
    <row r="20" spans="1:12" x14ac:dyDescent="0.2">
      <c r="A20" s="1267" t="s">
        <v>732</v>
      </c>
      <c r="B20" s="494" t="s">
        <v>719</v>
      </c>
      <c r="C20" s="1572"/>
      <c r="D20" s="1572"/>
      <c r="E20" s="1572"/>
      <c r="F20" s="1572"/>
      <c r="G20" s="1572"/>
      <c r="H20" s="1570">
        <v>0</v>
      </c>
      <c r="I20" s="1662"/>
      <c r="J20" s="1571"/>
      <c r="K20" s="1661">
        <f t="shared" si="0"/>
        <v>0</v>
      </c>
      <c r="L20" s="1568">
        <v>0</v>
      </c>
    </row>
    <row r="21" spans="1:12" x14ac:dyDescent="0.2">
      <c r="A21" s="1267" t="s">
        <v>733</v>
      </c>
      <c r="B21" s="494" t="s">
        <v>720</v>
      </c>
      <c r="C21" s="1572"/>
      <c r="D21" s="1572"/>
      <c r="E21" s="1572"/>
      <c r="F21" s="1572"/>
      <c r="G21" s="1572"/>
      <c r="H21" s="1570">
        <v>0</v>
      </c>
      <c r="I21" s="1662"/>
      <c r="J21" s="1572"/>
      <c r="K21" s="1661">
        <f t="shared" si="0"/>
        <v>0</v>
      </c>
      <c r="L21" s="1568">
        <v>0</v>
      </c>
    </row>
    <row r="22" spans="1:12" x14ac:dyDescent="0.2">
      <c r="A22" s="1267" t="s">
        <v>734</v>
      </c>
      <c r="B22" s="494" t="s">
        <v>721</v>
      </c>
      <c r="C22" s="1572"/>
      <c r="D22" s="1572"/>
      <c r="E22" s="1572"/>
      <c r="F22" s="1572"/>
      <c r="G22" s="1572"/>
      <c r="H22" s="1570">
        <v>799248</v>
      </c>
      <c r="I22" s="1662"/>
      <c r="J22" s="1572"/>
      <c r="K22" s="1661">
        <f t="shared" si="0"/>
        <v>799248</v>
      </c>
      <c r="L22" s="1568">
        <v>1000000</v>
      </c>
    </row>
    <row r="23" spans="1:12" x14ac:dyDescent="0.2">
      <c r="A23" s="1267" t="s">
        <v>735</v>
      </c>
      <c r="B23" s="494" t="s">
        <v>722</v>
      </c>
      <c r="C23" s="1572"/>
      <c r="D23" s="1572"/>
      <c r="E23" s="1572"/>
      <c r="F23" s="1572"/>
      <c r="G23" s="1572"/>
      <c r="H23" s="1570">
        <v>0</v>
      </c>
      <c r="I23" s="1662"/>
      <c r="J23" s="1572"/>
      <c r="K23" s="1661">
        <f t="shared" si="0"/>
        <v>0</v>
      </c>
      <c r="L23" s="1568">
        <v>0</v>
      </c>
    </row>
    <row r="24" spans="1:12" ht="12.75" customHeight="1" x14ac:dyDescent="0.2">
      <c r="A24" s="1267" t="s">
        <v>736</v>
      </c>
      <c r="B24" s="494" t="s">
        <v>723</v>
      </c>
      <c r="C24" s="1572"/>
      <c r="D24" s="1572"/>
      <c r="E24" s="1572"/>
      <c r="F24" s="1572"/>
      <c r="G24" s="1572"/>
      <c r="H24" s="1570">
        <v>0</v>
      </c>
      <c r="I24" s="1662"/>
      <c r="J24" s="1572"/>
      <c r="K24" s="1661">
        <f t="shared" si="0"/>
        <v>0</v>
      </c>
      <c r="L24" s="1568">
        <v>0</v>
      </c>
    </row>
    <row r="25" spans="1:12" ht="12.75" customHeight="1" x14ac:dyDescent="0.2">
      <c r="A25" s="1267" t="s">
        <v>796</v>
      </c>
      <c r="B25" s="494" t="s">
        <v>724</v>
      </c>
      <c r="C25" s="1572"/>
      <c r="D25" s="1572"/>
      <c r="E25" s="1572"/>
      <c r="F25" s="1572"/>
      <c r="G25" s="1572"/>
      <c r="H25" s="1570">
        <v>0</v>
      </c>
      <c r="I25" s="1662"/>
      <c r="J25" s="1572"/>
      <c r="K25" s="1661">
        <f t="shared" si="0"/>
        <v>0</v>
      </c>
      <c r="L25" s="1568">
        <v>0</v>
      </c>
    </row>
    <row r="26" spans="1:12" x14ac:dyDescent="0.2">
      <c r="A26" s="1267" t="s">
        <v>618</v>
      </c>
      <c r="B26" s="494" t="s">
        <v>725</v>
      </c>
      <c r="C26" s="1572"/>
      <c r="D26" s="1572"/>
      <c r="E26" s="1572"/>
      <c r="F26" s="1572"/>
      <c r="G26" s="1572"/>
      <c r="H26" s="1570">
        <v>0</v>
      </c>
      <c r="I26" s="1662"/>
      <c r="J26" s="1572"/>
      <c r="K26" s="1661">
        <f t="shared" si="0"/>
        <v>0</v>
      </c>
      <c r="L26" s="1568">
        <v>0</v>
      </c>
    </row>
    <row r="27" spans="1:12" x14ac:dyDescent="0.2">
      <c r="A27" s="1267" t="s">
        <v>619</v>
      </c>
      <c r="B27" s="494" t="s">
        <v>726</v>
      </c>
      <c r="C27" s="1572"/>
      <c r="D27" s="1572"/>
      <c r="E27" s="1572"/>
      <c r="F27" s="1572"/>
      <c r="G27" s="1572"/>
      <c r="H27" s="1570">
        <v>0</v>
      </c>
      <c r="I27" s="1662"/>
      <c r="J27" s="1572"/>
      <c r="K27" s="1661">
        <f t="shared" si="0"/>
        <v>0</v>
      </c>
      <c r="L27" s="1568">
        <v>0</v>
      </c>
    </row>
    <row r="28" spans="1:12" x14ac:dyDescent="0.2">
      <c r="A28" s="1267" t="s">
        <v>149</v>
      </c>
      <c r="B28" s="494" t="s">
        <v>727</v>
      </c>
      <c r="C28" s="1572"/>
      <c r="D28" s="1572"/>
      <c r="E28" s="1572"/>
      <c r="F28" s="1572"/>
      <c r="G28" s="1572"/>
      <c r="H28" s="1570">
        <v>0</v>
      </c>
      <c r="I28" s="1662"/>
      <c r="J28" s="1572"/>
      <c r="K28" s="1661">
        <f t="shared" si="0"/>
        <v>0</v>
      </c>
      <c r="L28" s="1568">
        <v>0</v>
      </c>
    </row>
    <row r="29" spans="1:12" x14ac:dyDescent="0.2">
      <c r="A29" s="1267" t="s">
        <v>150</v>
      </c>
      <c r="B29" s="494" t="s">
        <v>728</v>
      </c>
      <c r="C29" s="1572"/>
      <c r="D29" s="1572"/>
      <c r="E29" s="1572"/>
      <c r="F29" s="1572"/>
      <c r="G29" s="1572"/>
      <c r="H29" s="1570">
        <v>0</v>
      </c>
      <c r="I29" s="1662"/>
      <c r="J29" s="1572"/>
      <c r="K29" s="1661">
        <f t="shared" si="0"/>
        <v>0</v>
      </c>
      <c r="L29" s="1568">
        <v>0</v>
      </c>
    </row>
    <row r="30" spans="1:12" x14ac:dyDescent="0.2">
      <c r="A30" s="1267" t="s">
        <v>151</v>
      </c>
      <c r="B30" s="494" t="s">
        <v>729</v>
      </c>
      <c r="C30" s="1572"/>
      <c r="D30" s="1572"/>
      <c r="E30" s="1572"/>
      <c r="F30" s="1572"/>
      <c r="G30" s="1572"/>
      <c r="H30" s="1570">
        <v>0</v>
      </c>
      <c r="I30" s="1662"/>
      <c r="J30" s="1572"/>
      <c r="K30" s="1661">
        <f t="shared" si="0"/>
        <v>0</v>
      </c>
      <c r="L30" s="1568">
        <v>0</v>
      </c>
    </row>
    <row r="31" spans="1:12" x14ac:dyDescent="0.2">
      <c r="A31" s="1267" t="s">
        <v>152</v>
      </c>
      <c r="B31" s="494" t="s">
        <v>730</v>
      </c>
      <c r="C31" s="1572"/>
      <c r="D31" s="1572"/>
      <c r="E31" s="1572"/>
      <c r="F31" s="1572"/>
      <c r="G31" s="1572"/>
      <c r="H31" s="1570">
        <v>0</v>
      </c>
      <c r="I31" s="1662"/>
      <c r="J31" s="1572"/>
      <c r="K31" s="1661">
        <f t="shared" si="0"/>
        <v>0</v>
      </c>
      <c r="L31" s="1568">
        <v>0</v>
      </c>
    </row>
    <row r="32" spans="1:12" x14ac:dyDescent="0.2">
      <c r="A32" s="1268" t="s">
        <v>1118</v>
      </c>
      <c r="B32" s="503" t="s">
        <v>731</v>
      </c>
      <c r="C32" s="1572"/>
      <c r="D32" s="1572"/>
      <c r="E32" s="1572"/>
      <c r="F32" s="1572"/>
      <c r="G32" s="1572"/>
      <c r="H32" s="1570">
        <v>0</v>
      </c>
      <c r="I32" s="1662"/>
      <c r="J32" s="1575"/>
      <c r="K32" s="1661">
        <f t="shared" si="0"/>
        <v>0</v>
      </c>
      <c r="L32" s="1568">
        <v>0</v>
      </c>
    </row>
    <row r="33" spans="1:14" ht="12.75" customHeight="1" thickBot="1" x14ac:dyDescent="0.25">
      <c r="A33" s="1372" t="s">
        <v>1646</v>
      </c>
      <c r="B33" s="1373" t="s">
        <v>566</v>
      </c>
      <c r="C33" s="1663">
        <f>SUM(C5:C32)</f>
        <v>18348628</v>
      </c>
      <c r="D33" s="1663">
        <f t="shared" ref="D33:L33" si="1">SUM(D5:D32)</f>
        <v>4791742</v>
      </c>
      <c r="E33" s="1663">
        <f t="shared" si="1"/>
        <v>2319857</v>
      </c>
      <c r="F33" s="1663">
        <f t="shared" si="1"/>
        <v>274793</v>
      </c>
      <c r="G33" s="1663">
        <f t="shared" si="1"/>
        <v>32657</v>
      </c>
      <c r="H33" s="1663">
        <f t="shared" si="1"/>
        <v>806612</v>
      </c>
      <c r="I33" s="1663">
        <f t="shared" si="1"/>
        <v>91012</v>
      </c>
      <c r="J33" s="1663">
        <f t="shared" si="1"/>
        <v>0</v>
      </c>
      <c r="K33" s="1663">
        <f t="shared" si="1"/>
        <v>26665301</v>
      </c>
      <c r="L33" s="1663">
        <f t="shared" si="1"/>
        <v>27580150</v>
      </c>
    </row>
    <row r="34" spans="1:14" s="506" customFormat="1" ht="15.75" customHeight="1" thickTop="1" x14ac:dyDescent="0.2">
      <c r="A34" s="1338" t="s">
        <v>46</v>
      </c>
      <c r="B34" s="1339" t="s">
        <v>565</v>
      </c>
      <c r="C34" s="1664"/>
      <c r="D34" s="1664"/>
      <c r="E34" s="1664"/>
      <c r="F34" s="1664"/>
      <c r="G34" s="1664"/>
      <c r="H34" s="1664"/>
      <c r="I34" s="1662"/>
      <c r="J34" s="1662"/>
      <c r="K34" s="1662"/>
      <c r="L34" s="1662"/>
      <c r="M34" s="505"/>
      <c r="N34" s="505"/>
    </row>
    <row r="35" spans="1:14" s="506" customFormat="1" ht="15.75" customHeight="1" x14ac:dyDescent="0.2">
      <c r="A35" s="507" t="s">
        <v>587</v>
      </c>
      <c r="B35" s="508"/>
      <c r="C35" s="1665"/>
      <c r="D35" s="1665"/>
      <c r="E35" s="1665"/>
      <c r="F35" s="1665"/>
      <c r="G35" s="1665"/>
      <c r="H35" s="1665"/>
      <c r="I35" s="1662"/>
      <c r="J35" s="1662"/>
      <c r="K35" s="1662"/>
      <c r="L35" s="1662"/>
      <c r="M35" s="505"/>
      <c r="N35" s="505"/>
    </row>
    <row r="36" spans="1:14" x14ac:dyDescent="0.2">
      <c r="A36" s="1266" t="s">
        <v>1079</v>
      </c>
      <c r="B36" s="503">
        <v>2110</v>
      </c>
      <c r="C36" s="1576">
        <v>2632187</v>
      </c>
      <c r="D36" s="1576">
        <v>468533</v>
      </c>
      <c r="E36" s="1576">
        <v>122521</v>
      </c>
      <c r="F36" s="1576">
        <v>4126</v>
      </c>
      <c r="G36" s="1576">
        <v>0</v>
      </c>
      <c r="H36" s="1576">
        <v>1050</v>
      </c>
      <c r="I36" s="1565">
        <v>0</v>
      </c>
      <c r="J36" s="1565">
        <v>0</v>
      </c>
      <c r="K36" s="1661">
        <f t="shared" ref="K36:K41" si="2">SUM(C36:J36)</f>
        <v>3228417</v>
      </c>
      <c r="L36" s="1564">
        <v>3484700</v>
      </c>
    </row>
    <row r="37" spans="1:14" x14ac:dyDescent="0.2">
      <c r="A37" s="1266" t="s">
        <v>1080</v>
      </c>
      <c r="B37" s="503">
        <v>2120</v>
      </c>
      <c r="C37" s="1564">
        <v>0</v>
      </c>
      <c r="D37" s="1564">
        <v>0</v>
      </c>
      <c r="E37" s="1564">
        <v>0</v>
      </c>
      <c r="F37" s="1564">
        <v>0</v>
      </c>
      <c r="G37" s="1564">
        <v>0</v>
      </c>
      <c r="H37" s="1564">
        <v>0</v>
      </c>
      <c r="I37" s="1565">
        <v>0</v>
      </c>
      <c r="J37" s="1565">
        <v>0</v>
      </c>
      <c r="K37" s="1661">
        <f t="shared" si="2"/>
        <v>0</v>
      </c>
      <c r="L37" s="1564">
        <v>0</v>
      </c>
    </row>
    <row r="38" spans="1:14" x14ac:dyDescent="0.2">
      <c r="A38" s="1266" t="s">
        <v>196</v>
      </c>
      <c r="B38" s="503">
        <v>2130</v>
      </c>
      <c r="C38" s="1564">
        <v>4082052</v>
      </c>
      <c r="D38" s="1564">
        <v>805964</v>
      </c>
      <c r="E38" s="1564">
        <v>227467</v>
      </c>
      <c r="F38" s="1564">
        <v>62185</v>
      </c>
      <c r="G38" s="1564">
        <v>2799</v>
      </c>
      <c r="H38" s="1564">
        <v>211</v>
      </c>
      <c r="I38" s="1565">
        <v>14448</v>
      </c>
      <c r="J38" s="1565">
        <v>0</v>
      </c>
      <c r="K38" s="1661">
        <f t="shared" si="2"/>
        <v>5195126</v>
      </c>
      <c r="L38" s="1564">
        <v>5108500</v>
      </c>
    </row>
    <row r="39" spans="1:14" x14ac:dyDescent="0.2">
      <c r="A39" s="1266" t="s">
        <v>197</v>
      </c>
      <c r="B39" s="503">
        <v>2140</v>
      </c>
      <c r="C39" s="1564">
        <v>1028908</v>
      </c>
      <c r="D39" s="1564">
        <v>166432</v>
      </c>
      <c r="E39" s="1564">
        <v>122405</v>
      </c>
      <c r="F39" s="1564">
        <v>2171</v>
      </c>
      <c r="G39" s="1564">
        <v>0</v>
      </c>
      <c r="H39" s="1564">
        <v>0</v>
      </c>
      <c r="I39" s="1565">
        <v>1077</v>
      </c>
      <c r="J39" s="1565">
        <v>0</v>
      </c>
      <c r="K39" s="1661">
        <f t="shared" si="2"/>
        <v>1320993</v>
      </c>
      <c r="L39" s="1564">
        <v>1359500</v>
      </c>
    </row>
    <row r="40" spans="1:14" x14ac:dyDescent="0.2">
      <c r="A40" s="1266" t="s">
        <v>198</v>
      </c>
      <c r="B40" s="503">
        <v>2150</v>
      </c>
      <c r="C40" s="1564">
        <v>2264586</v>
      </c>
      <c r="D40" s="1564">
        <v>438038</v>
      </c>
      <c r="E40" s="1564">
        <v>550353</v>
      </c>
      <c r="F40" s="1564">
        <v>13716</v>
      </c>
      <c r="G40" s="1564">
        <v>3784</v>
      </c>
      <c r="H40" s="1564">
        <v>5735</v>
      </c>
      <c r="I40" s="1565">
        <v>3706</v>
      </c>
      <c r="J40" s="1565">
        <v>0</v>
      </c>
      <c r="K40" s="1661">
        <f t="shared" si="2"/>
        <v>3279918</v>
      </c>
      <c r="L40" s="1564">
        <v>3195950</v>
      </c>
    </row>
    <row r="41" spans="1:14" x14ac:dyDescent="0.2">
      <c r="A41" s="1266" t="s">
        <v>1647</v>
      </c>
      <c r="B41" s="503">
        <v>2190</v>
      </c>
      <c r="C41" s="1564">
        <v>0</v>
      </c>
      <c r="D41" s="1564">
        <v>0</v>
      </c>
      <c r="E41" s="1564">
        <v>156097</v>
      </c>
      <c r="F41" s="1564">
        <v>0</v>
      </c>
      <c r="G41" s="1564">
        <v>0</v>
      </c>
      <c r="H41" s="1564">
        <v>0</v>
      </c>
      <c r="I41" s="1565">
        <v>0</v>
      </c>
      <c r="J41" s="1565">
        <v>0</v>
      </c>
      <c r="K41" s="1661">
        <f t="shared" si="2"/>
        <v>156097</v>
      </c>
      <c r="L41" s="1564">
        <v>0</v>
      </c>
    </row>
    <row r="42" spans="1:14" ht="12.75" customHeight="1" thickBot="1" x14ac:dyDescent="0.25">
      <c r="A42" s="1372" t="s">
        <v>556</v>
      </c>
      <c r="B42" s="1373" t="s">
        <v>710</v>
      </c>
      <c r="C42" s="1663">
        <f>SUM(C36:C41)</f>
        <v>10007733</v>
      </c>
      <c r="D42" s="1663">
        <f t="shared" ref="D42:L42" si="3">SUM(D36:D41)</f>
        <v>1878967</v>
      </c>
      <c r="E42" s="1663">
        <f t="shared" si="3"/>
        <v>1178843</v>
      </c>
      <c r="F42" s="1663">
        <f t="shared" si="3"/>
        <v>82198</v>
      </c>
      <c r="G42" s="1663">
        <f t="shared" si="3"/>
        <v>6583</v>
      </c>
      <c r="H42" s="1663">
        <f t="shared" si="3"/>
        <v>6996</v>
      </c>
      <c r="I42" s="1663">
        <f t="shared" si="3"/>
        <v>19231</v>
      </c>
      <c r="J42" s="1663">
        <f t="shared" si="3"/>
        <v>0</v>
      </c>
      <c r="K42" s="1663">
        <f t="shared" si="3"/>
        <v>13180551</v>
      </c>
      <c r="L42" s="1663">
        <f t="shared" si="3"/>
        <v>13148650</v>
      </c>
    </row>
    <row r="43" spans="1:14" ht="15.75" customHeight="1" thickTop="1" x14ac:dyDescent="0.2">
      <c r="A43" s="509" t="s">
        <v>588</v>
      </c>
      <c r="B43" s="510"/>
      <c r="C43" s="1666"/>
      <c r="D43" s="1666"/>
      <c r="E43" s="1666"/>
      <c r="F43" s="1666"/>
      <c r="G43" s="1666"/>
      <c r="H43" s="1666"/>
      <c r="I43" s="1662"/>
      <c r="J43" s="1662"/>
      <c r="K43" s="1666"/>
      <c r="L43" s="1666"/>
    </row>
    <row r="44" spans="1:14" x14ac:dyDescent="0.2">
      <c r="A44" s="1266" t="s">
        <v>808</v>
      </c>
      <c r="B44" s="503">
        <v>2210</v>
      </c>
      <c r="C44" s="1576">
        <v>246356</v>
      </c>
      <c r="D44" s="1576">
        <v>115573</v>
      </c>
      <c r="E44" s="1576">
        <v>183375</v>
      </c>
      <c r="F44" s="1576">
        <v>11460</v>
      </c>
      <c r="G44" s="1576">
        <v>3250</v>
      </c>
      <c r="H44" s="1576">
        <v>0</v>
      </c>
      <c r="I44" s="1565">
        <v>0</v>
      </c>
      <c r="J44" s="1565">
        <v>0</v>
      </c>
      <c r="K44" s="1667">
        <f>SUM(C44:J44)</f>
        <v>560014</v>
      </c>
      <c r="L44" s="1576">
        <v>819450</v>
      </c>
    </row>
    <row r="45" spans="1:14" x14ac:dyDescent="0.2">
      <c r="A45" s="1266" t="s">
        <v>809</v>
      </c>
      <c r="B45" s="503">
        <v>2220</v>
      </c>
      <c r="C45" s="1564">
        <v>117729</v>
      </c>
      <c r="D45" s="1564">
        <v>26804</v>
      </c>
      <c r="E45" s="1564">
        <v>481249</v>
      </c>
      <c r="F45" s="1564">
        <v>134274</v>
      </c>
      <c r="G45" s="1564">
        <v>120673</v>
      </c>
      <c r="H45" s="1564">
        <v>0</v>
      </c>
      <c r="I45" s="1565">
        <v>132917</v>
      </c>
      <c r="J45" s="1565">
        <v>0</v>
      </c>
      <c r="K45" s="1667">
        <f>SUM(C45:J45)</f>
        <v>1013646</v>
      </c>
      <c r="L45" s="1564">
        <v>1013950</v>
      </c>
    </row>
    <row r="46" spans="1:14" x14ac:dyDescent="0.2">
      <c r="A46" s="1266" t="s">
        <v>810</v>
      </c>
      <c r="B46" s="503">
        <v>2230</v>
      </c>
      <c r="C46" s="1564">
        <v>0</v>
      </c>
      <c r="D46" s="1564">
        <v>0</v>
      </c>
      <c r="E46" s="1564">
        <v>0</v>
      </c>
      <c r="F46" s="1564">
        <v>0</v>
      </c>
      <c r="G46" s="1564">
        <v>0</v>
      </c>
      <c r="H46" s="1564">
        <v>0</v>
      </c>
      <c r="I46" s="1565">
        <v>0</v>
      </c>
      <c r="J46" s="1565">
        <v>0</v>
      </c>
      <c r="K46" s="1667">
        <f>SUM(C46:J46)</f>
        <v>0</v>
      </c>
      <c r="L46" s="1564">
        <v>0</v>
      </c>
    </row>
    <row r="47" spans="1:14" ht="12.75" customHeight="1" thickBot="1" x14ac:dyDescent="0.25">
      <c r="A47" s="1372" t="s">
        <v>557</v>
      </c>
      <c r="B47" s="1373" t="s">
        <v>32</v>
      </c>
      <c r="C47" s="1663">
        <f>SUM(C44:C46)</f>
        <v>364085</v>
      </c>
      <c r="D47" s="1663">
        <f t="shared" ref="D47:K47" si="4">SUM(D44:D46)</f>
        <v>142377</v>
      </c>
      <c r="E47" s="1663">
        <f t="shared" si="4"/>
        <v>664624</v>
      </c>
      <c r="F47" s="1663">
        <f t="shared" si="4"/>
        <v>145734</v>
      </c>
      <c r="G47" s="1663">
        <f t="shared" si="4"/>
        <v>123923</v>
      </c>
      <c r="H47" s="1663">
        <f t="shared" si="4"/>
        <v>0</v>
      </c>
      <c r="I47" s="1663">
        <f t="shared" si="4"/>
        <v>132917</v>
      </c>
      <c r="J47" s="1663">
        <f t="shared" si="4"/>
        <v>0</v>
      </c>
      <c r="K47" s="1663">
        <f t="shared" si="4"/>
        <v>1573660</v>
      </c>
      <c r="L47" s="1663">
        <f>SUM(L44:L46)</f>
        <v>1833400</v>
      </c>
    </row>
    <row r="48" spans="1:14" ht="15.75" customHeight="1" thickTop="1" x14ac:dyDescent="0.2">
      <c r="A48" s="509" t="s">
        <v>606</v>
      </c>
      <c r="B48" s="510"/>
      <c r="C48" s="1666"/>
      <c r="D48" s="1666"/>
      <c r="E48" s="1666"/>
      <c r="F48" s="1666"/>
      <c r="G48" s="1666"/>
      <c r="H48" s="1666"/>
      <c r="I48" s="1662"/>
      <c r="J48" s="1662"/>
      <c r="K48" s="1666"/>
      <c r="L48" s="1666"/>
    </row>
    <row r="49" spans="1:14" x14ac:dyDescent="0.2">
      <c r="A49" s="1266" t="s">
        <v>811</v>
      </c>
      <c r="B49" s="503">
        <v>2310</v>
      </c>
      <c r="C49" s="1576">
        <v>0</v>
      </c>
      <c r="D49" s="1576">
        <v>124436</v>
      </c>
      <c r="E49" s="1576">
        <v>628631</v>
      </c>
      <c r="F49" s="1576">
        <v>12231</v>
      </c>
      <c r="G49" s="1576">
        <v>0</v>
      </c>
      <c r="H49" s="1576">
        <v>0</v>
      </c>
      <c r="I49" s="1565">
        <v>0</v>
      </c>
      <c r="J49" s="1565">
        <v>0</v>
      </c>
      <c r="K49" s="1667">
        <f>SUM(C49:J49)</f>
        <v>765298</v>
      </c>
      <c r="L49" s="1576">
        <v>657950</v>
      </c>
    </row>
    <row r="50" spans="1:14" x14ac:dyDescent="0.2">
      <c r="A50" s="1266" t="s">
        <v>812</v>
      </c>
      <c r="B50" s="503">
        <v>2320</v>
      </c>
      <c r="C50" s="1564">
        <v>877789</v>
      </c>
      <c r="D50" s="1564">
        <v>315903</v>
      </c>
      <c r="E50" s="1564">
        <v>66069</v>
      </c>
      <c r="F50" s="1564">
        <v>21990</v>
      </c>
      <c r="G50" s="1564">
        <v>0</v>
      </c>
      <c r="H50" s="1564">
        <v>6872</v>
      </c>
      <c r="I50" s="1565">
        <v>1609</v>
      </c>
      <c r="J50" s="1565">
        <v>0</v>
      </c>
      <c r="K50" s="1667">
        <f>SUM(C50:J50)</f>
        <v>1290232</v>
      </c>
      <c r="L50" s="1564">
        <v>1277300</v>
      </c>
    </row>
    <row r="51" spans="1:14" x14ac:dyDescent="0.2">
      <c r="A51" s="1266" t="s">
        <v>42</v>
      </c>
      <c r="B51" s="503">
        <v>2330</v>
      </c>
      <c r="C51" s="1564">
        <v>0</v>
      </c>
      <c r="D51" s="1564">
        <v>0</v>
      </c>
      <c r="E51" s="1564">
        <v>0</v>
      </c>
      <c r="F51" s="1564">
        <v>0</v>
      </c>
      <c r="G51" s="1564">
        <v>0</v>
      </c>
      <c r="H51" s="1564">
        <v>0</v>
      </c>
      <c r="I51" s="1565">
        <v>0</v>
      </c>
      <c r="J51" s="1565">
        <v>0</v>
      </c>
      <c r="K51" s="1667">
        <f>SUM(C51:J51)</f>
        <v>0</v>
      </c>
      <c r="L51" s="1564">
        <v>0</v>
      </c>
    </row>
    <row r="52" spans="1:14" ht="22.5" x14ac:dyDescent="0.2">
      <c r="A52" s="1267" t="s">
        <v>295</v>
      </c>
      <c r="B52" s="511" t="s">
        <v>363</v>
      </c>
      <c r="C52" s="1570">
        <v>0</v>
      </c>
      <c r="D52" s="1570">
        <v>0</v>
      </c>
      <c r="E52" s="1570">
        <v>0</v>
      </c>
      <c r="F52" s="1570">
        <v>0</v>
      </c>
      <c r="G52" s="1570">
        <v>0</v>
      </c>
      <c r="H52" s="1570">
        <v>0</v>
      </c>
      <c r="I52" s="1570">
        <v>0</v>
      </c>
      <c r="J52" s="1570">
        <v>0</v>
      </c>
      <c r="K52" s="1667">
        <f>SUM(C52:J52)</f>
        <v>0</v>
      </c>
      <c r="L52" s="1570">
        <v>0</v>
      </c>
    </row>
    <row r="53" spans="1:14" ht="12.75" customHeight="1" thickBot="1" x14ac:dyDescent="0.25">
      <c r="A53" s="1372" t="s">
        <v>711</v>
      </c>
      <c r="B53" s="1373" t="s">
        <v>33</v>
      </c>
      <c r="C53" s="1663">
        <f>SUM(C49:C52)</f>
        <v>877789</v>
      </c>
      <c r="D53" s="1663">
        <f t="shared" ref="D53:L53" si="5">SUM(D49:D52)</f>
        <v>440339</v>
      </c>
      <c r="E53" s="1663">
        <f t="shared" si="5"/>
        <v>694700</v>
      </c>
      <c r="F53" s="1663">
        <f t="shared" si="5"/>
        <v>34221</v>
      </c>
      <c r="G53" s="1663">
        <f t="shared" si="5"/>
        <v>0</v>
      </c>
      <c r="H53" s="1663">
        <f t="shared" si="5"/>
        <v>6872</v>
      </c>
      <c r="I53" s="1663">
        <f t="shared" si="5"/>
        <v>1609</v>
      </c>
      <c r="J53" s="1663">
        <f t="shared" si="5"/>
        <v>0</v>
      </c>
      <c r="K53" s="1663">
        <f t="shared" si="5"/>
        <v>2055530</v>
      </c>
      <c r="L53" s="1663">
        <f t="shared" si="5"/>
        <v>1935250</v>
      </c>
    </row>
    <row r="54" spans="1:14" ht="15.75" customHeight="1" thickTop="1" x14ac:dyDescent="0.2">
      <c r="A54" s="509" t="s">
        <v>607</v>
      </c>
      <c r="B54" s="510"/>
      <c r="C54" s="1666"/>
      <c r="D54" s="1666"/>
      <c r="E54" s="1666"/>
      <c r="F54" s="1666"/>
      <c r="G54" s="1666"/>
      <c r="H54" s="1666"/>
      <c r="I54" s="1662"/>
      <c r="J54" s="1662"/>
      <c r="K54" s="1666"/>
      <c r="L54" s="1666"/>
    </row>
    <row r="55" spans="1:14" x14ac:dyDescent="0.2">
      <c r="A55" s="1266" t="s">
        <v>1057</v>
      </c>
      <c r="B55" s="503">
        <v>2410</v>
      </c>
      <c r="C55" s="1576">
        <v>2005504</v>
      </c>
      <c r="D55" s="1576">
        <v>543263</v>
      </c>
      <c r="E55" s="1576">
        <v>7685</v>
      </c>
      <c r="F55" s="1576">
        <v>2518</v>
      </c>
      <c r="G55" s="1576">
        <v>0</v>
      </c>
      <c r="H55" s="1576">
        <v>1904</v>
      </c>
      <c r="I55" s="1565">
        <v>0</v>
      </c>
      <c r="J55" s="1565">
        <v>0</v>
      </c>
      <c r="K55" s="1667">
        <f>SUM(C55:J55)</f>
        <v>2560874</v>
      </c>
      <c r="L55" s="1576">
        <v>2599000</v>
      </c>
    </row>
    <row r="56" spans="1:14" ht="12.75" customHeight="1" x14ac:dyDescent="0.2">
      <c r="A56" s="1270" t="s">
        <v>373</v>
      </c>
      <c r="B56" s="512">
        <v>2490</v>
      </c>
      <c r="C56" s="1564">
        <v>56657</v>
      </c>
      <c r="D56" s="1564">
        <v>12750</v>
      </c>
      <c r="E56" s="1564">
        <v>322</v>
      </c>
      <c r="F56" s="1564">
        <v>9</v>
      </c>
      <c r="G56" s="1564">
        <v>0</v>
      </c>
      <c r="H56" s="1564">
        <v>0</v>
      </c>
      <c r="I56" s="1565">
        <v>0</v>
      </c>
      <c r="J56" s="1565">
        <v>0</v>
      </c>
      <c r="K56" s="1667">
        <f>SUM(C56:J56)</f>
        <v>69738</v>
      </c>
      <c r="L56" s="1564">
        <v>70750</v>
      </c>
    </row>
    <row r="57" spans="1:14" s="321" customFormat="1" ht="12.75" customHeight="1" thickBot="1" x14ac:dyDescent="0.25">
      <c r="A57" s="1372" t="s">
        <v>261</v>
      </c>
      <c r="B57" s="1374" t="s">
        <v>34</v>
      </c>
      <c r="C57" s="1668">
        <f>SUM(C55:C56)</f>
        <v>2062161</v>
      </c>
      <c r="D57" s="1668">
        <f t="shared" ref="D57:K57" si="6">SUM(D55:D56)</f>
        <v>556013</v>
      </c>
      <c r="E57" s="1668">
        <f t="shared" si="6"/>
        <v>8007</v>
      </c>
      <c r="F57" s="1668">
        <f t="shared" si="6"/>
        <v>2527</v>
      </c>
      <c r="G57" s="1668">
        <f t="shared" si="6"/>
        <v>0</v>
      </c>
      <c r="H57" s="1668">
        <f t="shared" si="6"/>
        <v>1904</v>
      </c>
      <c r="I57" s="1668">
        <f t="shared" si="6"/>
        <v>0</v>
      </c>
      <c r="J57" s="1668">
        <f t="shared" si="6"/>
        <v>0</v>
      </c>
      <c r="K57" s="1668">
        <f t="shared" si="6"/>
        <v>2630612</v>
      </c>
      <c r="L57" s="1663">
        <f>SUM(L55:L56)</f>
        <v>2669750</v>
      </c>
      <c r="M57" s="501"/>
      <c r="N57" s="501"/>
    </row>
    <row r="58" spans="1:14" s="321" customFormat="1" ht="15.75" customHeight="1" thickTop="1" x14ac:dyDescent="0.2">
      <c r="A58" s="509" t="s">
        <v>608</v>
      </c>
      <c r="B58" s="510"/>
      <c r="C58" s="1669"/>
      <c r="D58" s="1666"/>
      <c r="E58" s="1666"/>
      <c r="F58" s="1666"/>
      <c r="G58" s="1666"/>
      <c r="H58" s="1666"/>
      <c r="I58" s="1662"/>
      <c r="J58" s="1662"/>
      <c r="K58" s="1666"/>
      <c r="L58" s="1666"/>
      <c r="M58" s="501"/>
      <c r="N58" s="501"/>
    </row>
    <row r="59" spans="1:14" s="321" customFormat="1" x14ac:dyDescent="0.2">
      <c r="A59" s="1266" t="s">
        <v>1058</v>
      </c>
      <c r="B59" s="503">
        <v>2510</v>
      </c>
      <c r="C59" s="1576">
        <v>157672</v>
      </c>
      <c r="D59" s="1576">
        <v>35654</v>
      </c>
      <c r="E59" s="1576">
        <v>64289</v>
      </c>
      <c r="F59" s="1576">
        <v>1023</v>
      </c>
      <c r="G59" s="1576">
        <v>0</v>
      </c>
      <c r="H59" s="1576">
        <v>1170</v>
      </c>
      <c r="I59" s="1565">
        <v>0</v>
      </c>
      <c r="J59" s="1565">
        <v>0</v>
      </c>
      <c r="K59" s="1667">
        <f t="shared" ref="K59:K64" si="7">SUM(C59:J59)</f>
        <v>259808</v>
      </c>
      <c r="L59" s="1576">
        <v>299800</v>
      </c>
      <c r="M59" s="501"/>
      <c r="N59" s="501"/>
    </row>
    <row r="60" spans="1:14" s="321" customFormat="1" x14ac:dyDescent="0.2">
      <c r="A60" s="1266" t="s">
        <v>460</v>
      </c>
      <c r="B60" s="503">
        <v>2520</v>
      </c>
      <c r="C60" s="1564">
        <v>348483</v>
      </c>
      <c r="D60" s="1564">
        <v>90217</v>
      </c>
      <c r="E60" s="1564">
        <v>15945</v>
      </c>
      <c r="F60" s="1564">
        <v>5908</v>
      </c>
      <c r="G60" s="1564">
        <v>0</v>
      </c>
      <c r="H60" s="1564">
        <v>175</v>
      </c>
      <c r="I60" s="1565">
        <v>0</v>
      </c>
      <c r="J60" s="1565">
        <v>0</v>
      </c>
      <c r="K60" s="1667">
        <f t="shared" si="7"/>
        <v>460728</v>
      </c>
      <c r="L60" s="1564">
        <v>502000</v>
      </c>
      <c r="M60" s="501"/>
      <c r="N60" s="501"/>
    </row>
    <row r="61" spans="1:14" s="321" customFormat="1" x14ac:dyDescent="0.2">
      <c r="A61" s="1266" t="s">
        <v>195</v>
      </c>
      <c r="B61" s="503">
        <v>2540</v>
      </c>
      <c r="C61" s="1564">
        <v>0</v>
      </c>
      <c r="D61" s="1564">
        <v>0</v>
      </c>
      <c r="E61" s="1564">
        <v>0</v>
      </c>
      <c r="F61" s="1564">
        <v>0</v>
      </c>
      <c r="G61" s="1564">
        <v>0</v>
      </c>
      <c r="H61" s="1564">
        <v>0</v>
      </c>
      <c r="I61" s="1565">
        <v>0</v>
      </c>
      <c r="J61" s="1565">
        <v>0</v>
      </c>
      <c r="K61" s="1667">
        <f t="shared" si="7"/>
        <v>0</v>
      </c>
      <c r="L61" s="1564">
        <v>0</v>
      </c>
      <c r="M61" s="501"/>
      <c r="N61" s="501"/>
    </row>
    <row r="62" spans="1:14" s="321" customFormat="1" x14ac:dyDescent="0.2">
      <c r="A62" s="1266" t="s">
        <v>946</v>
      </c>
      <c r="B62" s="503">
        <v>2550</v>
      </c>
      <c r="C62" s="1564">
        <v>0</v>
      </c>
      <c r="D62" s="1564">
        <v>0</v>
      </c>
      <c r="E62" s="1564">
        <v>0</v>
      </c>
      <c r="F62" s="1564">
        <v>0</v>
      </c>
      <c r="G62" s="1564">
        <v>0</v>
      </c>
      <c r="H62" s="1564">
        <v>0</v>
      </c>
      <c r="I62" s="1565">
        <v>0</v>
      </c>
      <c r="J62" s="1565">
        <v>0</v>
      </c>
      <c r="K62" s="1667">
        <f t="shared" si="7"/>
        <v>0</v>
      </c>
      <c r="L62" s="1564">
        <v>0</v>
      </c>
      <c r="M62" s="501"/>
      <c r="N62" s="501"/>
    </row>
    <row r="63" spans="1:14" s="501" customFormat="1" x14ac:dyDescent="0.2">
      <c r="A63" s="1266" t="s">
        <v>100</v>
      </c>
      <c r="B63" s="503">
        <v>2560</v>
      </c>
      <c r="C63" s="1564">
        <v>0</v>
      </c>
      <c r="D63" s="1564">
        <v>0</v>
      </c>
      <c r="E63" s="1564">
        <v>177536</v>
      </c>
      <c r="F63" s="1564">
        <v>94</v>
      </c>
      <c r="G63" s="1564">
        <v>0</v>
      </c>
      <c r="H63" s="1564">
        <v>0</v>
      </c>
      <c r="I63" s="1565">
        <v>0</v>
      </c>
      <c r="J63" s="1565">
        <v>0</v>
      </c>
      <c r="K63" s="1667">
        <f t="shared" si="7"/>
        <v>177630</v>
      </c>
      <c r="L63" s="1564">
        <v>235000</v>
      </c>
    </row>
    <row r="64" spans="1:14" s="501" customFormat="1" x14ac:dyDescent="0.2">
      <c r="A64" s="1271" t="s">
        <v>101</v>
      </c>
      <c r="B64" s="513">
        <v>2570</v>
      </c>
      <c r="C64" s="1576">
        <v>0</v>
      </c>
      <c r="D64" s="1576">
        <v>0</v>
      </c>
      <c r="E64" s="1576">
        <v>0</v>
      </c>
      <c r="F64" s="1576">
        <v>0</v>
      </c>
      <c r="G64" s="1576">
        <v>0</v>
      </c>
      <c r="H64" s="1576">
        <v>0</v>
      </c>
      <c r="I64" s="1565">
        <v>0</v>
      </c>
      <c r="J64" s="1565">
        <v>0</v>
      </c>
      <c r="K64" s="1667">
        <f t="shared" si="7"/>
        <v>0</v>
      </c>
      <c r="L64" s="1576">
        <v>0</v>
      </c>
    </row>
    <row r="65" spans="1:14" s="321" customFormat="1" ht="12.75" customHeight="1" thickBot="1" x14ac:dyDescent="0.25">
      <c r="A65" s="1372" t="s">
        <v>713</v>
      </c>
      <c r="B65" s="1373" t="s">
        <v>35</v>
      </c>
      <c r="C65" s="1663">
        <f>SUM(C59:C64)</f>
        <v>506155</v>
      </c>
      <c r="D65" s="1663">
        <f t="shared" ref="D65:L65" si="8">SUM(D59:D64)</f>
        <v>125871</v>
      </c>
      <c r="E65" s="1663">
        <f t="shared" si="8"/>
        <v>257770</v>
      </c>
      <c r="F65" s="1663">
        <f t="shared" si="8"/>
        <v>7025</v>
      </c>
      <c r="G65" s="1663">
        <f t="shared" si="8"/>
        <v>0</v>
      </c>
      <c r="H65" s="1663">
        <f t="shared" si="8"/>
        <v>1345</v>
      </c>
      <c r="I65" s="1663">
        <f t="shared" si="8"/>
        <v>0</v>
      </c>
      <c r="J65" s="1663">
        <f t="shared" si="8"/>
        <v>0</v>
      </c>
      <c r="K65" s="1663">
        <f t="shared" si="8"/>
        <v>898166</v>
      </c>
      <c r="L65" s="1663">
        <f t="shared" si="8"/>
        <v>1036800</v>
      </c>
      <c r="M65" s="501"/>
      <c r="N65" s="501"/>
    </row>
    <row r="66" spans="1:14" s="321" customFormat="1" ht="15.75" customHeight="1" thickTop="1" x14ac:dyDescent="0.2">
      <c r="A66" s="509" t="s">
        <v>609</v>
      </c>
      <c r="B66" s="514"/>
      <c r="C66" s="1662"/>
      <c r="D66" s="1662"/>
      <c r="E66" s="1662"/>
      <c r="F66" s="1662"/>
      <c r="G66" s="1662"/>
      <c r="H66" s="1662"/>
      <c r="I66" s="1662"/>
      <c r="J66" s="1662"/>
      <c r="K66" s="1666"/>
      <c r="L66" s="1666"/>
      <c r="M66" s="501"/>
      <c r="N66" s="501"/>
    </row>
    <row r="67" spans="1:14" s="321" customFormat="1" x14ac:dyDescent="0.2">
      <c r="A67" s="1266" t="s">
        <v>1050</v>
      </c>
      <c r="B67" s="503">
        <v>2610</v>
      </c>
      <c r="C67" s="1564">
        <v>0</v>
      </c>
      <c r="D67" s="1564">
        <v>0</v>
      </c>
      <c r="E67" s="1564">
        <v>0</v>
      </c>
      <c r="F67" s="1564">
        <v>0</v>
      </c>
      <c r="G67" s="1564">
        <v>0</v>
      </c>
      <c r="H67" s="1564">
        <v>0</v>
      </c>
      <c r="I67" s="1565">
        <v>0</v>
      </c>
      <c r="J67" s="1565">
        <v>0</v>
      </c>
      <c r="K67" s="1667">
        <f>SUM(C67:J67)</f>
        <v>0</v>
      </c>
      <c r="L67" s="1576">
        <v>0</v>
      </c>
      <c r="M67" s="501"/>
      <c r="N67" s="501"/>
    </row>
    <row r="68" spans="1:14" s="321" customFormat="1" x14ac:dyDescent="0.2">
      <c r="A68" s="1266" t="s">
        <v>603</v>
      </c>
      <c r="B68" s="503">
        <v>2620</v>
      </c>
      <c r="C68" s="1564">
        <v>0</v>
      </c>
      <c r="D68" s="1564">
        <v>0</v>
      </c>
      <c r="E68" s="1564">
        <v>0</v>
      </c>
      <c r="F68" s="1564">
        <v>0</v>
      </c>
      <c r="G68" s="1564">
        <v>0</v>
      </c>
      <c r="H68" s="1564">
        <v>0</v>
      </c>
      <c r="I68" s="1565">
        <v>0</v>
      </c>
      <c r="J68" s="1565">
        <v>0</v>
      </c>
      <c r="K68" s="1667">
        <f>SUM(C68:J68)</f>
        <v>0</v>
      </c>
      <c r="L68" s="1564">
        <v>0</v>
      </c>
      <c r="M68" s="501"/>
      <c r="N68" s="501"/>
    </row>
    <row r="69" spans="1:14" s="321" customFormat="1" x14ac:dyDescent="0.2">
      <c r="A69" s="1266" t="s">
        <v>1051</v>
      </c>
      <c r="B69" s="503">
        <v>2630</v>
      </c>
      <c r="C69" s="1564">
        <v>0</v>
      </c>
      <c r="D69" s="1564">
        <v>0</v>
      </c>
      <c r="E69" s="1564">
        <v>0</v>
      </c>
      <c r="F69" s="1564">
        <v>0</v>
      </c>
      <c r="G69" s="1564">
        <v>0</v>
      </c>
      <c r="H69" s="1564">
        <v>0</v>
      </c>
      <c r="I69" s="1565">
        <v>0</v>
      </c>
      <c r="J69" s="1565">
        <v>0</v>
      </c>
      <c r="K69" s="1667">
        <f>SUM(C69:J69)</f>
        <v>0</v>
      </c>
      <c r="L69" s="1564">
        <v>0</v>
      </c>
      <c r="M69" s="501"/>
      <c r="N69" s="501"/>
    </row>
    <row r="70" spans="1:14" s="321" customFormat="1" x14ac:dyDescent="0.2">
      <c r="A70" s="1266" t="s">
        <v>400</v>
      </c>
      <c r="B70" s="503">
        <v>2640</v>
      </c>
      <c r="C70" s="1564">
        <v>0</v>
      </c>
      <c r="D70" s="1564">
        <v>0</v>
      </c>
      <c r="E70" s="1564">
        <v>0</v>
      </c>
      <c r="F70" s="1564">
        <v>0</v>
      </c>
      <c r="G70" s="1564">
        <v>0</v>
      </c>
      <c r="H70" s="1564">
        <v>0</v>
      </c>
      <c r="I70" s="1565">
        <v>0</v>
      </c>
      <c r="J70" s="1565">
        <v>0</v>
      </c>
      <c r="K70" s="1667">
        <f>SUM(C70:J70)</f>
        <v>0</v>
      </c>
      <c r="L70" s="1564">
        <v>0</v>
      </c>
      <c r="M70" s="501"/>
      <c r="N70" s="501"/>
    </row>
    <row r="71" spans="1:14" s="321" customFormat="1" x14ac:dyDescent="0.2">
      <c r="A71" s="1266" t="s">
        <v>401</v>
      </c>
      <c r="B71" s="503">
        <v>2660</v>
      </c>
      <c r="C71" s="1564">
        <v>67355</v>
      </c>
      <c r="D71" s="1564">
        <v>19776</v>
      </c>
      <c r="E71" s="1564">
        <v>0</v>
      </c>
      <c r="F71" s="1564">
        <v>0</v>
      </c>
      <c r="G71" s="1564">
        <v>0</v>
      </c>
      <c r="H71" s="1564">
        <v>0</v>
      </c>
      <c r="I71" s="1565">
        <v>0</v>
      </c>
      <c r="J71" s="1565">
        <v>0</v>
      </c>
      <c r="K71" s="1667">
        <f>SUM(C71:J71)</f>
        <v>87131</v>
      </c>
      <c r="L71" s="1564">
        <v>89100</v>
      </c>
      <c r="M71" s="501"/>
      <c r="N71" s="501"/>
    </row>
    <row r="72" spans="1:14" s="321" customFormat="1" ht="12.75" customHeight="1" thickBot="1" x14ac:dyDescent="0.25">
      <c r="A72" s="1372" t="s">
        <v>37</v>
      </c>
      <c r="B72" s="1375" t="s">
        <v>36</v>
      </c>
      <c r="C72" s="1663">
        <f>SUM(C67:C71)</f>
        <v>67355</v>
      </c>
      <c r="D72" s="1663">
        <f t="shared" ref="D72:K72" si="9">SUM(D67:D71)</f>
        <v>19776</v>
      </c>
      <c r="E72" s="1663">
        <f t="shared" si="9"/>
        <v>0</v>
      </c>
      <c r="F72" s="1663">
        <f t="shared" si="9"/>
        <v>0</v>
      </c>
      <c r="G72" s="1663">
        <f t="shared" si="9"/>
        <v>0</v>
      </c>
      <c r="H72" s="1663">
        <f t="shared" si="9"/>
        <v>0</v>
      </c>
      <c r="I72" s="1663">
        <f t="shared" si="9"/>
        <v>0</v>
      </c>
      <c r="J72" s="1663">
        <f t="shared" si="9"/>
        <v>0</v>
      </c>
      <c r="K72" s="1663">
        <f t="shared" si="9"/>
        <v>87131</v>
      </c>
      <c r="L72" s="1663">
        <f>SUM(L67:L71)</f>
        <v>89100</v>
      </c>
      <c r="M72" s="501"/>
      <c r="N72" s="501"/>
    </row>
    <row r="73" spans="1:14" s="321" customFormat="1" ht="14.25" thickTop="1" thickBot="1" x14ac:dyDescent="0.25">
      <c r="A73" s="1272" t="s">
        <v>972</v>
      </c>
      <c r="B73" s="515" t="s">
        <v>570</v>
      </c>
      <c r="C73" s="1638">
        <v>0</v>
      </c>
      <c r="D73" s="1638">
        <v>0</v>
      </c>
      <c r="E73" s="1638">
        <v>0</v>
      </c>
      <c r="F73" s="1638">
        <v>0</v>
      </c>
      <c r="G73" s="1638">
        <v>0</v>
      </c>
      <c r="H73" s="1638">
        <v>0</v>
      </c>
      <c r="I73" s="1616">
        <v>0</v>
      </c>
      <c r="J73" s="1616">
        <v>0</v>
      </c>
      <c r="K73" s="1663">
        <f>SUM(C73:J73)</f>
        <v>0</v>
      </c>
      <c r="L73" s="1640">
        <v>0</v>
      </c>
      <c r="M73" s="501"/>
      <c r="N73" s="501"/>
    </row>
    <row r="74" spans="1:14" ht="12.75" customHeight="1" thickTop="1" thickBot="1" x14ac:dyDescent="0.25">
      <c r="A74" s="1372" t="s">
        <v>805</v>
      </c>
      <c r="B74" s="1376">
        <v>2000</v>
      </c>
      <c r="C74" s="1670">
        <f>SUM(C42,C47,C53,C57,C65,C72,C73)</f>
        <v>13885278</v>
      </c>
      <c r="D74" s="1670">
        <f t="shared" ref="D74:K74" si="10">SUM(D42,D47,D53,D57,D65,D72,D73)</f>
        <v>3163343</v>
      </c>
      <c r="E74" s="1670">
        <f t="shared" si="10"/>
        <v>2803944</v>
      </c>
      <c r="F74" s="1670">
        <f t="shared" si="10"/>
        <v>271705</v>
      </c>
      <c r="G74" s="1670">
        <f t="shared" si="10"/>
        <v>130506</v>
      </c>
      <c r="H74" s="1670">
        <f t="shared" si="10"/>
        <v>17117</v>
      </c>
      <c r="I74" s="1670">
        <f t="shared" si="10"/>
        <v>153757</v>
      </c>
      <c r="J74" s="1670">
        <f t="shared" si="10"/>
        <v>0</v>
      </c>
      <c r="K74" s="1670">
        <f t="shared" si="10"/>
        <v>20425650</v>
      </c>
      <c r="L74" s="1670">
        <f>SUM(L42,L47,L53,L57,L65,L72,L73)</f>
        <v>20712950</v>
      </c>
    </row>
    <row r="75" spans="1:14" s="254" customFormat="1" ht="15.75" customHeight="1" thickTop="1" thickBot="1" x14ac:dyDescent="0.25">
      <c r="A75" s="1340" t="s">
        <v>47</v>
      </c>
      <c r="B75" s="1341" t="s">
        <v>571</v>
      </c>
      <c r="C75" s="1638">
        <v>0</v>
      </c>
      <c r="D75" s="1638">
        <v>0</v>
      </c>
      <c r="E75" s="1638">
        <v>451</v>
      </c>
      <c r="F75" s="1638">
        <v>0</v>
      </c>
      <c r="G75" s="1638">
        <v>0</v>
      </c>
      <c r="H75" s="1638">
        <v>0</v>
      </c>
      <c r="I75" s="1616">
        <v>0</v>
      </c>
      <c r="J75" s="1616">
        <v>0</v>
      </c>
      <c r="K75" s="1663">
        <f>SUM(C75:J75)</f>
        <v>451</v>
      </c>
      <c r="L75" s="1640">
        <v>40000</v>
      </c>
      <c r="M75" s="502"/>
      <c r="N75" s="502"/>
    </row>
    <row r="76" spans="1:14" s="516" customFormat="1" ht="15.75" customHeight="1" thickTop="1" x14ac:dyDescent="0.2">
      <c r="A76" s="1342" t="s">
        <v>362</v>
      </c>
      <c r="B76" s="1339" t="s">
        <v>854</v>
      </c>
      <c r="C76" s="1664"/>
      <c r="D76" s="1664"/>
      <c r="E76" s="1662"/>
      <c r="F76" s="1664"/>
      <c r="G76" s="1664"/>
      <c r="H76" s="1662"/>
      <c r="I76" s="1662"/>
      <c r="J76" s="1662"/>
      <c r="K76" s="1662"/>
      <c r="L76" s="1662"/>
      <c r="M76" s="179"/>
      <c r="N76" s="179"/>
    </row>
    <row r="77" spans="1:14" s="254" customFormat="1" ht="15.75" customHeight="1" x14ac:dyDescent="0.2">
      <c r="A77" s="507" t="s">
        <v>610</v>
      </c>
      <c r="B77" s="508"/>
      <c r="C77" s="1662"/>
      <c r="D77" s="1662"/>
      <c r="E77" s="1665"/>
      <c r="F77" s="1662"/>
      <c r="G77" s="1662"/>
      <c r="H77" s="1665"/>
      <c r="I77" s="1662"/>
      <c r="J77" s="1662"/>
      <c r="K77" s="1665"/>
      <c r="L77" s="1665"/>
      <c r="M77" s="502"/>
      <c r="N77" s="502"/>
    </row>
    <row r="78" spans="1:14" x14ac:dyDescent="0.2">
      <c r="A78" s="1266" t="s">
        <v>493</v>
      </c>
      <c r="B78" s="503">
        <v>4110</v>
      </c>
      <c r="C78" s="1662"/>
      <c r="D78" s="1662"/>
      <c r="E78" s="1576">
        <v>0</v>
      </c>
      <c r="F78" s="1662"/>
      <c r="G78" s="1662"/>
      <c r="H78" s="1671">
        <v>0</v>
      </c>
      <c r="I78" s="1572"/>
      <c r="J78" s="1572"/>
      <c r="K78" s="1661">
        <f t="shared" ref="K78:K83" si="11">SUM(C78:J78)</f>
        <v>0</v>
      </c>
      <c r="L78" s="1576">
        <v>0</v>
      </c>
    </row>
    <row r="79" spans="1:14" x14ac:dyDescent="0.2">
      <c r="A79" s="1266" t="s">
        <v>301</v>
      </c>
      <c r="B79" s="503">
        <v>4120</v>
      </c>
      <c r="C79" s="1662"/>
      <c r="D79" s="1662"/>
      <c r="E79" s="1564">
        <v>169059</v>
      </c>
      <c r="F79" s="1662"/>
      <c r="G79" s="1662"/>
      <c r="H79" s="1564">
        <v>10619525</v>
      </c>
      <c r="I79" s="1572"/>
      <c r="J79" s="1572"/>
      <c r="K79" s="1661">
        <f t="shared" si="11"/>
        <v>10788584</v>
      </c>
      <c r="L79" s="1564">
        <v>12640000</v>
      </c>
    </row>
    <row r="80" spans="1:14" x14ac:dyDescent="0.2">
      <c r="A80" s="1266" t="s">
        <v>302</v>
      </c>
      <c r="B80" s="503">
        <v>4130</v>
      </c>
      <c r="C80" s="1662"/>
      <c r="D80" s="1662"/>
      <c r="E80" s="1564">
        <v>0</v>
      </c>
      <c r="F80" s="1662"/>
      <c r="G80" s="1662"/>
      <c r="H80" s="1564">
        <v>0</v>
      </c>
      <c r="I80" s="1572"/>
      <c r="J80" s="1572"/>
      <c r="K80" s="1661">
        <f t="shared" si="11"/>
        <v>0</v>
      </c>
      <c r="L80" s="1564">
        <v>0</v>
      </c>
    </row>
    <row r="81" spans="1:12" x14ac:dyDescent="0.2">
      <c r="A81" s="1266" t="s">
        <v>691</v>
      </c>
      <c r="B81" s="503">
        <v>4140</v>
      </c>
      <c r="C81" s="1662"/>
      <c r="D81" s="1662"/>
      <c r="E81" s="1564">
        <v>0</v>
      </c>
      <c r="F81" s="1662"/>
      <c r="G81" s="1662"/>
      <c r="H81" s="1564">
        <v>0</v>
      </c>
      <c r="I81" s="1572"/>
      <c r="J81" s="1572"/>
      <c r="K81" s="1661">
        <f t="shared" si="11"/>
        <v>0</v>
      </c>
      <c r="L81" s="1564">
        <v>0</v>
      </c>
    </row>
    <row r="82" spans="1:12" x14ac:dyDescent="0.2">
      <c r="A82" s="1266" t="s">
        <v>86</v>
      </c>
      <c r="B82" s="503">
        <v>4170</v>
      </c>
      <c r="C82" s="1662"/>
      <c r="D82" s="1662"/>
      <c r="E82" s="1564">
        <v>0</v>
      </c>
      <c r="F82" s="1662"/>
      <c r="G82" s="1662"/>
      <c r="H82" s="1564">
        <v>0</v>
      </c>
      <c r="I82" s="1572"/>
      <c r="J82" s="1572"/>
      <c r="K82" s="1661">
        <f t="shared" si="11"/>
        <v>0</v>
      </c>
      <c r="L82" s="1564">
        <v>0</v>
      </c>
    </row>
    <row r="83" spans="1:12" x14ac:dyDescent="0.2">
      <c r="A83" s="1270" t="s">
        <v>692</v>
      </c>
      <c r="B83" s="512">
        <v>4190</v>
      </c>
      <c r="C83" s="1662"/>
      <c r="D83" s="1662"/>
      <c r="E83" s="1564">
        <v>0</v>
      </c>
      <c r="F83" s="1662"/>
      <c r="G83" s="1662"/>
      <c r="H83" s="1564">
        <v>0</v>
      </c>
      <c r="I83" s="1572"/>
      <c r="J83" s="1572"/>
      <c r="K83" s="1661">
        <f t="shared" si="11"/>
        <v>0</v>
      </c>
      <c r="L83" s="1564">
        <v>0</v>
      </c>
    </row>
    <row r="84" spans="1:12" ht="13.5" thickBot="1" x14ac:dyDescent="0.25">
      <c r="A84" s="1372" t="s">
        <v>1465</v>
      </c>
      <c r="B84" s="1377">
        <v>4100</v>
      </c>
      <c r="C84" s="1662"/>
      <c r="D84" s="1662"/>
      <c r="E84" s="1663">
        <f>SUM(E78:E83)</f>
        <v>169059</v>
      </c>
      <c r="F84" s="1662"/>
      <c r="G84" s="1662"/>
      <c r="H84" s="1663">
        <f>SUM(H78:H83)</f>
        <v>10619525</v>
      </c>
      <c r="I84" s="1572"/>
      <c r="J84" s="1572"/>
      <c r="K84" s="1663">
        <f>SUM(K78:K83)</f>
        <v>10788584</v>
      </c>
      <c r="L84" s="1663">
        <f>SUM(L78:L83)</f>
        <v>12640000</v>
      </c>
    </row>
    <row r="85" spans="1:12" ht="12.75" customHeight="1" thickTop="1" thickBot="1" x14ac:dyDescent="0.25">
      <c r="A85" s="1273" t="s">
        <v>253</v>
      </c>
      <c r="B85" s="517">
        <v>4210</v>
      </c>
      <c r="C85" s="1662"/>
      <c r="D85" s="1662"/>
      <c r="E85" s="1672"/>
      <c r="F85" s="1662"/>
      <c r="G85" s="1662"/>
      <c r="H85" s="1619">
        <v>0</v>
      </c>
      <c r="I85" s="1572"/>
      <c r="J85" s="1572"/>
      <c r="K85" s="1670">
        <f>H85</f>
        <v>0</v>
      </c>
      <c r="L85" s="1615">
        <v>0</v>
      </c>
    </row>
    <row r="86" spans="1:12" ht="12.75" customHeight="1" thickTop="1" thickBot="1" x14ac:dyDescent="0.25">
      <c r="A86" s="1274" t="s">
        <v>693</v>
      </c>
      <c r="B86" s="518">
        <v>4220</v>
      </c>
      <c r="C86" s="1662"/>
      <c r="D86" s="1662"/>
      <c r="E86" s="1673"/>
      <c r="F86" s="1662"/>
      <c r="G86" s="1662"/>
      <c r="H86" s="1565">
        <v>0</v>
      </c>
      <c r="I86" s="1572"/>
      <c r="J86" s="1572"/>
      <c r="K86" s="1670">
        <f t="shared" ref="K86:K98" si="12">H86</f>
        <v>0</v>
      </c>
      <c r="L86" s="1615">
        <v>0</v>
      </c>
    </row>
    <row r="87" spans="1:12" ht="14.25" thickTop="1" thickBot="1" x14ac:dyDescent="0.25">
      <c r="A87" s="1275" t="s">
        <v>694</v>
      </c>
      <c r="B87" s="519">
        <v>4230</v>
      </c>
      <c r="C87" s="1662"/>
      <c r="D87" s="1662"/>
      <c r="E87" s="1673"/>
      <c r="F87" s="1662"/>
      <c r="G87" s="1662"/>
      <c r="H87" s="1565">
        <v>0</v>
      </c>
      <c r="I87" s="1572"/>
      <c r="J87" s="1572"/>
      <c r="K87" s="1670">
        <f t="shared" si="12"/>
        <v>0</v>
      </c>
      <c r="L87" s="1615">
        <v>0</v>
      </c>
    </row>
    <row r="88" spans="1:12" ht="12.75" customHeight="1" thickTop="1" thickBot="1" x14ac:dyDescent="0.25">
      <c r="A88" s="1275" t="s">
        <v>759</v>
      </c>
      <c r="B88" s="519">
        <v>4240</v>
      </c>
      <c r="C88" s="1662"/>
      <c r="D88" s="1662"/>
      <c r="E88" s="1673"/>
      <c r="F88" s="1662"/>
      <c r="G88" s="1662"/>
      <c r="H88" s="1565">
        <v>0</v>
      </c>
      <c r="I88" s="1572"/>
      <c r="J88" s="1572"/>
      <c r="K88" s="1670">
        <f t="shared" si="12"/>
        <v>0</v>
      </c>
      <c r="L88" s="1615">
        <v>0</v>
      </c>
    </row>
    <row r="89" spans="1:12" ht="12.75" customHeight="1" thickTop="1" thickBot="1" x14ac:dyDescent="0.25">
      <c r="A89" s="1275" t="s">
        <v>695</v>
      </c>
      <c r="B89" s="519">
        <v>4270</v>
      </c>
      <c r="C89" s="1662"/>
      <c r="D89" s="1662"/>
      <c r="E89" s="1673"/>
      <c r="F89" s="1662"/>
      <c r="G89" s="1662"/>
      <c r="H89" s="1565">
        <v>0</v>
      </c>
      <c r="I89" s="1572"/>
      <c r="J89" s="1572"/>
      <c r="K89" s="1670">
        <f t="shared" si="12"/>
        <v>0</v>
      </c>
      <c r="L89" s="1615">
        <v>0</v>
      </c>
    </row>
    <row r="90" spans="1:12" ht="12.75" customHeight="1" thickTop="1" thickBot="1" x14ac:dyDescent="0.25">
      <c r="A90" s="1275" t="s">
        <v>680</v>
      </c>
      <c r="B90" s="519">
        <v>4280</v>
      </c>
      <c r="C90" s="1662"/>
      <c r="D90" s="1662"/>
      <c r="E90" s="1673"/>
      <c r="F90" s="1662"/>
      <c r="G90" s="1662"/>
      <c r="H90" s="1565">
        <v>0</v>
      </c>
      <c r="I90" s="1572"/>
      <c r="J90" s="1572"/>
      <c r="K90" s="1670">
        <f t="shared" si="12"/>
        <v>0</v>
      </c>
      <c r="L90" s="1615">
        <v>0</v>
      </c>
    </row>
    <row r="91" spans="1:12" ht="12.75" customHeight="1" thickTop="1" thickBot="1" x14ac:dyDescent="0.25">
      <c r="A91" s="1275" t="s">
        <v>681</v>
      </c>
      <c r="B91" s="519">
        <v>4290</v>
      </c>
      <c r="C91" s="1662"/>
      <c r="D91" s="1662"/>
      <c r="E91" s="1673"/>
      <c r="F91" s="1662"/>
      <c r="G91" s="1662"/>
      <c r="H91" s="1565">
        <v>0</v>
      </c>
      <c r="I91" s="1572"/>
      <c r="J91" s="1572"/>
      <c r="K91" s="1670">
        <f t="shared" si="12"/>
        <v>0</v>
      </c>
      <c r="L91" s="1615">
        <v>0</v>
      </c>
    </row>
    <row r="92" spans="1:12" ht="14.25" thickTop="1" thickBot="1" x14ac:dyDescent="0.25">
      <c r="A92" s="1378" t="s">
        <v>1540</v>
      </c>
      <c r="B92" s="1377">
        <v>4200</v>
      </c>
      <c r="C92" s="1662"/>
      <c r="D92" s="1662"/>
      <c r="E92" s="1673"/>
      <c r="F92" s="1662"/>
      <c r="G92" s="1662"/>
      <c r="H92" s="1663">
        <f>SUM(H85:H91)</f>
        <v>0</v>
      </c>
      <c r="I92" s="1572"/>
      <c r="J92" s="1572"/>
      <c r="K92" s="1670">
        <f t="shared" si="12"/>
        <v>0</v>
      </c>
      <c r="L92" s="1663">
        <f>SUM(L85:L91)</f>
        <v>0</v>
      </c>
    </row>
    <row r="93" spans="1:12" ht="14.25" thickTop="1" thickBot="1" x14ac:dyDescent="0.25">
      <c r="A93" s="1274" t="s">
        <v>682</v>
      </c>
      <c r="B93" s="520">
        <v>4310</v>
      </c>
      <c r="C93" s="1662"/>
      <c r="D93" s="1662"/>
      <c r="E93" s="1673"/>
      <c r="F93" s="1662"/>
      <c r="G93" s="1662"/>
      <c r="H93" s="1674">
        <v>0</v>
      </c>
      <c r="I93" s="1572"/>
      <c r="J93" s="1572"/>
      <c r="K93" s="1670">
        <f t="shared" si="12"/>
        <v>0</v>
      </c>
      <c r="L93" s="1617">
        <v>0</v>
      </c>
    </row>
    <row r="94" spans="1:12" ht="12.75" customHeight="1" thickTop="1" thickBot="1" x14ac:dyDescent="0.25">
      <c r="A94" s="1275" t="s">
        <v>683</v>
      </c>
      <c r="B94" s="519">
        <v>4320</v>
      </c>
      <c r="C94" s="1662"/>
      <c r="D94" s="1662"/>
      <c r="E94" s="1673"/>
      <c r="F94" s="1662"/>
      <c r="G94" s="1662"/>
      <c r="H94" s="1565">
        <v>0</v>
      </c>
      <c r="I94" s="1572"/>
      <c r="J94" s="1572"/>
      <c r="K94" s="1670">
        <f t="shared" si="12"/>
        <v>0</v>
      </c>
      <c r="L94" s="1615">
        <v>0</v>
      </c>
    </row>
    <row r="95" spans="1:12" ht="15" customHeight="1" thickTop="1" thickBot="1" x14ac:dyDescent="0.25">
      <c r="A95" s="1275" t="s">
        <v>1468</v>
      </c>
      <c r="B95" s="519">
        <v>4330</v>
      </c>
      <c r="C95" s="1662"/>
      <c r="D95" s="1662"/>
      <c r="E95" s="1673"/>
      <c r="F95" s="1662"/>
      <c r="G95" s="1662"/>
      <c r="H95" s="1565">
        <v>0</v>
      </c>
      <c r="I95" s="1572"/>
      <c r="J95" s="1572"/>
      <c r="K95" s="1670">
        <f t="shared" si="12"/>
        <v>0</v>
      </c>
      <c r="L95" s="1615">
        <v>0</v>
      </c>
    </row>
    <row r="96" spans="1:12" ht="14.25" thickTop="1" thickBot="1" x14ac:dyDescent="0.25">
      <c r="A96" s="1275" t="s">
        <v>684</v>
      </c>
      <c r="B96" s="519">
        <v>4340</v>
      </c>
      <c r="C96" s="1662"/>
      <c r="D96" s="1662"/>
      <c r="E96" s="1673"/>
      <c r="F96" s="1662"/>
      <c r="G96" s="1662"/>
      <c r="H96" s="1565">
        <v>0</v>
      </c>
      <c r="I96" s="1572"/>
      <c r="J96" s="1572"/>
      <c r="K96" s="1670">
        <f t="shared" si="12"/>
        <v>0</v>
      </c>
      <c r="L96" s="1615">
        <v>0</v>
      </c>
    </row>
    <row r="97" spans="1:14" ht="12.75" customHeight="1" thickTop="1" thickBot="1" x14ac:dyDescent="0.25">
      <c r="A97" s="1275" t="s">
        <v>757</v>
      </c>
      <c r="B97" s="519">
        <v>4370</v>
      </c>
      <c r="C97" s="1662"/>
      <c r="D97" s="1662"/>
      <c r="E97" s="1673"/>
      <c r="F97" s="1662"/>
      <c r="G97" s="1662"/>
      <c r="H97" s="1565">
        <v>0</v>
      </c>
      <c r="I97" s="1572"/>
      <c r="J97" s="1572"/>
      <c r="K97" s="1670">
        <f t="shared" si="12"/>
        <v>0</v>
      </c>
      <c r="L97" s="1615">
        <v>0</v>
      </c>
    </row>
    <row r="98" spans="1:14" ht="14.25" thickTop="1" thickBot="1" x14ac:dyDescent="0.25">
      <c r="A98" s="1275" t="s">
        <v>758</v>
      </c>
      <c r="B98" s="519">
        <v>4380</v>
      </c>
      <c r="C98" s="1662"/>
      <c r="D98" s="1662"/>
      <c r="E98" s="1675"/>
      <c r="F98" s="1662"/>
      <c r="G98" s="1662"/>
      <c r="H98" s="1565">
        <v>0</v>
      </c>
      <c r="I98" s="1572"/>
      <c r="J98" s="1572"/>
      <c r="K98" s="1670">
        <f t="shared" si="12"/>
        <v>0</v>
      </c>
      <c r="L98" s="1615">
        <v>0</v>
      </c>
    </row>
    <row r="99" spans="1:14" ht="14.25" thickTop="1" thickBot="1" x14ac:dyDescent="0.25">
      <c r="A99" s="1275" t="s">
        <v>364</v>
      </c>
      <c r="B99" s="519">
        <v>4390</v>
      </c>
      <c r="C99" s="1662"/>
      <c r="D99" s="1662"/>
      <c r="E99" s="1617">
        <v>0</v>
      </c>
      <c r="F99" s="1662"/>
      <c r="G99" s="1662"/>
      <c r="H99" s="1565">
        <v>0</v>
      </c>
      <c r="I99" s="1572"/>
      <c r="J99" s="1572"/>
      <c r="K99" s="1670">
        <f>SUM(E99,H99)</f>
        <v>0</v>
      </c>
      <c r="L99" s="1615">
        <v>0</v>
      </c>
    </row>
    <row r="100" spans="1:14" ht="14.25" thickTop="1" thickBot="1" x14ac:dyDescent="0.25">
      <c r="A100" s="1378" t="s">
        <v>1466</v>
      </c>
      <c r="B100" s="1379">
        <v>4300</v>
      </c>
      <c r="C100" s="1662"/>
      <c r="D100" s="1662"/>
      <c r="E100" s="1670">
        <f>SUM(E93:E99)</f>
        <v>0</v>
      </c>
      <c r="F100" s="1662"/>
      <c r="G100" s="1662"/>
      <c r="H100" s="1670">
        <f>SUM(H93:H99)</f>
        <v>0</v>
      </c>
      <c r="I100" s="1572"/>
      <c r="J100" s="1572"/>
      <c r="K100" s="1670">
        <f>SUM(K93:K99)</f>
        <v>0</v>
      </c>
      <c r="L100" s="1670">
        <f>SUM(L93:L99)</f>
        <v>0</v>
      </c>
    </row>
    <row r="101" spans="1:14" ht="12.75" customHeight="1" thickTop="1" thickBot="1" x14ac:dyDescent="0.25">
      <c r="A101" s="1272" t="s">
        <v>1469</v>
      </c>
      <c r="B101" s="521" t="s">
        <v>924</v>
      </c>
      <c r="C101" s="1662"/>
      <c r="D101" s="1662"/>
      <c r="E101" s="1616">
        <v>0</v>
      </c>
      <c r="F101" s="1662"/>
      <c r="G101" s="1662"/>
      <c r="H101" s="1616">
        <v>0</v>
      </c>
      <c r="I101" s="1572"/>
      <c r="J101" s="1572"/>
      <c r="K101" s="1676">
        <f>SUM(C101:J101)</f>
        <v>0</v>
      </c>
      <c r="L101" s="1615">
        <v>0</v>
      </c>
    </row>
    <row r="102" spans="1:14" ht="12.75" customHeight="1" thickTop="1" thickBot="1" x14ac:dyDescent="0.25">
      <c r="A102" s="1372" t="s">
        <v>1467</v>
      </c>
      <c r="B102" s="1377">
        <v>4000</v>
      </c>
      <c r="C102" s="1662"/>
      <c r="D102" s="1662"/>
      <c r="E102" s="1670">
        <f>SUM(E84,E92,E100,E101)</f>
        <v>169059</v>
      </c>
      <c r="F102" s="1662"/>
      <c r="G102" s="1662"/>
      <c r="H102" s="1670">
        <f>SUM(H84,H92,H100,H101)</f>
        <v>10619525</v>
      </c>
      <c r="I102" s="1572"/>
      <c r="J102" s="1572"/>
      <c r="K102" s="1670">
        <f>SUM(K84,K92,K100,K101)</f>
        <v>10788584</v>
      </c>
      <c r="L102" s="1670">
        <f>SUM(L84,L92,L100,L101)</f>
        <v>12640000</v>
      </c>
    </row>
    <row r="103" spans="1:14" s="516" customFormat="1" ht="15.75" customHeight="1" thickTop="1" x14ac:dyDescent="0.2">
      <c r="A103" s="1342" t="s">
        <v>510</v>
      </c>
      <c r="B103" s="1339" t="s">
        <v>489</v>
      </c>
      <c r="C103" s="1662"/>
      <c r="D103" s="1662"/>
      <c r="E103" s="1662"/>
      <c r="F103" s="1662"/>
      <c r="G103" s="1662"/>
      <c r="H103" s="1664"/>
      <c r="I103" s="1566"/>
      <c r="J103" s="1566"/>
      <c r="K103" s="1664"/>
      <c r="L103" s="1664"/>
      <c r="M103" s="179"/>
      <c r="N103" s="179"/>
    </row>
    <row r="104" spans="1:14" s="524" customFormat="1" ht="15.75" customHeight="1" x14ac:dyDescent="0.2">
      <c r="A104" s="522" t="s">
        <v>611</v>
      </c>
      <c r="B104" s="523"/>
      <c r="C104" s="1662"/>
      <c r="D104" s="1662"/>
      <c r="E104" s="1662"/>
      <c r="F104" s="1662"/>
      <c r="G104" s="1662"/>
      <c r="H104" s="1665"/>
      <c r="I104" s="1566"/>
      <c r="J104" s="1566"/>
      <c r="K104" s="1665"/>
      <c r="L104" s="1665"/>
      <c r="M104" s="502"/>
      <c r="N104" s="502"/>
    </row>
    <row r="105" spans="1:14" s="493" customFormat="1" x14ac:dyDescent="0.2">
      <c r="A105" s="1266" t="s">
        <v>87</v>
      </c>
      <c r="B105" s="503">
        <v>5110</v>
      </c>
      <c r="C105" s="1662"/>
      <c r="D105" s="1662"/>
      <c r="E105" s="1662"/>
      <c r="F105" s="1662"/>
      <c r="G105" s="1662"/>
      <c r="H105" s="1576">
        <v>0</v>
      </c>
      <c r="I105" s="1566"/>
      <c r="J105" s="1566"/>
      <c r="K105" s="1661">
        <f>H105</f>
        <v>0</v>
      </c>
      <c r="L105" s="1576">
        <v>0</v>
      </c>
      <c r="M105" s="205"/>
      <c r="N105" s="205"/>
    </row>
    <row r="106" spans="1:14" s="493" customFormat="1" x14ac:dyDescent="0.2">
      <c r="A106" s="1266" t="s">
        <v>88</v>
      </c>
      <c r="B106" s="503">
        <v>5120</v>
      </c>
      <c r="C106" s="1662"/>
      <c r="D106" s="1662"/>
      <c r="E106" s="1662"/>
      <c r="F106" s="1662"/>
      <c r="G106" s="1662"/>
      <c r="H106" s="1564">
        <v>0</v>
      </c>
      <c r="I106" s="1566"/>
      <c r="J106" s="1566"/>
      <c r="K106" s="1661">
        <f>H106</f>
        <v>0</v>
      </c>
      <c r="L106" s="1564">
        <v>0</v>
      </c>
      <c r="M106" s="205"/>
      <c r="N106" s="205"/>
    </row>
    <row r="107" spans="1:14" s="493" customFormat="1" ht="12.75" customHeight="1" x14ac:dyDescent="0.2">
      <c r="A107" s="1266" t="s">
        <v>1159</v>
      </c>
      <c r="B107" s="503">
        <v>5130</v>
      </c>
      <c r="C107" s="1662"/>
      <c r="D107" s="1662"/>
      <c r="E107" s="1662"/>
      <c r="F107" s="1662"/>
      <c r="G107" s="1662"/>
      <c r="H107" s="1564">
        <v>0</v>
      </c>
      <c r="I107" s="1566"/>
      <c r="J107" s="1566"/>
      <c r="K107" s="1661">
        <f>H107</f>
        <v>0</v>
      </c>
      <c r="L107" s="1564">
        <v>0</v>
      </c>
      <c r="M107" s="205"/>
      <c r="N107" s="205"/>
    </row>
    <row r="108" spans="1:14" s="493" customFormat="1" x14ac:dyDescent="0.2">
      <c r="A108" s="1266" t="s">
        <v>89</v>
      </c>
      <c r="B108" s="503" t="s">
        <v>585</v>
      </c>
      <c r="C108" s="1662"/>
      <c r="D108" s="1662"/>
      <c r="E108" s="1662"/>
      <c r="F108" s="1662"/>
      <c r="G108" s="1662"/>
      <c r="H108" s="1564">
        <v>0</v>
      </c>
      <c r="I108" s="1566"/>
      <c r="J108" s="1566"/>
      <c r="K108" s="1661">
        <f>H108</f>
        <v>0</v>
      </c>
      <c r="L108" s="1564">
        <v>0</v>
      </c>
      <c r="M108" s="205"/>
      <c r="N108" s="205"/>
    </row>
    <row r="109" spans="1:14" s="493" customFormat="1" x14ac:dyDescent="0.2">
      <c r="A109" s="1266" t="s">
        <v>252</v>
      </c>
      <c r="B109" s="512">
        <v>5150</v>
      </c>
      <c r="C109" s="1662"/>
      <c r="D109" s="1662"/>
      <c r="E109" s="1662"/>
      <c r="F109" s="1662"/>
      <c r="G109" s="1662"/>
      <c r="H109" s="1564">
        <v>0</v>
      </c>
      <c r="I109" s="1566"/>
      <c r="J109" s="1566"/>
      <c r="K109" s="1661">
        <f>H109</f>
        <v>0</v>
      </c>
      <c r="L109" s="1564">
        <v>0</v>
      </c>
      <c r="M109" s="205"/>
      <c r="N109" s="205"/>
    </row>
    <row r="110" spans="1:14" s="493" customFormat="1" ht="12.75" customHeight="1" thickBot="1" x14ac:dyDescent="0.25">
      <c r="A110" s="1372" t="s">
        <v>1092</v>
      </c>
      <c r="B110" s="1375" t="s">
        <v>712</v>
      </c>
      <c r="C110" s="1662"/>
      <c r="D110" s="1662"/>
      <c r="E110" s="1662"/>
      <c r="F110" s="1662"/>
      <c r="G110" s="1662"/>
      <c r="H110" s="1663">
        <f>SUM(H105:H109)</f>
        <v>0</v>
      </c>
      <c r="I110" s="1566"/>
      <c r="J110" s="1566"/>
      <c r="K110" s="1663">
        <f>SUM(K105:K109)</f>
        <v>0</v>
      </c>
      <c r="L110" s="1663">
        <f>SUM(L105:L109)</f>
        <v>0</v>
      </c>
      <c r="M110" s="205"/>
      <c r="N110" s="205"/>
    </row>
    <row r="111" spans="1:14" s="493" customFormat="1" ht="12.75" customHeight="1" thickTop="1" thickBot="1" x14ac:dyDescent="0.25">
      <c r="A111" s="1276" t="s">
        <v>365</v>
      </c>
      <c r="B111" s="525" t="s">
        <v>38</v>
      </c>
      <c r="C111" s="1662"/>
      <c r="D111" s="1662"/>
      <c r="E111" s="1662"/>
      <c r="F111" s="1662"/>
      <c r="G111" s="1662"/>
      <c r="H111" s="1619">
        <v>0</v>
      </c>
      <c r="I111" s="1566"/>
      <c r="J111" s="1566"/>
      <c r="K111" s="1677">
        <f>H111</f>
        <v>0</v>
      </c>
      <c r="L111" s="1617">
        <v>0</v>
      </c>
      <c r="M111" s="205"/>
      <c r="N111" s="205"/>
    </row>
    <row r="112" spans="1:14" s="493" customFormat="1" ht="12.75" customHeight="1" thickTop="1" thickBot="1" x14ac:dyDescent="0.25">
      <c r="A112" s="1372" t="s">
        <v>633</v>
      </c>
      <c r="B112" s="1373" t="s">
        <v>489</v>
      </c>
      <c r="C112" s="1662"/>
      <c r="D112" s="1662"/>
      <c r="E112" s="1662"/>
      <c r="F112" s="1662"/>
      <c r="G112" s="1662"/>
      <c r="H112" s="1663">
        <f>SUM(H110:H111)</f>
        <v>0</v>
      </c>
      <c r="I112" s="1566"/>
      <c r="J112" s="1566"/>
      <c r="K112" s="1663">
        <f>SUM(K110:K111)</f>
        <v>0</v>
      </c>
      <c r="L112" s="1670">
        <f>SUM(L110,L111)</f>
        <v>0</v>
      </c>
      <c r="M112" s="205"/>
      <c r="N112" s="205"/>
    </row>
    <row r="113" spans="1:14" s="254" customFormat="1" ht="15.75" customHeight="1" thickTop="1" thickBot="1" x14ac:dyDescent="0.25">
      <c r="A113" s="1336" t="s">
        <v>511</v>
      </c>
      <c r="B113" s="1343" t="s">
        <v>855</v>
      </c>
      <c r="C113" s="1665"/>
      <c r="D113" s="1665"/>
      <c r="E113" s="1662"/>
      <c r="F113" s="1662"/>
      <c r="G113" s="1662"/>
      <c r="H113" s="1665"/>
      <c r="I113" s="1566"/>
      <c r="J113" s="1566"/>
      <c r="K113" s="1665"/>
      <c r="L113" s="1616">
        <v>0</v>
      </c>
      <c r="M113" s="502"/>
      <c r="N113" s="502"/>
    </row>
    <row r="114" spans="1:14" ht="12.75" customHeight="1" thickTop="1" thickBot="1" x14ac:dyDescent="0.25">
      <c r="A114" s="1372" t="s">
        <v>48</v>
      </c>
      <c r="B114" s="1380"/>
      <c r="C114" s="1663">
        <f>SUM(C33,C74,C75,C102,C112,C113)</f>
        <v>32233906</v>
      </c>
      <c r="D114" s="1663">
        <f t="shared" ref="D114:K114" si="13">SUM(D33,D74,D75,D102,D112,D113)</f>
        <v>7955085</v>
      </c>
      <c r="E114" s="1663">
        <f t="shared" si="13"/>
        <v>5293311</v>
      </c>
      <c r="F114" s="1663">
        <f t="shared" si="13"/>
        <v>546498</v>
      </c>
      <c r="G114" s="1663">
        <f t="shared" si="13"/>
        <v>163163</v>
      </c>
      <c r="H114" s="1663">
        <f>SUM(H33,H74,H75,H102,H112,H113)</f>
        <v>11443254</v>
      </c>
      <c r="I114" s="1663">
        <f t="shared" si="13"/>
        <v>244769</v>
      </c>
      <c r="J114" s="1663">
        <f t="shared" si="13"/>
        <v>0</v>
      </c>
      <c r="K114" s="1663">
        <f t="shared" si="13"/>
        <v>57879986</v>
      </c>
      <c r="L114" s="1663">
        <f>SUM(L33,L74,L75,L102,L112,L113)</f>
        <v>60973100</v>
      </c>
    </row>
    <row r="115" spans="1:14" ht="13.5" thickTop="1" x14ac:dyDescent="0.2">
      <c r="A115" s="2307" t="s">
        <v>988</v>
      </c>
      <c r="B115" s="2308"/>
      <c r="C115" s="1664"/>
      <c r="D115" s="1664"/>
      <c r="E115" s="1664"/>
      <c r="F115" s="1664"/>
      <c r="G115" s="1664"/>
      <c r="H115" s="1664"/>
      <c r="I115" s="1664"/>
      <c r="J115" s="1664"/>
      <c r="K115" s="1678">
        <f>'Revenues 9-14'!C268-'Expenditures 15-22'!K114</f>
        <v>3034798</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285" t="s">
        <v>293</v>
      </c>
      <c r="B117" s="2286"/>
      <c r="C117" s="1680"/>
      <c r="D117" s="1681"/>
      <c r="E117" s="1681"/>
      <c r="F117" s="1681"/>
      <c r="G117" s="1681"/>
      <c r="H117" s="1681"/>
      <c r="I117" s="1681"/>
      <c r="J117" s="1681"/>
      <c r="K117" s="1681"/>
      <c r="L117" s="1682"/>
      <c r="M117" s="170"/>
      <c r="N117" s="170"/>
    </row>
    <row r="118" spans="1:14" ht="15.75" customHeight="1" x14ac:dyDescent="0.2">
      <c r="A118" s="1344" t="s">
        <v>1027</v>
      </c>
      <c r="B118" s="1345" t="s">
        <v>565</v>
      </c>
      <c r="C118" s="1662"/>
      <c r="D118" s="1662"/>
      <c r="E118" s="1662"/>
      <c r="F118" s="1662"/>
      <c r="G118" s="1662"/>
      <c r="H118" s="1662"/>
      <c r="I118" s="1662"/>
      <c r="J118" s="1662"/>
      <c r="K118" s="1662"/>
      <c r="L118" s="1662"/>
    </row>
    <row r="119" spans="1:14" ht="15.75" customHeight="1" x14ac:dyDescent="0.2">
      <c r="A119" s="529" t="s">
        <v>587</v>
      </c>
      <c r="B119" s="508"/>
      <c r="C119" s="1665"/>
      <c r="D119" s="1665"/>
      <c r="E119" s="1665"/>
      <c r="F119" s="1662"/>
      <c r="G119" s="1662"/>
      <c r="H119" s="1665"/>
      <c r="I119" s="1662"/>
      <c r="J119" s="1662"/>
      <c r="K119" s="1665"/>
      <c r="L119" s="1665"/>
    </row>
    <row r="120" spans="1:14" ht="12.75" customHeight="1" x14ac:dyDescent="0.2">
      <c r="A120" s="1270" t="s">
        <v>1957</v>
      </c>
      <c r="B120" s="512" t="s">
        <v>710</v>
      </c>
      <c r="C120" s="1564">
        <v>0</v>
      </c>
      <c r="D120" s="1564">
        <v>0</v>
      </c>
      <c r="E120" s="1564">
        <v>0</v>
      </c>
      <c r="F120" s="1564">
        <v>0</v>
      </c>
      <c r="G120" s="1564">
        <v>0</v>
      </c>
      <c r="H120" s="1564">
        <v>0</v>
      </c>
      <c r="I120" s="1565">
        <v>0</v>
      </c>
      <c r="J120" s="1565">
        <v>0</v>
      </c>
      <c r="K120" s="1661">
        <f>SUM(C120:J120)</f>
        <v>0</v>
      </c>
      <c r="L120" s="1564">
        <v>0</v>
      </c>
    </row>
    <row r="121" spans="1:14" ht="15.75" customHeight="1" x14ac:dyDescent="0.2">
      <c r="A121" s="530" t="s">
        <v>608</v>
      </c>
      <c r="B121" s="508"/>
      <c r="C121" s="1606"/>
      <c r="D121" s="1606"/>
      <c r="E121" s="1606"/>
      <c r="F121" s="1606"/>
      <c r="G121" s="1606"/>
      <c r="H121" s="1606"/>
      <c r="I121" s="1662"/>
      <c r="J121" s="1662"/>
      <c r="K121" s="1665"/>
      <c r="L121" s="1606"/>
    </row>
    <row r="122" spans="1:14" ht="13.5" thickBot="1" x14ac:dyDescent="0.25">
      <c r="A122" s="1266" t="s">
        <v>1058</v>
      </c>
      <c r="B122" s="503">
        <v>2510</v>
      </c>
      <c r="C122" s="1564">
        <v>0</v>
      </c>
      <c r="D122" s="1564">
        <v>0</v>
      </c>
      <c r="E122" s="1564">
        <v>0</v>
      </c>
      <c r="F122" s="1564">
        <v>0</v>
      </c>
      <c r="G122" s="1564">
        <v>0</v>
      </c>
      <c r="H122" s="1564">
        <v>0</v>
      </c>
      <c r="I122" s="1565">
        <v>0</v>
      </c>
      <c r="J122" s="1565">
        <v>0</v>
      </c>
      <c r="K122" s="1663">
        <f>SUM(C122:J122)</f>
        <v>0</v>
      </c>
      <c r="L122" s="1564">
        <v>0</v>
      </c>
    </row>
    <row r="123" spans="1:14" ht="14.25" thickTop="1" thickBot="1" x14ac:dyDescent="0.25">
      <c r="A123" s="1266" t="s">
        <v>4</v>
      </c>
      <c r="B123" s="503">
        <v>2530</v>
      </c>
      <c r="C123" s="1564">
        <v>0</v>
      </c>
      <c r="D123" s="1564">
        <v>0</v>
      </c>
      <c r="E123" s="1564">
        <v>0</v>
      </c>
      <c r="F123" s="1564">
        <v>0</v>
      </c>
      <c r="G123" s="1564">
        <v>0</v>
      </c>
      <c r="H123" s="1564">
        <v>0</v>
      </c>
      <c r="I123" s="1565">
        <v>0</v>
      </c>
      <c r="J123" s="1565">
        <v>0</v>
      </c>
      <c r="K123" s="1663">
        <f>SUM(C123:J123)</f>
        <v>0</v>
      </c>
      <c r="L123" s="1564">
        <v>0</v>
      </c>
    </row>
    <row r="124" spans="1:14" ht="14.25" thickTop="1" thickBot="1" x14ac:dyDescent="0.25">
      <c r="A124" s="1266" t="s">
        <v>195</v>
      </c>
      <c r="B124" s="503">
        <v>2540</v>
      </c>
      <c r="C124" s="1564">
        <v>884306</v>
      </c>
      <c r="D124" s="1564">
        <v>253236</v>
      </c>
      <c r="E124" s="1564">
        <v>734422</v>
      </c>
      <c r="F124" s="1564">
        <v>502886</v>
      </c>
      <c r="G124" s="1564">
        <v>4451984</v>
      </c>
      <c r="H124" s="1564">
        <v>85</v>
      </c>
      <c r="I124" s="1565">
        <v>0</v>
      </c>
      <c r="J124" s="1565">
        <v>0</v>
      </c>
      <c r="K124" s="1663">
        <f>SUM(C124:J124)</f>
        <v>6826919</v>
      </c>
      <c r="L124" s="1564">
        <v>7020690</v>
      </c>
    </row>
    <row r="125" spans="1:14" ht="14.25" thickTop="1" thickBot="1" x14ac:dyDescent="0.25">
      <c r="A125" s="1266" t="s">
        <v>946</v>
      </c>
      <c r="B125" s="503">
        <v>2550</v>
      </c>
      <c r="C125" s="1564">
        <v>0</v>
      </c>
      <c r="D125" s="1564">
        <v>0</v>
      </c>
      <c r="E125" s="1564">
        <v>0</v>
      </c>
      <c r="F125" s="1564">
        <v>0</v>
      </c>
      <c r="G125" s="1564">
        <v>0</v>
      </c>
      <c r="H125" s="1564">
        <v>0</v>
      </c>
      <c r="I125" s="1565">
        <v>0</v>
      </c>
      <c r="J125" s="1565">
        <v>0</v>
      </c>
      <c r="K125" s="1663">
        <f>SUM(C125:J125)</f>
        <v>0</v>
      </c>
      <c r="L125" s="1564">
        <v>0</v>
      </c>
    </row>
    <row r="126" spans="1:14" ht="14.25" thickTop="1" thickBot="1" x14ac:dyDescent="0.25">
      <c r="A126" s="1266" t="s">
        <v>100</v>
      </c>
      <c r="B126" s="503">
        <v>2560</v>
      </c>
      <c r="C126" s="1683"/>
      <c r="D126" s="1683"/>
      <c r="E126" s="1683"/>
      <c r="F126" s="1683"/>
      <c r="G126" s="1564">
        <v>0</v>
      </c>
      <c r="H126" s="1683"/>
      <c r="I126" s="1570">
        <v>0</v>
      </c>
      <c r="J126" s="1662"/>
      <c r="K126" s="1663">
        <f>SUM(C126:J126)</f>
        <v>0</v>
      </c>
      <c r="L126" s="1564">
        <v>0</v>
      </c>
    </row>
    <row r="127" spans="1:14" ht="12.75" customHeight="1" thickTop="1" thickBot="1" x14ac:dyDescent="0.25">
      <c r="A127" s="1372" t="s">
        <v>713</v>
      </c>
      <c r="B127" s="1373" t="s">
        <v>35</v>
      </c>
      <c r="C127" s="1663">
        <f>SUM(C122:C126)</f>
        <v>884306</v>
      </c>
      <c r="D127" s="1663">
        <f t="shared" ref="D127:L127" si="14">SUM(D122:D126)</f>
        <v>253236</v>
      </c>
      <c r="E127" s="1663">
        <f t="shared" si="14"/>
        <v>734422</v>
      </c>
      <c r="F127" s="1663">
        <f t="shared" si="14"/>
        <v>502886</v>
      </c>
      <c r="G127" s="1663">
        <f t="shared" si="14"/>
        <v>4451984</v>
      </c>
      <c r="H127" s="1663">
        <f t="shared" si="14"/>
        <v>85</v>
      </c>
      <c r="I127" s="1663">
        <f t="shared" si="14"/>
        <v>0</v>
      </c>
      <c r="J127" s="1663">
        <f t="shared" si="14"/>
        <v>0</v>
      </c>
      <c r="K127" s="1663">
        <f t="shared" si="14"/>
        <v>6826919</v>
      </c>
      <c r="L127" s="1663">
        <f t="shared" si="14"/>
        <v>7020690</v>
      </c>
    </row>
    <row r="128" spans="1:14" ht="12.75" customHeight="1" thickTop="1" x14ac:dyDescent="0.2">
      <c r="A128" s="1273" t="s">
        <v>972</v>
      </c>
      <c r="B128" s="531" t="s">
        <v>570</v>
      </c>
      <c r="C128" s="1684">
        <v>0</v>
      </c>
      <c r="D128" s="1684">
        <v>0</v>
      </c>
      <c r="E128" s="1684">
        <v>0</v>
      </c>
      <c r="F128" s="1684">
        <v>0</v>
      </c>
      <c r="G128" s="1684">
        <v>0</v>
      </c>
      <c r="H128" s="1684">
        <v>0</v>
      </c>
      <c r="I128" s="1619">
        <v>0</v>
      </c>
      <c r="J128" s="1619">
        <v>0</v>
      </c>
      <c r="K128" s="1685">
        <f>SUM(C128:J128)</f>
        <v>0</v>
      </c>
      <c r="L128" s="1684">
        <v>0</v>
      </c>
    </row>
    <row r="129" spans="1:14" ht="12.75" customHeight="1" thickBot="1" x14ac:dyDescent="0.25">
      <c r="A129" s="1381" t="s">
        <v>805</v>
      </c>
      <c r="B129" s="1382" t="s">
        <v>565</v>
      </c>
      <c r="C129" s="1670">
        <f>SUM(C120,C127,C128)</f>
        <v>884306</v>
      </c>
      <c r="D129" s="1670">
        <f t="shared" ref="D129:L129" si="15">SUM(D120,D127,D128)</f>
        <v>253236</v>
      </c>
      <c r="E129" s="1670">
        <f t="shared" si="15"/>
        <v>734422</v>
      </c>
      <c r="F129" s="1670">
        <f t="shared" si="15"/>
        <v>502886</v>
      </c>
      <c r="G129" s="1670">
        <f t="shared" si="15"/>
        <v>4451984</v>
      </c>
      <c r="H129" s="1670">
        <f t="shared" si="15"/>
        <v>85</v>
      </c>
      <c r="I129" s="1670">
        <f t="shared" si="15"/>
        <v>0</v>
      </c>
      <c r="J129" s="1670">
        <f t="shared" si="15"/>
        <v>0</v>
      </c>
      <c r="K129" s="1670">
        <f t="shared" si="15"/>
        <v>6826919</v>
      </c>
      <c r="L129" s="1670">
        <f t="shared" si="15"/>
        <v>7020690</v>
      </c>
    </row>
    <row r="130" spans="1:14" ht="15.75" customHeight="1" thickTop="1" thickBot="1" x14ac:dyDescent="0.25">
      <c r="A130" s="1340" t="s">
        <v>1028</v>
      </c>
      <c r="B130" s="1341" t="s">
        <v>571</v>
      </c>
      <c r="C130" s="1640">
        <v>0</v>
      </c>
      <c r="D130" s="1640">
        <v>0</v>
      </c>
      <c r="E130" s="1640">
        <v>0</v>
      </c>
      <c r="F130" s="1640">
        <v>0</v>
      </c>
      <c r="G130" s="1640">
        <v>0</v>
      </c>
      <c r="H130" s="1640">
        <v>0</v>
      </c>
      <c r="I130" s="1616">
        <v>0</v>
      </c>
      <c r="J130" s="1616">
        <v>0</v>
      </c>
      <c r="K130" s="1663">
        <f>SUM(C130:J130)</f>
        <v>0</v>
      </c>
      <c r="L130" s="1640">
        <v>0</v>
      </c>
    </row>
    <row r="131" spans="1:14" ht="15.75" customHeight="1" thickTop="1" x14ac:dyDescent="0.2">
      <c r="A131" s="1346" t="s">
        <v>612</v>
      </c>
      <c r="B131" s="1339" t="s">
        <v>854</v>
      </c>
      <c r="C131" s="1566"/>
      <c r="D131" s="1566"/>
      <c r="E131" s="1634"/>
      <c r="F131" s="1566"/>
      <c r="G131" s="1566"/>
      <c r="H131" s="1634"/>
      <c r="I131" s="1566"/>
      <c r="J131" s="1566"/>
      <c r="K131" s="1634"/>
      <c r="L131" s="1634"/>
    </row>
    <row r="132" spans="1:14" s="361" customFormat="1" ht="13.5" customHeight="1" x14ac:dyDescent="0.2">
      <c r="A132" s="532" t="s">
        <v>610</v>
      </c>
      <c r="B132" s="533"/>
      <c r="C132" s="1566"/>
      <c r="D132" s="1566"/>
      <c r="E132" s="1606"/>
      <c r="F132" s="1566"/>
      <c r="G132" s="1566"/>
      <c r="H132" s="1606"/>
      <c r="I132" s="1566"/>
      <c r="J132" s="1566"/>
      <c r="K132" s="1606"/>
      <c r="L132" s="1606"/>
      <c r="M132" s="201"/>
      <c r="N132" s="201"/>
    </row>
    <row r="133" spans="1:14" s="361" customFormat="1" ht="13.5" customHeight="1" x14ac:dyDescent="0.2">
      <c r="A133" s="1253" t="s">
        <v>493</v>
      </c>
      <c r="B133" s="1466" t="s">
        <v>1810</v>
      </c>
      <c r="C133" s="1566"/>
      <c r="D133" s="1566"/>
      <c r="E133" s="1674">
        <v>0</v>
      </c>
      <c r="F133" s="1566"/>
      <c r="G133" s="1566"/>
      <c r="H133" s="1674">
        <v>0</v>
      </c>
      <c r="I133" s="1566"/>
      <c r="J133" s="1566"/>
      <c r="K133" s="1686">
        <f>SUM(E133,H133)</f>
        <v>0</v>
      </c>
      <c r="L133" s="1674">
        <v>0</v>
      </c>
      <c r="M133" s="201"/>
      <c r="N133" s="201"/>
    </row>
    <row r="134" spans="1:14" x14ac:dyDescent="0.2">
      <c r="A134" s="1266" t="s">
        <v>301</v>
      </c>
      <c r="B134" s="503">
        <v>4120</v>
      </c>
      <c r="C134" s="1662"/>
      <c r="D134" s="1662"/>
      <c r="E134" s="1573">
        <v>0</v>
      </c>
      <c r="F134" s="1662"/>
      <c r="G134" s="1662"/>
      <c r="H134" s="1576">
        <v>0</v>
      </c>
      <c r="I134" s="1572"/>
      <c r="J134" s="1662"/>
      <c r="K134" s="1667">
        <f>SUM(E134,H134)</f>
        <v>0</v>
      </c>
      <c r="L134" s="1576">
        <v>0</v>
      </c>
    </row>
    <row r="135" spans="1:14" x14ac:dyDescent="0.2">
      <c r="A135" s="1266" t="s">
        <v>691</v>
      </c>
      <c r="B135" s="503">
        <v>4140</v>
      </c>
      <c r="C135" s="1662"/>
      <c r="D135" s="1662"/>
      <c r="E135" s="1565">
        <v>0</v>
      </c>
      <c r="F135" s="1662"/>
      <c r="G135" s="1662"/>
      <c r="H135" s="1564">
        <v>0</v>
      </c>
      <c r="I135" s="1572"/>
      <c r="J135" s="1662"/>
      <c r="K135" s="1667">
        <f>SUM(E135,H135)</f>
        <v>0</v>
      </c>
      <c r="L135" s="1564">
        <v>0</v>
      </c>
    </row>
    <row r="136" spans="1:14" x14ac:dyDescent="0.2">
      <c r="A136" s="1270" t="s">
        <v>692</v>
      </c>
      <c r="B136" s="512">
        <v>4190</v>
      </c>
      <c r="C136" s="1662"/>
      <c r="D136" s="1662"/>
      <c r="E136" s="1565">
        <v>0</v>
      </c>
      <c r="F136" s="1662"/>
      <c r="G136" s="1662"/>
      <c r="H136" s="1564">
        <v>0</v>
      </c>
      <c r="I136" s="1572"/>
      <c r="J136" s="1662"/>
      <c r="K136" s="1667">
        <f>SUM(E136,H136)</f>
        <v>0</v>
      </c>
      <c r="L136" s="1564">
        <v>0</v>
      </c>
    </row>
    <row r="137" spans="1:14" ht="12.75" customHeight="1" thickBot="1" x14ac:dyDescent="0.25">
      <c r="A137" s="1372" t="s">
        <v>477</v>
      </c>
      <c r="B137" s="1377">
        <v>4100</v>
      </c>
      <c r="C137" s="1662"/>
      <c r="D137" s="1662"/>
      <c r="E137" s="1663">
        <f>SUM(E133:E136)</f>
        <v>0</v>
      </c>
      <c r="F137" s="1662"/>
      <c r="G137" s="1662"/>
      <c r="H137" s="1663">
        <f>SUM(H133:H136)</f>
        <v>0</v>
      </c>
      <c r="I137" s="1572"/>
      <c r="J137" s="1662"/>
      <c r="K137" s="1663">
        <f>SUM(K133:K136)</f>
        <v>0</v>
      </c>
      <c r="L137" s="1663">
        <f>SUM(L133:L136)</f>
        <v>0</v>
      </c>
    </row>
    <row r="138" spans="1:14" ht="12.75" customHeight="1" thickTop="1" thickBot="1" x14ac:dyDescent="0.25">
      <c r="A138" s="1272" t="s">
        <v>96</v>
      </c>
      <c r="B138" s="521" t="s">
        <v>924</v>
      </c>
      <c r="C138" s="1662"/>
      <c r="D138" s="1662"/>
      <c r="E138" s="1574"/>
      <c r="F138" s="1662"/>
      <c r="G138" s="1662"/>
      <c r="H138" s="1640">
        <v>0</v>
      </c>
      <c r="I138" s="1572"/>
      <c r="J138" s="1662"/>
      <c r="K138" s="1667">
        <f>SUM(E138,H138)</f>
        <v>0</v>
      </c>
      <c r="L138" s="1640">
        <v>0</v>
      </c>
    </row>
    <row r="139" spans="1:14" ht="12.75" customHeight="1" thickTop="1" thickBot="1" x14ac:dyDescent="0.25">
      <c r="A139" s="1372" t="s">
        <v>1467</v>
      </c>
      <c r="B139" s="1377">
        <v>4000</v>
      </c>
      <c r="C139" s="1662"/>
      <c r="D139" s="1662"/>
      <c r="E139" s="1663">
        <f>SUM(E137,E138)</f>
        <v>0</v>
      </c>
      <c r="F139" s="1662"/>
      <c r="G139" s="1662"/>
      <c r="H139" s="1676">
        <f>SUM(H137:H138)</f>
        <v>0</v>
      </c>
      <c r="I139" s="1572"/>
      <c r="J139" s="1662"/>
      <c r="K139" s="1667">
        <f>SUM(K137,K138)</f>
        <v>0</v>
      </c>
      <c r="L139" s="1676">
        <f>SUM(L137,L138)</f>
        <v>0</v>
      </c>
    </row>
    <row r="140" spans="1:14" ht="15.75" customHeight="1" thickTop="1" x14ac:dyDescent="0.2">
      <c r="A140" s="1342" t="s">
        <v>1029</v>
      </c>
      <c r="B140" s="1343" t="s">
        <v>489</v>
      </c>
      <c r="C140" s="1662"/>
      <c r="D140" s="1662"/>
      <c r="E140" s="1673"/>
      <c r="F140" s="1673"/>
      <c r="G140" s="1673"/>
      <c r="H140" s="1672"/>
      <c r="I140" s="1572"/>
      <c r="J140" s="1673"/>
      <c r="K140" s="1672"/>
      <c r="L140" s="1672"/>
    </row>
    <row r="141" spans="1:14" ht="15.75" customHeight="1" x14ac:dyDescent="0.2">
      <c r="A141" s="530" t="s">
        <v>611</v>
      </c>
      <c r="B141" s="508"/>
      <c r="C141" s="1662"/>
      <c r="D141" s="1662"/>
      <c r="E141" s="1662"/>
      <c r="F141" s="1662"/>
      <c r="G141" s="1662"/>
      <c r="H141" s="1665"/>
      <c r="I141" s="1566"/>
      <c r="J141" s="1662"/>
      <c r="K141" s="1665"/>
      <c r="L141" s="1665"/>
    </row>
    <row r="142" spans="1:14" x14ac:dyDescent="0.2">
      <c r="A142" s="1266" t="s">
        <v>87</v>
      </c>
      <c r="B142" s="503">
        <v>5110</v>
      </c>
      <c r="C142" s="1662"/>
      <c r="D142" s="1662"/>
      <c r="E142" s="1662"/>
      <c r="F142" s="1662"/>
      <c r="G142" s="1662"/>
      <c r="H142" s="1576">
        <v>0</v>
      </c>
      <c r="I142" s="1566"/>
      <c r="J142" s="1662"/>
      <c r="K142" s="1667">
        <f>SUM(H142)</f>
        <v>0</v>
      </c>
      <c r="L142" s="1576">
        <v>0</v>
      </c>
    </row>
    <row r="143" spans="1:14" x14ac:dyDescent="0.2">
      <c r="A143" s="1266" t="s">
        <v>88</v>
      </c>
      <c r="B143" s="503">
        <v>5120</v>
      </c>
      <c r="C143" s="1662"/>
      <c r="D143" s="1662"/>
      <c r="E143" s="1662"/>
      <c r="F143" s="1662"/>
      <c r="G143" s="1662"/>
      <c r="H143" s="1564">
        <v>0</v>
      </c>
      <c r="I143" s="1566"/>
      <c r="J143" s="1662"/>
      <c r="K143" s="1667">
        <f>SUM(H143)</f>
        <v>0</v>
      </c>
      <c r="L143" s="1564">
        <v>0</v>
      </c>
    </row>
    <row r="144" spans="1:14" ht="12.75" customHeight="1" x14ac:dyDescent="0.2">
      <c r="A144" s="1266" t="s">
        <v>1159</v>
      </c>
      <c r="B144" s="512" t="s">
        <v>613</v>
      </c>
      <c r="C144" s="1662"/>
      <c r="D144" s="1662"/>
      <c r="E144" s="1662"/>
      <c r="F144" s="1662"/>
      <c r="G144" s="1662"/>
      <c r="H144" s="1564">
        <v>0</v>
      </c>
      <c r="I144" s="1566"/>
      <c r="J144" s="1662"/>
      <c r="K144" s="1667">
        <f>SUM(H144)</f>
        <v>0</v>
      </c>
      <c r="L144" s="1564">
        <v>0</v>
      </c>
    </row>
    <row r="145" spans="1:14" x14ac:dyDescent="0.2">
      <c r="A145" s="1266" t="s">
        <v>89</v>
      </c>
      <c r="B145" s="503" t="s">
        <v>585</v>
      </c>
      <c r="C145" s="1662"/>
      <c r="D145" s="1662"/>
      <c r="E145" s="1662"/>
      <c r="F145" s="1662"/>
      <c r="G145" s="1662"/>
      <c r="H145" s="1564">
        <v>0</v>
      </c>
      <c r="I145" s="1566"/>
      <c r="J145" s="1662"/>
      <c r="K145" s="1667">
        <f>SUM(H145)</f>
        <v>0</v>
      </c>
      <c r="L145" s="1564">
        <v>0</v>
      </c>
    </row>
    <row r="146" spans="1:14" ht="12.75" customHeight="1" x14ac:dyDescent="0.2">
      <c r="A146" s="1266" t="s">
        <v>615</v>
      </c>
      <c r="B146" s="503" t="s">
        <v>614</v>
      </c>
      <c r="C146" s="1662"/>
      <c r="D146" s="1662"/>
      <c r="E146" s="1662"/>
      <c r="F146" s="1662"/>
      <c r="G146" s="1662"/>
      <c r="H146" s="1564">
        <v>0</v>
      </c>
      <c r="I146" s="1566"/>
      <c r="J146" s="1662"/>
      <c r="K146" s="1667">
        <f>SUM(H146)</f>
        <v>0</v>
      </c>
      <c r="L146" s="1564">
        <v>0</v>
      </c>
    </row>
    <row r="147" spans="1:14" ht="12.75" customHeight="1" thickBot="1" x14ac:dyDescent="0.25">
      <c r="A147" s="1277" t="s">
        <v>622</v>
      </c>
      <c r="B147" s="534" t="s">
        <v>712</v>
      </c>
      <c r="C147" s="1662"/>
      <c r="D147" s="1662"/>
      <c r="E147" s="1662"/>
      <c r="F147" s="1662"/>
      <c r="G147" s="1662"/>
      <c r="H147" s="1584">
        <f>SUM(H142:H146)</f>
        <v>0</v>
      </c>
      <c r="I147" s="1566"/>
      <c r="J147" s="1662"/>
      <c r="K147" s="1663">
        <f>SUM(K142:K146)</f>
        <v>0</v>
      </c>
      <c r="L147" s="1584">
        <f>SUM(L142:L146)</f>
        <v>0</v>
      </c>
    </row>
    <row r="148" spans="1:14" ht="15.75" customHeight="1" thickTop="1" x14ac:dyDescent="0.2">
      <c r="A148" s="535" t="s">
        <v>1093</v>
      </c>
      <c r="B148" s="536" t="s">
        <v>38</v>
      </c>
      <c r="C148" s="1662"/>
      <c r="D148" s="1662"/>
      <c r="E148" s="1662"/>
      <c r="F148" s="1662"/>
      <c r="G148" s="1662"/>
      <c r="H148" s="1574">
        <v>0</v>
      </c>
      <c r="I148" s="1566"/>
      <c r="J148" s="1662"/>
      <c r="K148" s="1667">
        <f>SUM(H148)</f>
        <v>0</v>
      </c>
      <c r="L148" s="1588">
        <v>0</v>
      </c>
    </row>
    <row r="149" spans="1:14" ht="12.75" customHeight="1" thickBot="1" x14ac:dyDescent="0.25">
      <c r="A149" s="1269" t="s">
        <v>633</v>
      </c>
      <c r="B149" s="504" t="s">
        <v>489</v>
      </c>
      <c r="C149" s="1662"/>
      <c r="D149" s="1662"/>
      <c r="E149" s="1662"/>
      <c r="F149" s="1662"/>
      <c r="G149" s="1662"/>
      <c r="H149" s="1663">
        <f>SUM(H147,H148)</f>
        <v>0</v>
      </c>
      <c r="I149" s="1566"/>
      <c r="J149" s="1662"/>
      <c r="K149" s="1663">
        <f>SUM(K147:K148)</f>
        <v>0</v>
      </c>
      <c r="L149" s="1663">
        <f>SUM(L142:L146,L148)</f>
        <v>0</v>
      </c>
    </row>
    <row r="150" spans="1:14" ht="15.75" customHeight="1" thickTop="1" thickBot="1" x14ac:dyDescent="0.25">
      <c r="A150" s="1336" t="s">
        <v>1030</v>
      </c>
      <c r="B150" s="1343" t="s">
        <v>855</v>
      </c>
      <c r="C150" s="1662"/>
      <c r="D150" s="1662"/>
      <c r="E150" s="1662"/>
      <c r="F150" s="1662"/>
      <c r="G150" s="1662"/>
      <c r="H150" s="1687"/>
      <c r="I150" s="1606"/>
      <c r="J150" s="1662"/>
      <c r="K150" s="1665"/>
      <c r="L150" s="1638">
        <v>0</v>
      </c>
    </row>
    <row r="151" spans="1:14" ht="12.75" customHeight="1" thickTop="1" thickBot="1" x14ac:dyDescent="0.25">
      <c r="A151" s="2297" t="s">
        <v>616</v>
      </c>
      <c r="B151" s="2279"/>
      <c r="C151" s="1663">
        <f>SUM(C129,C130,C139,C149,C150)</f>
        <v>884306</v>
      </c>
      <c r="D151" s="1663">
        <f t="shared" ref="D151:K151" si="16">SUM(D129,D130,D139,D149,D150)</f>
        <v>253236</v>
      </c>
      <c r="E151" s="1663">
        <f t="shared" si="16"/>
        <v>734422</v>
      </c>
      <c r="F151" s="1663">
        <f t="shared" si="16"/>
        <v>502886</v>
      </c>
      <c r="G151" s="1663">
        <f t="shared" si="16"/>
        <v>4451984</v>
      </c>
      <c r="H151" s="1663">
        <f t="shared" si="16"/>
        <v>85</v>
      </c>
      <c r="I151" s="1663">
        <f t="shared" si="16"/>
        <v>0</v>
      </c>
      <c r="J151" s="1663">
        <f t="shared" si="16"/>
        <v>0</v>
      </c>
      <c r="K151" s="1663">
        <f t="shared" si="16"/>
        <v>6826919</v>
      </c>
      <c r="L151" s="1663">
        <f>SUM(L129,L130,L139,L149,L150)</f>
        <v>7020690</v>
      </c>
    </row>
    <row r="152" spans="1:14" ht="12.75" customHeight="1" thickTop="1" x14ac:dyDescent="0.2">
      <c r="A152" s="2300" t="s">
        <v>1167</v>
      </c>
      <c r="B152" s="2301"/>
      <c r="C152" s="1664"/>
      <c r="D152" s="1664"/>
      <c r="E152" s="1664"/>
      <c r="F152" s="1664"/>
      <c r="G152" s="1664"/>
      <c r="H152" s="1664"/>
      <c r="I152" s="1664"/>
      <c r="J152" s="1662"/>
      <c r="K152" s="1678">
        <f>'Revenues 9-14'!D268-'Expenditures 15-22'!K151</f>
        <v>-3917399</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285" t="s">
        <v>617</v>
      </c>
      <c r="B154" s="2287"/>
      <c r="C154" s="1680"/>
      <c r="D154" s="1681"/>
      <c r="E154" s="1681"/>
      <c r="F154" s="1681"/>
      <c r="G154" s="1681"/>
      <c r="H154" s="1681"/>
      <c r="I154" s="1681"/>
      <c r="J154" s="1681"/>
      <c r="K154" s="1681"/>
      <c r="L154" s="1682"/>
      <c r="M154" s="541"/>
      <c r="N154" s="541"/>
    </row>
    <row r="155" spans="1:14" s="506" customFormat="1" ht="15.75" customHeight="1" thickBot="1" x14ac:dyDescent="0.25">
      <c r="A155" s="1347" t="s">
        <v>81</v>
      </c>
      <c r="B155" s="1348" t="s">
        <v>854</v>
      </c>
      <c r="C155" s="1662"/>
      <c r="D155" s="1662"/>
      <c r="E155" s="1662"/>
      <c r="F155" s="1662"/>
      <c r="G155" s="1662"/>
      <c r="H155" s="1688"/>
      <c r="I155" s="1662"/>
      <c r="J155" s="1662"/>
      <c r="K155" s="1689"/>
      <c r="L155" s="1688"/>
      <c r="M155" s="505"/>
      <c r="N155" s="505"/>
    </row>
    <row r="156" spans="1:14" s="506" customFormat="1" ht="15.75" customHeight="1" thickTop="1" x14ac:dyDescent="0.2">
      <c r="A156" s="1452" t="s">
        <v>1811</v>
      </c>
      <c r="B156" s="1453"/>
      <c r="C156" s="1662"/>
      <c r="D156" s="1662"/>
      <c r="E156" s="1662"/>
      <c r="F156" s="1662"/>
      <c r="G156" s="1662"/>
      <c r="H156" s="1690"/>
      <c r="I156" s="1662"/>
      <c r="J156" s="1662"/>
      <c r="K156" s="1691"/>
      <c r="L156" s="1690"/>
      <c r="M156" s="505"/>
      <c r="N156" s="505"/>
    </row>
    <row r="157" spans="1:14" s="506" customFormat="1" ht="12" x14ac:dyDescent="0.2">
      <c r="A157" s="1454" t="s">
        <v>493</v>
      </c>
      <c r="B157" s="1455" t="s">
        <v>1810</v>
      </c>
      <c r="C157" s="1662"/>
      <c r="D157" s="1662"/>
      <c r="E157" s="1662"/>
      <c r="F157" s="1662"/>
      <c r="G157" s="1662"/>
      <c r="H157" s="1674">
        <v>0</v>
      </c>
      <c r="I157" s="1662"/>
      <c r="J157" s="1662"/>
      <c r="K157" s="1661">
        <f>H157</f>
        <v>0</v>
      </c>
      <c r="L157" s="1565">
        <v>0</v>
      </c>
      <c r="M157" s="505"/>
      <c r="N157" s="505"/>
    </row>
    <row r="158" spans="1:14" s="506" customFormat="1" ht="12" x14ac:dyDescent="0.2">
      <c r="A158" s="1454" t="s">
        <v>301</v>
      </c>
      <c r="B158" s="1455" t="s">
        <v>1812</v>
      </c>
      <c r="C158" s="1662"/>
      <c r="D158" s="1662"/>
      <c r="E158" s="1662"/>
      <c r="F158" s="1662"/>
      <c r="G158" s="1662"/>
      <c r="H158" s="1565">
        <v>0</v>
      </c>
      <c r="I158" s="1662"/>
      <c r="J158" s="1662"/>
      <c r="K158" s="1661">
        <f>H158</f>
        <v>0</v>
      </c>
      <c r="L158" s="1565">
        <v>0</v>
      </c>
      <c r="M158" s="505"/>
      <c r="N158" s="505"/>
    </row>
    <row r="159" spans="1:14" s="506" customFormat="1" ht="12" x14ac:dyDescent="0.2">
      <c r="A159" s="1454" t="s">
        <v>1813</v>
      </c>
      <c r="B159" s="1455" t="s">
        <v>554</v>
      </c>
      <c r="C159" s="1662"/>
      <c r="D159" s="1662"/>
      <c r="E159" s="1662"/>
      <c r="F159" s="1662"/>
      <c r="G159" s="1662"/>
      <c r="H159" s="1565">
        <v>0</v>
      </c>
      <c r="I159" s="1662"/>
      <c r="J159" s="1662"/>
      <c r="K159" s="1661">
        <f>H159</f>
        <v>0</v>
      </c>
      <c r="L159" s="1565">
        <v>0</v>
      </c>
      <c r="M159" s="505"/>
      <c r="N159" s="505"/>
    </row>
    <row r="160" spans="1:14" s="506" customFormat="1" ht="15.75" customHeight="1" thickBot="1" x14ac:dyDescent="0.25">
      <c r="A160" s="1456" t="s">
        <v>1814</v>
      </c>
      <c r="B160" s="1457" t="s">
        <v>854</v>
      </c>
      <c r="C160" s="1662"/>
      <c r="D160" s="1662"/>
      <c r="E160" s="1662"/>
      <c r="F160" s="1662"/>
      <c r="G160" s="1662"/>
      <c r="H160" s="1584">
        <f>SUM(H157:H159)</f>
        <v>0</v>
      </c>
      <c r="I160" s="1662"/>
      <c r="J160" s="1662"/>
      <c r="K160" s="1663">
        <f>SUM(K157:K159)</f>
        <v>0</v>
      </c>
      <c r="L160" s="1584">
        <f>SUM(L157:L159)</f>
        <v>0</v>
      </c>
      <c r="M160" s="505"/>
      <c r="N160" s="505"/>
    </row>
    <row r="161" spans="1:14" s="254" customFormat="1" ht="15.75" customHeight="1" thickTop="1" x14ac:dyDescent="0.2">
      <c r="A161" s="1342" t="s">
        <v>82</v>
      </c>
      <c r="B161" s="1343" t="s">
        <v>489</v>
      </c>
      <c r="C161" s="1662"/>
      <c r="D161" s="1662"/>
      <c r="E161" s="1662"/>
      <c r="F161" s="1662"/>
      <c r="G161" s="1662"/>
      <c r="H161" s="1662"/>
      <c r="I161" s="1662"/>
      <c r="J161" s="1662"/>
      <c r="K161" s="1662"/>
      <c r="L161" s="1662"/>
      <c r="M161" s="502"/>
      <c r="N161" s="502"/>
    </row>
    <row r="162" spans="1:14" s="254" customFormat="1" ht="15.75" customHeight="1" x14ac:dyDescent="0.2">
      <c r="A162" s="530" t="s">
        <v>611</v>
      </c>
      <c r="B162" s="508"/>
      <c r="C162" s="1662"/>
      <c r="D162" s="1662"/>
      <c r="E162" s="1662"/>
      <c r="F162" s="1662"/>
      <c r="G162" s="1662"/>
      <c r="H162" s="1662"/>
      <c r="I162" s="1662"/>
      <c r="J162" s="1662"/>
      <c r="K162" s="1665"/>
      <c r="L162" s="1665"/>
      <c r="M162" s="502"/>
      <c r="N162" s="502"/>
    </row>
    <row r="163" spans="1:14" x14ac:dyDescent="0.2">
      <c r="A163" s="1266" t="s">
        <v>87</v>
      </c>
      <c r="B163" s="503">
        <v>5110</v>
      </c>
      <c r="C163" s="1662"/>
      <c r="D163" s="1662"/>
      <c r="E163" s="1662"/>
      <c r="F163" s="1662"/>
      <c r="G163" s="1662"/>
      <c r="H163" s="1564">
        <v>0</v>
      </c>
      <c r="I163" s="1662"/>
      <c r="J163" s="1662"/>
      <c r="K163" s="1661">
        <f>SUM(C163:J163)</f>
        <v>0</v>
      </c>
      <c r="L163" s="1564">
        <v>0</v>
      </c>
    </row>
    <row r="164" spans="1:14" x14ac:dyDescent="0.2">
      <c r="A164" s="1266" t="s">
        <v>88</v>
      </c>
      <c r="B164" s="503">
        <v>5120</v>
      </c>
      <c r="C164" s="1662"/>
      <c r="D164" s="1662"/>
      <c r="E164" s="1662"/>
      <c r="F164" s="1662"/>
      <c r="G164" s="1662"/>
      <c r="H164" s="1564">
        <v>0</v>
      </c>
      <c r="I164" s="1662"/>
      <c r="J164" s="1662"/>
      <c r="K164" s="1661">
        <f>SUM(C164:J164)</f>
        <v>0</v>
      </c>
      <c r="L164" s="1564">
        <v>0</v>
      </c>
    </row>
    <row r="165" spans="1:14" ht="12.75" customHeight="1" x14ac:dyDescent="0.2">
      <c r="A165" s="1266" t="s">
        <v>1159</v>
      </c>
      <c r="B165" s="503" t="s">
        <v>613</v>
      </c>
      <c r="C165" s="1662"/>
      <c r="D165" s="1662"/>
      <c r="E165" s="1662"/>
      <c r="F165" s="1662"/>
      <c r="G165" s="1662"/>
      <c r="H165" s="1564">
        <v>0</v>
      </c>
      <c r="I165" s="1662"/>
      <c r="J165" s="1662"/>
      <c r="K165" s="1661">
        <f>SUM(C165:J165)</f>
        <v>0</v>
      </c>
      <c r="L165" s="1564">
        <v>0</v>
      </c>
    </row>
    <row r="166" spans="1:14" x14ac:dyDescent="0.2">
      <c r="A166" s="1266" t="s">
        <v>89</v>
      </c>
      <c r="B166" s="512" t="s">
        <v>585</v>
      </c>
      <c r="C166" s="1662"/>
      <c r="D166" s="1662"/>
      <c r="E166" s="1662"/>
      <c r="F166" s="1662"/>
      <c r="G166" s="1662"/>
      <c r="H166" s="1564">
        <v>0</v>
      </c>
      <c r="I166" s="1662"/>
      <c r="J166" s="1662"/>
      <c r="K166" s="1661">
        <f>SUM(C166:J166)</f>
        <v>0</v>
      </c>
      <c r="L166" s="1564">
        <v>0</v>
      </c>
    </row>
    <row r="167" spans="1:14" ht="12.75" customHeight="1" x14ac:dyDescent="0.2">
      <c r="A167" s="1266" t="s">
        <v>615</v>
      </c>
      <c r="B167" s="503" t="s">
        <v>614</v>
      </c>
      <c r="C167" s="1662"/>
      <c r="D167" s="1662"/>
      <c r="E167" s="1662"/>
      <c r="F167" s="1662"/>
      <c r="G167" s="1662"/>
      <c r="H167" s="1564">
        <v>0</v>
      </c>
      <c r="I167" s="1662"/>
      <c r="J167" s="1662"/>
      <c r="K167" s="1661">
        <f>SUM(C167:J167)</f>
        <v>0</v>
      </c>
      <c r="L167" s="1564">
        <v>0</v>
      </c>
    </row>
    <row r="168" spans="1:14" ht="13.5" thickBot="1" x14ac:dyDescent="0.25">
      <c r="A168" s="1372" t="s">
        <v>274</v>
      </c>
      <c r="B168" s="1375"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116900</v>
      </c>
      <c r="I169" s="1662"/>
      <c r="J169" s="1662"/>
      <c r="K169" s="1661">
        <f>SUM(C169:H169)</f>
        <v>116900</v>
      </c>
      <c r="L169" s="1684">
        <v>116900</v>
      </c>
    </row>
    <row r="170" spans="1:14" ht="33.75" customHeight="1" x14ac:dyDescent="0.2">
      <c r="A170" s="543" t="s">
        <v>1648</v>
      </c>
      <c r="B170" s="545" t="s">
        <v>31</v>
      </c>
      <c r="C170" s="1662"/>
      <c r="D170" s="1662"/>
      <c r="E170" s="1662"/>
      <c r="F170" s="1662"/>
      <c r="G170" s="1662"/>
      <c r="H170" s="1635">
        <v>350000</v>
      </c>
      <c r="I170" s="1662"/>
      <c r="J170" s="1662"/>
      <c r="K170" s="1661">
        <f>SUM(C170:J170)</f>
        <v>350000</v>
      </c>
      <c r="L170" s="1635">
        <v>350000</v>
      </c>
    </row>
    <row r="171" spans="1:14" ht="15.75" customHeight="1" x14ac:dyDescent="0.2">
      <c r="A171" s="507" t="s">
        <v>760</v>
      </c>
      <c r="B171" s="546" t="s">
        <v>84</v>
      </c>
      <c r="C171" s="1662"/>
      <c r="D171" s="1662"/>
      <c r="E171" s="1564">
        <v>0</v>
      </c>
      <c r="F171" s="1662"/>
      <c r="G171" s="1662"/>
      <c r="H171" s="1635">
        <v>350</v>
      </c>
      <c r="I171" s="1572"/>
      <c r="J171" s="1662"/>
      <c r="K171" s="1661">
        <f>SUM(C171:J171)</f>
        <v>350</v>
      </c>
      <c r="L171" s="1635">
        <v>1000</v>
      </c>
    </row>
    <row r="172" spans="1:14" ht="12.75" customHeight="1" thickBot="1" x14ac:dyDescent="0.25">
      <c r="A172" s="1372" t="s">
        <v>633</v>
      </c>
      <c r="B172" s="1373" t="s">
        <v>489</v>
      </c>
      <c r="C172" s="1662"/>
      <c r="D172" s="1662"/>
      <c r="E172" s="1670">
        <f>SUM(E168,E169,E170,E171)</f>
        <v>0</v>
      </c>
      <c r="F172" s="1662"/>
      <c r="G172" s="1662"/>
      <c r="H172" s="1670">
        <f>SUM(H168,H169,H170,H171)</f>
        <v>467250</v>
      </c>
      <c r="I172" s="1673"/>
      <c r="J172" s="1662"/>
      <c r="K172" s="1670">
        <f>SUM(K168,K169,K170,K171)</f>
        <v>467250</v>
      </c>
      <c r="L172" s="1670">
        <f>SUM(L168,L169,L170,L171)</f>
        <v>467900</v>
      </c>
    </row>
    <row r="173" spans="1:14" ht="15.75" customHeight="1" thickTop="1" thickBot="1" x14ac:dyDescent="0.25">
      <c r="A173" s="1349" t="s">
        <v>85</v>
      </c>
      <c r="B173" s="1341" t="s">
        <v>855</v>
      </c>
      <c r="C173" s="1662"/>
      <c r="D173" s="1662"/>
      <c r="E173" s="1665"/>
      <c r="F173" s="1662"/>
      <c r="G173" s="1662"/>
      <c r="H173" s="1666"/>
      <c r="I173" s="1673"/>
      <c r="J173" s="1662"/>
      <c r="K173" s="1665"/>
      <c r="L173" s="1640">
        <v>0</v>
      </c>
    </row>
    <row r="174" spans="1:14" ht="12.75" customHeight="1" thickTop="1" thickBot="1" x14ac:dyDescent="0.25">
      <c r="A174" s="1383" t="s">
        <v>90</v>
      </c>
      <c r="B174" s="1384"/>
      <c r="C174" s="1662"/>
      <c r="D174" s="1662"/>
      <c r="E174" s="1670">
        <f>SUM(E172,E173)</f>
        <v>0</v>
      </c>
      <c r="F174" s="1662"/>
      <c r="G174" s="1662"/>
      <c r="H174" s="1670">
        <f>SUM(H160,H172,H173)</f>
        <v>467250</v>
      </c>
      <c r="I174" s="1673"/>
      <c r="J174" s="1662"/>
      <c r="K174" s="1670">
        <f>SUM(K160,K172,K173)</f>
        <v>467250</v>
      </c>
      <c r="L174" s="1670">
        <f>SUM(L160,L172,L173)</f>
        <v>467900</v>
      </c>
    </row>
    <row r="175" spans="1:14" ht="13.5" thickTop="1" x14ac:dyDescent="0.2">
      <c r="A175" s="2307" t="s">
        <v>988</v>
      </c>
      <c r="B175" s="2308"/>
      <c r="C175" s="1662"/>
      <c r="D175" s="1662"/>
      <c r="E175" s="1662"/>
      <c r="F175" s="1662"/>
      <c r="G175" s="1662"/>
      <c r="H175" s="1664"/>
      <c r="I175" s="1662"/>
      <c r="J175" s="1662"/>
      <c r="K175" s="1678">
        <f>'Revenues 9-14'!E268-'Expenditures 15-22'!K174</f>
        <v>3544</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6" t="s">
        <v>930</v>
      </c>
      <c r="B177" s="1297"/>
      <c r="C177" s="1692"/>
      <c r="D177" s="1693"/>
      <c r="E177" s="1693"/>
      <c r="F177" s="1693"/>
      <c r="G177" s="1693"/>
      <c r="H177" s="1693"/>
      <c r="I177" s="1693"/>
      <c r="J177" s="1693"/>
      <c r="K177" s="1693"/>
      <c r="L177" s="1694"/>
      <c r="M177" s="501"/>
      <c r="N177" s="501"/>
    </row>
    <row r="178" spans="1:14" s="548" customFormat="1" ht="15.75" customHeight="1" x14ac:dyDescent="0.2">
      <c r="A178" s="1350" t="s">
        <v>931</v>
      </c>
      <c r="B178" s="1351"/>
      <c r="C178" s="1662"/>
      <c r="D178" s="1662"/>
      <c r="E178" s="1662"/>
      <c r="F178" s="1662"/>
      <c r="G178" s="1662"/>
      <c r="H178" s="1662"/>
      <c r="I178" s="1662"/>
      <c r="J178" s="1662"/>
      <c r="K178" s="1662"/>
      <c r="L178" s="1662"/>
      <c r="M178" s="539"/>
      <c r="N178" s="539"/>
    </row>
    <row r="179" spans="1:14" s="548" customFormat="1" ht="15.75" customHeight="1" x14ac:dyDescent="0.2">
      <c r="A179" s="549" t="s">
        <v>587</v>
      </c>
      <c r="B179" s="508"/>
      <c r="C179" s="1665"/>
      <c r="D179" s="1665"/>
      <c r="E179" s="1665"/>
      <c r="F179" s="1662"/>
      <c r="G179" s="1662"/>
      <c r="H179" s="1665"/>
      <c r="I179" s="1662"/>
      <c r="J179" s="1662"/>
      <c r="K179" s="1665"/>
      <c r="L179" s="1665"/>
      <c r="M179" s="539"/>
      <c r="N179" s="539"/>
    </row>
    <row r="180" spans="1:14" ht="12.75" customHeight="1" x14ac:dyDescent="0.2">
      <c r="A180" s="1266" t="s">
        <v>1957</v>
      </c>
      <c r="B180" s="503" t="s">
        <v>710</v>
      </c>
      <c r="C180" s="1564">
        <v>0</v>
      </c>
      <c r="D180" s="1564">
        <v>0</v>
      </c>
      <c r="E180" s="1564">
        <v>0</v>
      </c>
      <c r="F180" s="1564">
        <v>0</v>
      </c>
      <c r="G180" s="1564">
        <v>0</v>
      </c>
      <c r="H180" s="1564">
        <v>0</v>
      </c>
      <c r="I180" s="1565">
        <v>0</v>
      </c>
      <c r="J180" s="1565">
        <v>0</v>
      </c>
      <c r="K180" s="1661">
        <f>SUM(C180:J180)</f>
        <v>0</v>
      </c>
      <c r="L180" s="1564">
        <v>0</v>
      </c>
    </row>
    <row r="181" spans="1:14" ht="15.75" customHeight="1" x14ac:dyDescent="0.2">
      <c r="A181" s="509" t="s">
        <v>608</v>
      </c>
      <c r="B181" s="550"/>
      <c r="C181" s="1636"/>
      <c r="D181" s="1636"/>
      <c r="E181" s="1636"/>
      <c r="F181" s="1636"/>
      <c r="G181" s="1636"/>
      <c r="H181" s="1636"/>
      <c r="I181" s="1566"/>
      <c r="J181" s="1566"/>
      <c r="K181" s="1636"/>
      <c r="L181" s="1636"/>
    </row>
    <row r="182" spans="1:14" ht="12.75" customHeight="1" x14ac:dyDescent="0.2">
      <c r="A182" s="1266" t="s">
        <v>946</v>
      </c>
      <c r="B182" s="503">
        <v>2550</v>
      </c>
      <c r="C182" s="1564">
        <v>77277</v>
      </c>
      <c r="D182" s="1564">
        <v>27160</v>
      </c>
      <c r="E182" s="1564">
        <v>949545</v>
      </c>
      <c r="F182" s="1564">
        <v>3158</v>
      </c>
      <c r="G182" s="1564">
        <v>0</v>
      </c>
      <c r="H182" s="1564">
        <v>0</v>
      </c>
      <c r="I182" s="1565">
        <v>0</v>
      </c>
      <c r="J182" s="1565">
        <v>0</v>
      </c>
      <c r="K182" s="1661">
        <f>SUM(C182:J182)</f>
        <v>1057140</v>
      </c>
      <c r="L182" s="1564">
        <v>1175565</v>
      </c>
    </row>
    <row r="183" spans="1:14" ht="12.75" customHeight="1" thickBot="1" x14ac:dyDescent="0.25">
      <c r="A183" s="1271" t="s">
        <v>972</v>
      </c>
      <c r="B183" s="551">
        <v>2900</v>
      </c>
      <c r="C183" s="1638">
        <v>0</v>
      </c>
      <c r="D183" s="1638">
        <v>0</v>
      </c>
      <c r="E183" s="1638">
        <v>0</v>
      </c>
      <c r="F183" s="1638">
        <v>0</v>
      </c>
      <c r="G183" s="1638">
        <v>0</v>
      </c>
      <c r="H183" s="1638">
        <v>0</v>
      </c>
      <c r="I183" s="1617">
        <v>0</v>
      </c>
      <c r="J183" s="1617">
        <v>0</v>
      </c>
      <c r="K183" s="1670">
        <f>SUM(C183:J183)</f>
        <v>0</v>
      </c>
      <c r="L183" s="1638">
        <v>0</v>
      </c>
    </row>
    <row r="184" spans="1:14" ht="12.75" customHeight="1" thickTop="1" thickBot="1" x14ac:dyDescent="0.25">
      <c r="A184" s="1385" t="s">
        <v>805</v>
      </c>
      <c r="B184" s="1373" t="s">
        <v>565</v>
      </c>
      <c r="C184" s="1670">
        <f>SUM(C180,C182,C183)</f>
        <v>77277</v>
      </c>
      <c r="D184" s="1670">
        <f t="shared" ref="D184:J184" si="17">SUM(D180,D182,D183)</f>
        <v>27160</v>
      </c>
      <c r="E184" s="1670">
        <f t="shared" si="17"/>
        <v>949545</v>
      </c>
      <c r="F184" s="1670">
        <f t="shared" si="17"/>
        <v>3158</v>
      </c>
      <c r="G184" s="1670">
        <f t="shared" si="17"/>
        <v>0</v>
      </c>
      <c r="H184" s="1670">
        <f t="shared" si="17"/>
        <v>0</v>
      </c>
      <c r="I184" s="1670">
        <f t="shared" si="17"/>
        <v>0</v>
      </c>
      <c r="J184" s="1670">
        <f t="shared" si="17"/>
        <v>0</v>
      </c>
      <c r="K184" s="1670">
        <f>SUM(K180,K182,K183)</f>
        <v>1057140</v>
      </c>
      <c r="L184" s="1670">
        <f>SUM(L180, L182:L183)</f>
        <v>1175565</v>
      </c>
    </row>
    <row r="185" spans="1:14" ht="15.75" customHeight="1" thickTop="1" thickBot="1" x14ac:dyDescent="0.25">
      <c r="A185" s="1352" t="s">
        <v>932</v>
      </c>
      <c r="B185" s="1341">
        <v>3000</v>
      </c>
      <c r="C185" s="1640"/>
      <c r="D185" s="1640"/>
      <c r="E185" s="1640"/>
      <c r="F185" s="1640"/>
      <c r="G185" s="1640"/>
      <c r="H185" s="1640"/>
      <c r="I185" s="1616"/>
      <c r="J185" s="1616"/>
      <c r="K185" s="1663">
        <f>SUM(C185:J185)</f>
        <v>0</v>
      </c>
      <c r="L185" s="1640">
        <v>0</v>
      </c>
    </row>
    <row r="186" spans="1:14" s="548" customFormat="1" ht="15.75" customHeight="1" thickTop="1" x14ac:dyDescent="0.2">
      <c r="A186" s="1336" t="s">
        <v>91</v>
      </c>
      <c r="B186" s="1339" t="s">
        <v>854</v>
      </c>
      <c r="C186" s="1662"/>
      <c r="D186" s="1662"/>
      <c r="E186" s="1662"/>
      <c r="F186" s="1662"/>
      <c r="G186" s="1662"/>
      <c r="H186" s="1662"/>
      <c r="I186" s="1662"/>
      <c r="J186" s="1662"/>
      <c r="K186" s="1662"/>
      <c r="L186" s="1662"/>
      <c r="M186" s="539"/>
      <c r="N186" s="539"/>
    </row>
    <row r="187" spans="1:14" s="548" customFormat="1" ht="15.75" customHeight="1" x14ac:dyDescent="0.2">
      <c r="A187" s="507" t="s">
        <v>1120</v>
      </c>
      <c r="B187" s="508"/>
      <c r="C187" s="1662"/>
      <c r="D187" s="1662"/>
      <c r="E187" s="1662"/>
      <c r="F187" s="1662"/>
      <c r="G187" s="1662"/>
      <c r="H187" s="1662"/>
      <c r="I187" s="1662"/>
      <c r="J187" s="1662"/>
      <c r="K187" s="1662"/>
      <c r="L187" s="1662"/>
      <c r="M187" s="539"/>
      <c r="N187" s="539"/>
    </row>
    <row r="188" spans="1:14" x14ac:dyDescent="0.2">
      <c r="A188" s="1266" t="s">
        <v>493</v>
      </c>
      <c r="B188" s="503">
        <v>4110</v>
      </c>
      <c r="C188" s="1662"/>
      <c r="D188" s="1662"/>
      <c r="E188" s="1564">
        <v>0</v>
      </c>
      <c r="F188" s="1662"/>
      <c r="G188" s="1662"/>
      <c r="H188" s="1564">
        <v>0</v>
      </c>
      <c r="I188" s="1572"/>
      <c r="J188" s="1662"/>
      <c r="K188" s="1661">
        <f t="shared" ref="K188:K193" si="18">SUM(E188,H188)</f>
        <v>0</v>
      </c>
      <c r="L188" s="1564">
        <v>0</v>
      </c>
    </row>
    <row r="189" spans="1:14" x14ac:dyDescent="0.2">
      <c r="A189" s="1266" t="s">
        <v>301</v>
      </c>
      <c r="B189" s="503">
        <v>4120</v>
      </c>
      <c r="C189" s="1662"/>
      <c r="D189" s="1662"/>
      <c r="E189" s="1564">
        <v>0</v>
      </c>
      <c r="F189" s="1662"/>
      <c r="G189" s="1662"/>
      <c r="H189" s="1564">
        <v>0</v>
      </c>
      <c r="I189" s="1572"/>
      <c r="J189" s="1662"/>
      <c r="K189" s="1661">
        <f t="shared" si="18"/>
        <v>0</v>
      </c>
      <c r="L189" s="1564">
        <v>0</v>
      </c>
    </row>
    <row r="190" spans="1:14" x14ac:dyDescent="0.2">
      <c r="A190" s="1266" t="s">
        <v>302</v>
      </c>
      <c r="B190" s="512">
        <v>4130</v>
      </c>
      <c r="C190" s="1662"/>
      <c r="D190" s="1662"/>
      <c r="E190" s="1564">
        <v>0</v>
      </c>
      <c r="F190" s="1662"/>
      <c r="G190" s="1662"/>
      <c r="H190" s="1564">
        <v>0</v>
      </c>
      <c r="I190" s="1572"/>
      <c r="J190" s="1662"/>
      <c r="K190" s="1661">
        <f t="shared" si="18"/>
        <v>0</v>
      </c>
      <c r="L190" s="1564">
        <v>0</v>
      </c>
    </row>
    <row r="191" spans="1:14" x14ac:dyDescent="0.2">
      <c r="A191" s="1266" t="s">
        <v>691</v>
      </c>
      <c r="B191" s="503">
        <v>4140</v>
      </c>
      <c r="C191" s="1662"/>
      <c r="D191" s="1662"/>
      <c r="E191" s="1564">
        <v>0</v>
      </c>
      <c r="F191" s="1662"/>
      <c r="G191" s="1662"/>
      <c r="H191" s="1564">
        <v>0</v>
      </c>
      <c r="I191" s="1572"/>
      <c r="J191" s="1662"/>
      <c r="K191" s="1661">
        <f t="shared" si="18"/>
        <v>0</v>
      </c>
      <c r="L191" s="1564">
        <v>0</v>
      </c>
    </row>
    <row r="192" spans="1:14" x14ac:dyDescent="0.2">
      <c r="A192" s="1266" t="s">
        <v>86</v>
      </c>
      <c r="B192" s="503">
        <v>4170</v>
      </c>
      <c r="C192" s="1662"/>
      <c r="D192" s="1662"/>
      <c r="E192" s="1564">
        <v>0</v>
      </c>
      <c r="F192" s="1662"/>
      <c r="G192" s="1662"/>
      <c r="H192" s="1564">
        <v>0</v>
      </c>
      <c r="I192" s="1572"/>
      <c r="J192" s="1662"/>
      <c r="K192" s="1661">
        <f t="shared" si="18"/>
        <v>0</v>
      </c>
      <c r="L192" s="1564">
        <v>0</v>
      </c>
    </row>
    <row r="193" spans="1:14" x14ac:dyDescent="0.2">
      <c r="A193" s="1270" t="s">
        <v>692</v>
      </c>
      <c r="B193" s="512">
        <v>4190</v>
      </c>
      <c r="C193" s="1662"/>
      <c r="D193" s="1662"/>
      <c r="E193" s="1564">
        <v>0</v>
      </c>
      <c r="F193" s="1662"/>
      <c r="G193" s="1662"/>
      <c r="H193" s="1564">
        <v>0</v>
      </c>
      <c r="I193" s="1572"/>
      <c r="J193" s="1662"/>
      <c r="K193" s="1661">
        <f t="shared" si="18"/>
        <v>0</v>
      </c>
      <c r="L193" s="1564">
        <v>0</v>
      </c>
    </row>
    <row r="194" spans="1:14" ht="12.75" customHeight="1" thickBot="1" x14ac:dyDescent="0.25">
      <c r="A194" s="1372" t="s">
        <v>1129</v>
      </c>
      <c r="B194" s="1373" t="s">
        <v>555</v>
      </c>
      <c r="C194" s="1662"/>
      <c r="D194" s="1662"/>
      <c r="E194" s="1663">
        <f>SUM(E188:E193)</f>
        <v>0</v>
      </c>
      <c r="F194" s="1662"/>
      <c r="G194" s="1662"/>
      <c r="H194" s="1663">
        <f>SUM(H188:H193)</f>
        <v>0</v>
      </c>
      <c r="I194" s="1572"/>
      <c r="J194" s="1662"/>
      <c r="K194" s="1663">
        <f>SUM(K188:K193)</f>
        <v>0</v>
      </c>
      <c r="L194" s="1663">
        <f>SUM(L188:L193)</f>
        <v>0</v>
      </c>
    </row>
    <row r="195" spans="1:14" ht="15.75" customHeight="1" thickTop="1" x14ac:dyDescent="0.2">
      <c r="A195" s="543" t="s">
        <v>92</v>
      </c>
      <c r="B195" s="552" t="s">
        <v>924</v>
      </c>
      <c r="C195" s="1662"/>
      <c r="D195" s="1662"/>
      <c r="E195" s="1684">
        <v>0</v>
      </c>
      <c r="F195" s="1662"/>
      <c r="G195" s="1662"/>
      <c r="H195" s="1684">
        <v>0</v>
      </c>
      <c r="I195" s="1572"/>
      <c r="J195" s="1662"/>
      <c r="K195" s="1685">
        <f>SUM(E195,H195)</f>
        <v>0</v>
      </c>
      <c r="L195" s="1684">
        <v>0</v>
      </c>
    </row>
    <row r="196" spans="1:14" ht="12.75" customHeight="1" thickBot="1" x14ac:dyDescent="0.25">
      <c r="A196" s="1372" t="s">
        <v>1467</v>
      </c>
      <c r="B196" s="1373" t="s">
        <v>854</v>
      </c>
      <c r="C196" s="1662"/>
      <c r="D196" s="1662"/>
      <c r="E196" s="1670">
        <f>SUM(E194,E195)</f>
        <v>0</v>
      </c>
      <c r="F196" s="1662"/>
      <c r="G196" s="1662"/>
      <c r="H196" s="1670">
        <f>SUM(H194,H195)</f>
        <v>0</v>
      </c>
      <c r="I196" s="1572"/>
      <c r="J196" s="1662"/>
      <c r="K196" s="1670">
        <f>SUM(K194,K195)</f>
        <v>0</v>
      </c>
      <c r="L196" s="1670">
        <f>SUM(L194,L195)</f>
        <v>0</v>
      </c>
    </row>
    <row r="197" spans="1:14" s="548" customFormat="1" ht="15.75" customHeight="1" thickTop="1" x14ac:dyDescent="0.2">
      <c r="A197" s="1342" t="s">
        <v>933</v>
      </c>
      <c r="B197" s="1339" t="s">
        <v>489</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6" t="s">
        <v>87</v>
      </c>
      <c r="B199" s="503">
        <v>5110</v>
      </c>
      <c r="C199" s="1662"/>
      <c r="D199" s="1662"/>
      <c r="E199" s="1662"/>
      <c r="F199" s="1662"/>
      <c r="G199" s="1662"/>
      <c r="H199" s="1564">
        <v>0</v>
      </c>
      <c r="I199" s="1662"/>
      <c r="J199" s="1662"/>
      <c r="K199" s="1661">
        <f>SUM(H199)</f>
        <v>0</v>
      </c>
      <c r="L199" s="1564">
        <v>0</v>
      </c>
    </row>
    <row r="200" spans="1:14" x14ac:dyDescent="0.2">
      <c r="A200" s="1266" t="s">
        <v>88</v>
      </c>
      <c r="B200" s="503">
        <v>5120</v>
      </c>
      <c r="C200" s="1662"/>
      <c r="D200" s="1662"/>
      <c r="E200" s="1662"/>
      <c r="F200" s="1662"/>
      <c r="G200" s="1662"/>
      <c r="H200" s="1564">
        <v>0</v>
      </c>
      <c r="I200" s="1662"/>
      <c r="J200" s="1662"/>
      <c r="K200" s="1661">
        <f>SUM(H200)</f>
        <v>0</v>
      </c>
      <c r="L200" s="1564">
        <v>0</v>
      </c>
    </row>
    <row r="201" spans="1:14" ht="12.75" customHeight="1" x14ac:dyDescent="0.2">
      <c r="A201" s="1266" t="s">
        <v>1159</v>
      </c>
      <c r="B201" s="512" t="s">
        <v>613</v>
      </c>
      <c r="C201" s="1662"/>
      <c r="D201" s="1662"/>
      <c r="E201" s="1662"/>
      <c r="F201" s="1662"/>
      <c r="G201" s="1662"/>
      <c r="H201" s="1564">
        <v>0</v>
      </c>
      <c r="I201" s="1662"/>
      <c r="J201" s="1662"/>
      <c r="K201" s="1661">
        <f>SUM(H201)</f>
        <v>0</v>
      </c>
      <c r="L201" s="1564">
        <v>0</v>
      </c>
    </row>
    <row r="202" spans="1:14" x14ac:dyDescent="0.2">
      <c r="A202" s="1266" t="s">
        <v>89</v>
      </c>
      <c r="B202" s="503" t="s">
        <v>585</v>
      </c>
      <c r="C202" s="1662"/>
      <c r="D202" s="1662"/>
      <c r="E202" s="1662"/>
      <c r="F202" s="1662"/>
      <c r="G202" s="1662"/>
      <c r="H202" s="1564">
        <v>0</v>
      </c>
      <c r="I202" s="1662"/>
      <c r="J202" s="1662"/>
      <c r="K202" s="1661">
        <f>SUM(H202)</f>
        <v>0</v>
      </c>
      <c r="L202" s="1564">
        <v>0</v>
      </c>
    </row>
    <row r="203" spans="1:14" x14ac:dyDescent="0.2">
      <c r="A203" s="1278" t="s">
        <v>615</v>
      </c>
      <c r="B203" s="503" t="s">
        <v>614</v>
      </c>
      <c r="C203" s="1662"/>
      <c r="D203" s="1662"/>
      <c r="E203" s="1662"/>
      <c r="F203" s="1662"/>
      <c r="G203" s="1662"/>
      <c r="H203" s="1568">
        <v>0</v>
      </c>
      <c r="I203" s="1662"/>
      <c r="J203" s="1662"/>
      <c r="K203" s="1661">
        <f>SUM(H203)</f>
        <v>0</v>
      </c>
      <c r="L203" s="1568">
        <v>0</v>
      </c>
    </row>
    <row r="204" spans="1:14" ht="13.5" thickBot="1" x14ac:dyDescent="0.25">
      <c r="A204" s="1372" t="s">
        <v>274</v>
      </c>
      <c r="B204" s="1373" t="s">
        <v>712</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v>0</v>
      </c>
      <c r="I205" s="1662"/>
      <c r="J205" s="1662"/>
      <c r="K205" s="1685">
        <f>SUM(H205)</f>
        <v>0</v>
      </c>
      <c r="L205" s="1619">
        <v>0</v>
      </c>
    </row>
    <row r="206" spans="1:14" ht="30" customHeight="1" x14ac:dyDescent="0.2">
      <c r="A206" s="555" t="s">
        <v>1649</v>
      </c>
      <c r="B206" s="546" t="s">
        <v>31</v>
      </c>
      <c r="C206" s="1662"/>
      <c r="D206" s="1662"/>
      <c r="E206" s="1662"/>
      <c r="F206" s="1662"/>
      <c r="G206" s="1662"/>
      <c r="H206" s="1564">
        <v>0</v>
      </c>
      <c r="I206" s="1662"/>
      <c r="J206" s="1662"/>
      <c r="K206" s="1661">
        <f>SUM(H206)</f>
        <v>0</v>
      </c>
      <c r="L206" s="1564">
        <v>0</v>
      </c>
    </row>
    <row r="207" spans="1:14" ht="15.75" customHeight="1" x14ac:dyDescent="0.2">
      <c r="A207" s="507" t="s">
        <v>760</v>
      </c>
      <c r="B207" s="546" t="s">
        <v>84</v>
      </c>
      <c r="C207" s="1662"/>
      <c r="D207" s="1662"/>
      <c r="E207" s="1662"/>
      <c r="F207" s="1662"/>
      <c r="G207" s="1662"/>
      <c r="H207" s="1565">
        <v>0</v>
      </c>
      <c r="I207" s="1662"/>
      <c r="J207" s="1662"/>
      <c r="K207" s="1661">
        <f>H207</f>
        <v>0</v>
      </c>
      <c r="L207" s="1564">
        <v>0</v>
      </c>
    </row>
    <row r="208" spans="1:14" ht="12.75" customHeight="1" thickBot="1" x14ac:dyDescent="0.25">
      <c r="A208" s="1381" t="s">
        <v>633</v>
      </c>
      <c r="B208" s="1382" t="s">
        <v>489</v>
      </c>
      <c r="C208" s="1662"/>
      <c r="D208" s="1662"/>
      <c r="E208" s="1662"/>
      <c r="F208" s="1662"/>
      <c r="G208" s="1662"/>
      <c r="H208" s="1670">
        <f>SUM(H204,H205,H206,H207)</f>
        <v>0</v>
      </c>
      <c r="I208" s="1662"/>
      <c r="J208" s="1662"/>
      <c r="K208" s="1670">
        <f>SUM(K204,K205,K206,K207)</f>
        <v>0</v>
      </c>
      <c r="L208" s="1670">
        <f>SUM(L204,L205,L206,L207)</f>
        <v>0</v>
      </c>
    </row>
    <row r="209" spans="1:14" ht="15.75" customHeight="1" thickTop="1" thickBot="1" x14ac:dyDescent="0.25">
      <c r="A209" s="1336" t="s">
        <v>866</v>
      </c>
      <c r="B209" s="1343" t="s">
        <v>855</v>
      </c>
      <c r="C209" s="1665"/>
      <c r="D209" s="1665"/>
      <c r="E209" s="1665"/>
      <c r="F209" s="1665"/>
      <c r="G209" s="1665"/>
      <c r="H209" s="1665"/>
      <c r="I209" s="1662"/>
      <c r="J209" s="1662"/>
      <c r="K209" s="1665"/>
      <c r="L209" s="1640">
        <v>0</v>
      </c>
    </row>
    <row r="210" spans="1:14" ht="12.75" customHeight="1" thickTop="1" thickBot="1" x14ac:dyDescent="0.25">
      <c r="A210" s="1386" t="s">
        <v>275</v>
      </c>
      <c r="B210" s="1387"/>
      <c r="C210" s="1663">
        <f>SUM(C184,C185)</f>
        <v>77277</v>
      </c>
      <c r="D210" s="1663">
        <f>SUM(D184,D185)</f>
        <v>27160</v>
      </c>
      <c r="E210" s="1663">
        <f>SUM(E184,E185,E196)</f>
        <v>949545</v>
      </c>
      <c r="F210" s="1663">
        <f>SUM(F184,F185)</f>
        <v>3158</v>
      </c>
      <c r="G210" s="1663">
        <f>SUM(G184,G185)</f>
        <v>0</v>
      </c>
      <c r="H210" s="1663">
        <f>SUM(H184,H185,H196,H208,H209)</f>
        <v>0</v>
      </c>
      <c r="I210" s="1663">
        <f>SUM(I184,I185)</f>
        <v>0</v>
      </c>
      <c r="J210" s="1663">
        <f>SUM(J184,J185)</f>
        <v>0</v>
      </c>
      <c r="K210" s="1661">
        <f>SUM(K184,K185,K196,K208,K209)</f>
        <v>1057140</v>
      </c>
      <c r="L210" s="1663">
        <f>SUM(L184,L185,L196,L208,L209)</f>
        <v>1175565</v>
      </c>
    </row>
    <row r="211" spans="1:14" ht="13.5" thickTop="1" x14ac:dyDescent="0.2">
      <c r="A211" s="2307" t="s">
        <v>988</v>
      </c>
      <c r="B211" s="2308"/>
      <c r="C211" s="1664"/>
      <c r="D211" s="1664"/>
      <c r="E211" s="1664"/>
      <c r="F211" s="1664"/>
      <c r="G211" s="1664"/>
      <c r="H211" s="1664"/>
      <c r="I211" s="1662"/>
      <c r="J211" s="1662"/>
      <c r="K211" s="1678">
        <f>'Revenues 9-14'!F268-'Expenditures 15-22'!K210</f>
        <v>-268855</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302" t="s">
        <v>958</v>
      </c>
      <c r="B213" s="2303"/>
      <c r="C213" s="1692"/>
      <c r="D213" s="1693"/>
      <c r="E213" s="1693"/>
      <c r="F213" s="1693"/>
      <c r="G213" s="1693"/>
      <c r="H213" s="1693"/>
      <c r="I213" s="1693"/>
      <c r="J213" s="1693"/>
      <c r="K213" s="1693"/>
      <c r="L213" s="1694"/>
      <c r="M213" s="501"/>
      <c r="N213" s="501"/>
    </row>
    <row r="214" spans="1:14" s="548" customFormat="1" ht="15.75" customHeight="1" x14ac:dyDescent="0.2">
      <c r="A214" s="1353" t="s">
        <v>867</v>
      </c>
      <c r="B214" s="1345" t="s">
        <v>566</v>
      </c>
      <c r="C214" s="1662"/>
      <c r="D214" s="1665"/>
      <c r="E214" s="1662"/>
      <c r="F214" s="1662"/>
      <c r="G214" s="1662"/>
      <c r="H214" s="1662"/>
      <c r="I214" s="1662"/>
      <c r="J214" s="1662"/>
      <c r="K214" s="1665"/>
      <c r="L214" s="1665"/>
      <c r="M214" s="539"/>
      <c r="N214" s="539"/>
    </row>
    <row r="215" spans="1:14" x14ac:dyDescent="0.2">
      <c r="A215" s="1266" t="s">
        <v>954</v>
      </c>
      <c r="B215" s="503">
        <v>1100</v>
      </c>
      <c r="C215" s="1662"/>
      <c r="D215" s="1564">
        <v>0</v>
      </c>
      <c r="E215" s="1662"/>
      <c r="F215" s="1662"/>
      <c r="G215" s="1662"/>
      <c r="H215" s="1662"/>
      <c r="I215" s="1662"/>
      <c r="J215" s="1662"/>
      <c r="K215" s="1661">
        <f>D215</f>
        <v>0</v>
      </c>
      <c r="L215" s="1564">
        <v>0</v>
      </c>
    </row>
    <row r="216" spans="1:14" x14ac:dyDescent="0.2">
      <c r="A216" s="1266" t="s">
        <v>162</v>
      </c>
      <c r="B216" s="503" t="s">
        <v>960</v>
      </c>
      <c r="C216" s="1662"/>
      <c r="D216" s="1565">
        <v>0</v>
      </c>
      <c r="E216" s="1662"/>
      <c r="F216" s="1662"/>
      <c r="G216" s="1662"/>
      <c r="H216" s="1662"/>
      <c r="I216" s="1662"/>
      <c r="J216" s="1662"/>
      <c r="K216" s="1661">
        <f t="shared" ref="K216:K228" si="19">D216</f>
        <v>0</v>
      </c>
      <c r="L216" s="1564">
        <v>0</v>
      </c>
    </row>
    <row r="217" spans="1:14" x14ac:dyDescent="0.2">
      <c r="A217" s="1266" t="s">
        <v>163</v>
      </c>
      <c r="B217" s="503">
        <v>1200</v>
      </c>
      <c r="C217" s="1662"/>
      <c r="D217" s="1564">
        <v>517034</v>
      </c>
      <c r="E217" s="1662"/>
      <c r="F217" s="1662"/>
      <c r="G217" s="1662"/>
      <c r="H217" s="1662"/>
      <c r="I217" s="1662"/>
      <c r="J217" s="1662"/>
      <c r="K217" s="1661">
        <f t="shared" si="19"/>
        <v>517034</v>
      </c>
      <c r="L217" s="1564">
        <v>542290</v>
      </c>
    </row>
    <row r="218" spans="1:14" x14ac:dyDescent="0.2">
      <c r="A218" s="1266" t="s">
        <v>276</v>
      </c>
      <c r="B218" s="503" t="s">
        <v>961</v>
      </c>
      <c r="C218" s="1662"/>
      <c r="D218" s="1565">
        <v>35762</v>
      </c>
      <c r="E218" s="1662"/>
      <c r="F218" s="1662"/>
      <c r="G218" s="1662"/>
      <c r="H218" s="1662"/>
      <c r="I218" s="1662"/>
      <c r="J218" s="1662"/>
      <c r="K218" s="1661">
        <f t="shared" si="19"/>
        <v>35762</v>
      </c>
      <c r="L218" s="1564">
        <v>33820</v>
      </c>
    </row>
    <row r="219" spans="1:14" x14ac:dyDescent="0.2">
      <c r="A219" s="1266" t="s">
        <v>277</v>
      </c>
      <c r="B219" s="503">
        <v>1250</v>
      </c>
      <c r="C219" s="1662"/>
      <c r="D219" s="1564">
        <v>0</v>
      </c>
      <c r="E219" s="1662"/>
      <c r="F219" s="1662"/>
      <c r="G219" s="1662"/>
      <c r="H219" s="1662"/>
      <c r="I219" s="1662"/>
      <c r="J219" s="1662"/>
      <c r="K219" s="1661">
        <f t="shared" si="19"/>
        <v>0</v>
      </c>
      <c r="L219" s="1564">
        <v>0</v>
      </c>
    </row>
    <row r="220" spans="1:14" x14ac:dyDescent="0.2">
      <c r="A220" s="1266" t="s">
        <v>278</v>
      </c>
      <c r="B220" s="503" t="s">
        <v>160</v>
      </c>
      <c r="C220" s="1662"/>
      <c r="D220" s="1565">
        <v>0</v>
      </c>
      <c r="E220" s="1662"/>
      <c r="F220" s="1662"/>
      <c r="G220" s="1662"/>
      <c r="H220" s="1662"/>
      <c r="I220" s="1662"/>
      <c r="J220" s="1662"/>
      <c r="K220" s="1661">
        <f t="shared" si="19"/>
        <v>0</v>
      </c>
      <c r="L220" s="1564">
        <v>0</v>
      </c>
    </row>
    <row r="221" spans="1:14" x14ac:dyDescent="0.2">
      <c r="A221" s="1266" t="s">
        <v>955</v>
      </c>
      <c r="B221" s="503">
        <v>1300</v>
      </c>
      <c r="C221" s="1662"/>
      <c r="D221" s="1564">
        <v>0</v>
      </c>
      <c r="E221" s="1662"/>
      <c r="F221" s="1662"/>
      <c r="G221" s="1662"/>
      <c r="H221" s="1662"/>
      <c r="I221" s="1662"/>
      <c r="J221" s="1662"/>
      <c r="K221" s="1661">
        <f t="shared" si="19"/>
        <v>0</v>
      </c>
      <c r="L221" s="1564">
        <v>0</v>
      </c>
    </row>
    <row r="222" spans="1:14" x14ac:dyDescent="0.2">
      <c r="A222" s="1266" t="s">
        <v>717</v>
      </c>
      <c r="B222" s="503">
        <v>1400</v>
      </c>
      <c r="C222" s="1662"/>
      <c r="D222" s="1564">
        <v>95053</v>
      </c>
      <c r="E222" s="1662"/>
      <c r="F222" s="1662"/>
      <c r="G222" s="1662"/>
      <c r="H222" s="1662"/>
      <c r="I222" s="1662"/>
      <c r="J222" s="1662"/>
      <c r="K222" s="1661">
        <f t="shared" si="19"/>
        <v>95053</v>
      </c>
      <c r="L222" s="1564">
        <v>82025</v>
      </c>
    </row>
    <row r="223" spans="1:14" x14ac:dyDescent="0.2">
      <c r="A223" s="1266" t="s">
        <v>956</v>
      </c>
      <c r="B223" s="503">
        <v>1500</v>
      </c>
      <c r="C223" s="1662"/>
      <c r="D223" s="1564">
        <v>0</v>
      </c>
      <c r="E223" s="1662"/>
      <c r="F223" s="1662"/>
      <c r="G223" s="1662"/>
      <c r="H223" s="1662"/>
      <c r="I223" s="1662"/>
      <c r="J223" s="1662"/>
      <c r="K223" s="1661">
        <f t="shared" si="19"/>
        <v>0</v>
      </c>
      <c r="L223" s="1564">
        <v>1635</v>
      </c>
    </row>
    <row r="224" spans="1:14" x14ac:dyDescent="0.2">
      <c r="A224" s="1266" t="s">
        <v>957</v>
      </c>
      <c r="B224" s="503">
        <v>1600</v>
      </c>
      <c r="C224" s="1662"/>
      <c r="D224" s="1564">
        <v>16093</v>
      </c>
      <c r="E224" s="1662"/>
      <c r="F224" s="1662"/>
      <c r="G224" s="1662"/>
      <c r="H224" s="1662"/>
      <c r="I224" s="1662"/>
      <c r="J224" s="1662"/>
      <c r="K224" s="1661">
        <f t="shared" si="19"/>
        <v>16093</v>
      </c>
      <c r="L224" s="1564">
        <v>20680</v>
      </c>
    </row>
    <row r="225" spans="1:12" x14ac:dyDescent="0.2">
      <c r="A225" s="1266" t="s">
        <v>979</v>
      </c>
      <c r="B225" s="503">
        <v>1650</v>
      </c>
      <c r="C225" s="1662"/>
      <c r="D225" s="1564">
        <v>0</v>
      </c>
      <c r="E225" s="1662"/>
      <c r="F225" s="1662"/>
      <c r="G225" s="1662"/>
      <c r="H225" s="1662"/>
      <c r="I225" s="1662"/>
      <c r="J225" s="1662"/>
      <c r="K225" s="1661">
        <f t="shared" si="19"/>
        <v>0</v>
      </c>
      <c r="L225" s="1564">
        <v>0</v>
      </c>
    </row>
    <row r="226" spans="1:12" x14ac:dyDescent="0.2">
      <c r="A226" s="1266" t="s">
        <v>718</v>
      </c>
      <c r="B226" s="503" t="s">
        <v>161</v>
      </c>
      <c r="C226" s="1662"/>
      <c r="D226" s="1565">
        <v>0</v>
      </c>
      <c r="E226" s="1662"/>
      <c r="F226" s="1662"/>
      <c r="G226" s="1662"/>
      <c r="H226" s="1662"/>
      <c r="I226" s="1662"/>
      <c r="J226" s="1662"/>
      <c r="K226" s="1661">
        <f t="shared" si="19"/>
        <v>0</v>
      </c>
      <c r="L226" s="1564">
        <v>0</v>
      </c>
    </row>
    <row r="227" spans="1:12" x14ac:dyDescent="0.2">
      <c r="A227" s="1266" t="s">
        <v>1077</v>
      </c>
      <c r="B227" s="503">
        <v>1800</v>
      </c>
      <c r="C227" s="1662"/>
      <c r="D227" s="1564">
        <v>0</v>
      </c>
      <c r="E227" s="1662"/>
      <c r="F227" s="1662"/>
      <c r="G227" s="1662"/>
      <c r="H227" s="1662"/>
      <c r="I227" s="1662"/>
      <c r="J227" s="1662"/>
      <c r="K227" s="1661">
        <f t="shared" si="19"/>
        <v>0</v>
      </c>
      <c r="L227" s="1564">
        <v>0</v>
      </c>
    </row>
    <row r="228" spans="1:12" x14ac:dyDescent="0.2">
      <c r="A228" s="1266" t="s">
        <v>1078</v>
      </c>
      <c r="B228" s="503">
        <v>1900</v>
      </c>
      <c r="C228" s="1662"/>
      <c r="D228" s="1564">
        <v>0</v>
      </c>
      <c r="E228" s="1662"/>
      <c r="F228" s="1662"/>
      <c r="G228" s="1662"/>
      <c r="H228" s="1662"/>
      <c r="I228" s="1662"/>
      <c r="J228" s="1662"/>
      <c r="K228" s="1661">
        <f t="shared" si="19"/>
        <v>0</v>
      </c>
      <c r="L228" s="1564">
        <v>0</v>
      </c>
    </row>
    <row r="229" spans="1:12" ht="12.75" customHeight="1" thickBot="1" x14ac:dyDescent="0.25">
      <c r="A229" s="1372" t="s">
        <v>709</v>
      </c>
      <c r="B229" s="1375" t="s">
        <v>566</v>
      </c>
      <c r="C229" s="1662"/>
      <c r="D229" s="1663">
        <f>SUM(D215:D228)</f>
        <v>663942</v>
      </c>
      <c r="E229" s="1662"/>
      <c r="F229" s="1662"/>
      <c r="G229" s="1662"/>
      <c r="H229" s="1662"/>
      <c r="I229" s="1662"/>
      <c r="J229" s="1662"/>
      <c r="K229" s="1663">
        <f>SUM(K215:K228)</f>
        <v>663942</v>
      </c>
      <c r="L229" s="1663">
        <f>SUM(L215:L228)</f>
        <v>680450</v>
      </c>
    </row>
    <row r="230" spans="1:12" ht="15.75" customHeight="1" thickTop="1" x14ac:dyDescent="0.2">
      <c r="A230" s="1342" t="s">
        <v>868</v>
      </c>
      <c r="B230" s="1343" t="s">
        <v>565</v>
      </c>
      <c r="C230" s="1662"/>
      <c r="D230" s="1662"/>
      <c r="E230" s="1662"/>
      <c r="F230" s="1662"/>
      <c r="G230" s="1662"/>
      <c r="H230" s="1662"/>
      <c r="I230" s="1662"/>
      <c r="J230" s="1662"/>
      <c r="K230" s="1662"/>
      <c r="L230" s="1662"/>
    </row>
    <row r="231" spans="1:12" ht="15.75" customHeight="1" x14ac:dyDescent="0.2">
      <c r="A231" s="530" t="s">
        <v>587</v>
      </c>
      <c r="B231" s="508"/>
      <c r="C231" s="1662"/>
      <c r="D231" s="1662"/>
      <c r="E231" s="1662"/>
      <c r="F231" s="1662"/>
      <c r="G231" s="1662"/>
      <c r="H231" s="1662"/>
      <c r="I231" s="1662"/>
      <c r="J231" s="1662"/>
      <c r="K231" s="1662"/>
      <c r="L231" s="1662"/>
    </row>
    <row r="232" spans="1:12" x14ac:dyDescent="0.2">
      <c r="A232" s="1266" t="s">
        <v>1079</v>
      </c>
      <c r="B232" s="503">
        <v>2110</v>
      </c>
      <c r="C232" s="1662"/>
      <c r="D232" s="1564">
        <v>11789</v>
      </c>
      <c r="E232" s="1662"/>
      <c r="F232" s="1662"/>
      <c r="G232" s="1662"/>
      <c r="H232" s="1662"/>
      <c r="I232" s="1662"/>
      <c r="J232" s="1662"/>
      <c r="K232" s="1661">
        <f t="shared" ref="K232:K237" si="20">D232</f>
        <v>11789</v>
      </c>
      <c r="L232" s="1564">
        <v>14610</v>
      </c>
    </row>
    <row r="233" spans="1:12" x14ac:dyDescent="0.2">
      <c r="A233" s="1266" t="s">
        <v>1080</v>
      </c>
      <c r="B233" s="503">
        <v>2120</v>
      </c>
      <c r="C233" s="1662"/>
      <c r="D233" s="1564">
        <v>0</v>
      </c>
      <c r="E233" s="1662"/>
      <c r="F233" s="1662"/>
      <c r="G233" s="1662"/>
      <c r="H233" s="1662"/>
      <c r="I233" s="1662"/>
      <c r="J233" s="1662"/>
      <c r="K233" s="1661">
        <f t="shared" si="20"/>
        <v>0</v>
      </c>
      <c r="L233" s="1564">
        <v>0</v>
      </c>
    </row>
    <row r="234" spans="1:12" x14ac:dyDescent="0.2">
      <c r="A234" s="1266" t="s">
        <v>196</v>
      </c>
      <c r="B234" s="503">
        <v>2130</v>
      </c>
      <c r="C234" s="1662"/>
      <c r="D234" s="1564">
        <v>415375</v>
      </c>
      <c r="E234" s="1662"/>
      <c r="F234" s="1662"/>
      <c r="G234" s="1662"/>
      <c r="H234" s="1662"/>
      <c r="I234" s="1662"/>
      <c r="J234" s="1662"/>
      <c r="K234" s="1661">
        <f t="shared" si="20"/>
        <v>415375</v>
      </c>
      <c r="L234" s="1564">
        <v>429595</v>
      </c>
    </row>
    <row r="235" spans="1:12" x14ac:dyDescent="0.2">
      <c r="A235" s="1266" t="s">
        <v>197</v>
      </c>
      <c r="B235" s="503">
        <v>2140</v>
      </c>
      <c r="C235" s="1662"/>
      <c r="D235" s="1564">
        <v>2275</v>
      </c>
      <c r="E235" s="1662"/>
      <c r="F235" s="1662"/>
      <c r="G235" s="1662"/>
      <c r="H235" s="1662"/>
      <c r="I235" s="1662"/>
      <c r="J235" s="1662"/>
      <c r="K235" s="1661">
        <f t="shared" si="20"/>
        <v>2275</v>
      </c>
      <c r="L235" s="1564">
        <v>0</v>
      </c>
    </row>
    <row r="236" spans="1:12" x14ac:dyDescent="0.2">
      <c r="A236" s="1266" t="s">
        <v>198</v>
      </c>
      <c r="B236" s="503">
        <v>2150</v>
      </c>
      <c r="C236" s="1662"/>
      <c r="D236" s="1564">
        <v>73265</v>
      </c>
      <c r="E236" s="1662"/>
      <c r="F236" s="1662"/>
      <c r="G236" s="1662"/>
      <c r="H236" s="1662"/>
      <c r="I236" s="1662"/>
      <c r="J236" s="1662"/>
      <c r="K236" s="1661">
        <f t="shared" si="20"/>
        <v>73265</v>
      </c>
      <c r="L236" s="1564">
        <v>70750</v>
      </c>
    </row>
    <row r="237" spans="1:12" x14ac:dyDescent="0.2">
      <c r="A237" s="1266" t="s">
        <v>164</v>
      </c>
      <c r="B237" s="503">
        <v>2190</v>
      </c>
      <c r="C237" s="1662"/>
      <c r="D237" s="1564">
        <v>0</v>
      </c>
      <c r="E237" s="1662"/>
      <c r="F237" s="1662"/>
      <c r="G237" s="1662"/>
      <c r="H237" s="1662"/>
      <c r="I237" s="1662"/>
      <c r="J237" s="1662"/>
      <c r="K237" s="1661">
        <f t="shared" si="20"/>
        <v>0</v>
      </c>
      <c r="L237" s="1564">
        <v>0</v>
      </c>
    </row>
    <row r="238" spans="1:12" ht="12.75" customHeight="1" thickBot="1" x14ac:dyDescent="0.25">
      <c r="A238" s="1372" t="s">
        <v>556</v>
      </c>
      <c r="B238" s="1375" t="s">
        <v>710</v>
      </c>
      <c r="C238" s="1662"/>
      <c r="D238" s="1663">
        <f>SUM(D232:D237)</f>
        <v>502704</v>
      </c>
      <c r="E238" s="1662"/>
      <c r="F238" s="1662"/>
      <c r="G238" s="1662"/>
      <c r="H238" s="1662"/>
      <c r="I238" s="1662"/>
      <c r="J238" s="1662"/>
      <c r="K238" s="1663">
        <f>SUM(K232:K237)</f>
        <v>502704</v>
      </c>
      <c r="L238" s="1663">
        <f>SUM(L232:L237)</f>
        <v>514955</v>
      </c>
    </row>
    <row r="239" spans="1:12" ht="15.75" customHeight="1" thickTop="1" x14ac:dyDescent="0.2">
      <c r="A239" s="509" t="s">
        <v>588</v>
      </c>
      <c r="B239" s="514"/>
      <c r="C239" s="1662"/>
      <c r="D239" s="1666"/>
      <c r="E239" s="1662"/>
      <c r="F239" s="1662"/>
      <c r="G239" s="1662"/>
      <c r="H239" s="1662"/>
      <c r="I239" s="1662"/>
      <c r="J239" s="1662"/>
      <c r="K239" s="1666"/>
      <c r="L239" s="1666"/>
    </row>
    <row r="240" spans="1:12" x14ac:dyDescent="0.2">
      <c r="A240" s="1266" t="s">
        <v>808</v>
      </c>
      <c r="B240" s="503">
        <v>2210</v>
      </c>
      <c r="C240" s="1662"/>
      <c r="D240" s="1576">
        <v>9912</v>
      </c>
      <c r="E240" s="1662"/>
      <c r="F240" s="1662"/>
      <c r="G240" s="1662"/>
      <c r="H240" s="1662"/>
      <c r="I240" s="1662"/>
      <c r="J240" s="1662"/>
      <c r="K240" s="1667">
        <f>D240</f>
        <v>9912</v>
      </c>
      <c r="L240" s="1576">
        <v>5440</v>
      </c>
    </row>
    <row r="241" spans="1:12" x14ac:dyDescent="0.2">
      <c r="A241" s="1266" t="s">
        <v>809</v>
      </c>
      <c r="B241" s="503">
        <v>2220</v>
      </c>
      <c r="C241" s="1662"/>
      <c r="D241" s="1564">
        <v>12459</v>
      </c>
      <c r="E241" s="1662"/>
      <c r="F241" s="1662"/>
      <c r="G241" s="1662"/>
      <c r="H241" s="1662"/>
      <c r="I241" s="1662"/>
      <c r="J241" s="1662"/>
      <c r="K241" s="1667">
        <f>D241</f>
        <v>12459</v>
      </c>
      <c r="L241" s="1564">
        <v>14400</v>
      </c>
    </row>
    <row r="242" spans="1:12" x14ac:dyDescent="0.2">
      <c r="A242" s="1266" t="s">
        <v>810</v>
      </c>
      <c r="B242" s="503">
        <v>2230</v>
      </c>
      <c r="C242" s="1662"/>
      <c r="D242" s="1564">
        <v>0</v>
      </c>
      <c r="E242" s="1662"/>
      <c r="F242" s="1662"/>
      <c r="G242" s="1662"/>
      <c r="H242" s="1662"/>
      <c r="I242" s="1662"/>
      <c r="J242" s="1662"/>
      <c r="K242" s="1667">
        <f>D242</f>
        <v>0</v>
      </c>
      <c r="L242" s="1564">
        <v>0</v>
      </c>
    </row>
    <row r="243" spans="1:12" ht="12.75" customHeight="1" thickBot="1" x14ac:dyDescent="0.25">
      <c r="A243" s="1388" t="s">
        <v>557</v>
      </c>
      <c r="B243" s="1389">
        <v>2200</v>
      </c>
      <c r="C243" s="1662"/>
      <c r="D243" s="1663">
        <f>SUM(D240:D242)</f>
        <v>22371</v>
      </c>
      <c r="E243" s="1662"/>
      <c r="F243" s="1662"/>
      <c r="G243" s="1662"/>
      <c r="H243" s="1662"/>
      <c r="I243" s="1662"/>
      <c r="J243" s="1662"/>
      <c r="K243" s="1663">
        <f>SUM(K240:K242)</f>
        <v>22371</v>
      </c>
      <c r="L243" s="1663">
        <f>SUM(L240:L242)</f>
        <v>19840</v>
      </c>
    </row>
    <row r="244" spans="1:12" ht="15.75" customHeight="1" thickTop="1" x14ac:dyDescent="0.2">
      <c r="A244" s="509" t="s">
        <v>606</v>
      </c>
      <c r="B244" s="556"/>
      <c r="C244" s="1662"/>
      <c r="D244" s="1666"/>
      <c r="E244" s="1662"/>
      <c r="F244" s="1662"/>
      <c r="G244" s="1662"/>
      <c r="H244" s="1662"/>
      <c r="I244" s="1662"/>
      <c r="J244" s="1662"/>
      <c r="K244" s="1666"/>
      <c r="L244" s="1666"/>
    </row>
    <row r="245" spans="1:12" x14ac:dyDescent="0.2">
      <c r="A245" s="1266" t="s">
        <v>811</v>
      </c>
      <c r="B245" s="503">
        <v>2310</v>
      </c>
      <c r="C245" s="1662"/>
      <c r="D245" s="1576">
        <v>0</v>
      </c>
      <c r="E245" s="1662"/>
      <c r="F245" s="1662"/>
      <c r="G245" s="1662"/>
      <c r="H245" s="1662"/>
      <c r="I245" s="1662"/>
      <c r="J245" s="1662"/>
      <c r="K245" s="1667">
        <f>D245</f>
        <v>0</v>
      </c>
      <c r="L245" s="1576">
        <v>0</v>
      </c>
    </row>
    <row r="246" spans="1:12" x14ac:dyDescent="0.2">
      <c r="A246" s="1266" t="s">
        <v>812</v>
      </c>
      <c r="B246" s="503">
        <v>2320</v>
      </c>
      <c r="C246" s="1662"/>
      <c r="D246" s="1564">
        <v>24020</v>
      </c>
      <c r="E246" s="1662"/>
      <c r="F246" s="1662"/>
      <c r="G246" s="1662"/>
      <c r="H246" s="1662"/>
      <c r="I246" s="1662"/>
      <c r="J246" s="1662"/>
      <c r="K246" s="1667">
        <f t="shared" ref="K246:K256" si="21">D246</f>
        <v>24020</v>
      </c>
      <c r="L246" s="1564">
        <v>29885</v>
      </c>
    </row>
    <row r="247" spans="1:12" x14ac:dyDescent="0.2">
      <c r="A247" s="1266" t="s">
        <v>813</v>
      </c>
      <c r="B247" s="503">
        <v>2330</v>
      </c>
      <c r="C247" s="1662"/>
      <c r="D247" s="1564">
        <v>0</v>
      </c>
      <c r="E247" s="1662"/>
      <c r="F247" s="1662"/>
      <c r="G247" s="1662"/>
      <c r="H247" s="1662"/>
      <c r="I247" s="1662"/>
      <c r="J247" s="1662"/>
      <c r="K247" s="1667">
        <f t="shared" si="21"/>
        <v>0</v>
      </c>
      <c r="L247" s="1564">
        <v>0</v>
      </c>
    </row>
    <row r="248" spans="1:12" x14ac:dyDescent="0.2">
      <c r="A248" s="1267" t="s">
        <v>296</v>
      </c>
      <c r="B248" s="494" t="s">
        <v>279</v>
      </c>
      <c r="C248" s="1662"/>
      <c r="D248" s="1570">
        <v>0</v>
      </c>
      <c r="E248" s="1662"/>
      <c r="F248" s="1662"/>
      <c r="G248" s="1662"/>
      <c r="H248" s="1662"/>
      <c r="I248" s="1662"/>
      <c r="J248" s="1662"/>
      <c r="K248" s="1667">
        <f t="shared" si="21"/>
        <v>0</v>
      </c>
      <c r="L248" s="1564">
        <v>0</v>
      </c>
    </row>
    <row r="249" spans="1:12" x14ac:dyDescent="0.2">
      <c r="A249" s="1268" t="s">
        <v>1776</v>
      </c>
      <c r="B249" s="557" t="s">
        <v>280</v>
      </c>
      <c r="C249" s="1662"/>
      <c r="D249" s="1570">
        <v>0</v>
      </c>
      <c r="E249" s="1662"/>
      <c r="F249" s="1662"/>
      <c r="G249" s="1662"/>
      <c r="H249" s="1662"/>
      <c r="I249" s="1662"/>
      <c r="J249" s="1662"/>
      <c r="K249" s="1667">
        <f t="shared" si="21"/>
        <v>0</v>
      </c>
      <c r="L249" s="1564">
        <v>0</v>
      </c>
    </row>
    <row r="250" spans="1:12" x14ac:dyDescent="0.2">
      <c r="A250" s="1267" t="s">
        <v>1777</v>
      </c>
      <c r="B250" s="494" t="s">
        <v>281</v>
      </c>
      <c r="C250" s="1662"/>
      <c r="D250" s="1570">
        <v>0</v>
      </c>
      <c r="E250" s="1662"/>
      <c r="F250" s="1662"/>
      <c r="G250" s="1662"/>
      <c r="H250" s="1662"/>
      <c r="I250" s="1662"/>
      <c r="J250" s="1662"/>
      <c r="K250" s="1667">
        <f t="shared" si="21"/>
        <v>0</v>
      </c>
      <c r="L250" s="1564">
        <v>0</v>
      </c>
    </row>
    <row r="251" spans="1:12" x14ac:dyDescent="0.2">
      <c r="A251" s="1267" t="s">
        <v>236</v>
      </c>
      <c r="B251" s="494" t="s">
        <v>282</v>
      </c>
      <c r="C251" s="1662"/>
      <c r="D251" s="1570">
        <v>0</v>
      </c>
      <c r="E251" s="1662"/>
      <c r="F251" s="1662"/>
      <c r="G251" s="1662"/>
      <c r="H251" s="1662"/>
      <c r="I251" s="1662"/>
      <c r="J251" s="1662"/>
      <c r="K251" s="1667">
        <f t="shared" si="21"/>
        <v>0</v>
      </c>
      <c r="L251" s="1564">
        <v>0</v>
      </c>
    </row>
    <row r="252" spans="1:12" x14ac:dyDescent="0.2">
      <c r="A252" s="1267" t="s">
        <v>696</v>
      </c>
      <c r="B252" s="494" t="s">
        <v>283</v>
      </c>
      <c r="C252" s="1662"/>
      <c r="D252" s="1570">
        <v>0</v>
      </c>
      <c r="E252" s="1662"/>
      <c r="F252" s="1662"/>
      <c r="G252" s="1662"/>
      <c r="H252" s="1662"/>
      <c r="I252" s="1662"/>
      <c r="J252" s="1662"/>
      <c r="K252" s="1667">
        <f t="shared" si="21"/>
        <v>0</v>
      </c>
      <c r="L252" s="1564">
        <v>0</v>
      </c>
    </row>
    <row r="253" spans="1:12" x14ac:dyDescent="0.2">
      <c r="A253" s="1267" t="s">
        <v>237</v>
      </c>
      <c r="B253" s="494" t="s">
        <v>284</v>
      </c>
      <c r="C253" s="1662"/>
      <c r="D253" s="1570">
        <v>0</v>
      </c>
      <c r="E253" s="1662"/>
      <c r="F253" s="1662"/>
      <c r="G253" s="1662"/>
      <c r="H253" s="1662"/>
      <c r="I253" s="1662"/>
      <c r="J253" s="1662"/>
      <c r="K253" s="1667">
        <f t="shared" si="21"/>
        <v>0</v>
      </c>
      <c r="L253" s="1564">
        <v>0</v>
      </c>
    </row>
    <row r="254" spans="1:12" ht="22.5" x14ac:dyDescent="0.2">
      <c r="A254" s="1267" t="s">
        <v>1021</v>
      </c>
      <c r="B254" s="557" t="s">
        <v>285</v>
      </c>
      <c r="C254" s="1662"/>
      <c r="D254" s="1570">
        <v>0</v>
      </c>
      <c r="E254" s="1662"/>
      <c r="F254" s="1662"/>
      <c r="G254" s="1662"/>
      <c r="H254" s="1662"/>
      <c r="I254" s="1662"/>
      <c r="J254" s="1662"/>
      <c r="K254" s="1667">
        <f t="shared" si="21"/>
        <v>0</v>
      </c>
      <c r="L254" s="1564">
        <v>0</v>
      </c>
    </row>
    <row r="255" spans="1:12" x14ac:dyDescent="0.2">
      <c r="A255" s="1267" t="s">
        <v>1022</v>
      </c>
      <c r="B255" s="494" t="s">
        <v>286</v>
      </c>
      <c r="C255" s="1662"/>
      <c r="D255" s="1570">
        <v>0</v>
      </c>
      <c r="E255" s="1662"/>
      <c r="F255" s="1662"/>
      <c r="G255" s="1662"/>
      <c r="H255" s="1662"/>
      <c r="I255" s="1662"/>
      <c r="J255" s="1662"/>
      <c r="K255" s="1667">
        <f t="shared" si="21"/>
        <v>0</v>
      </c>
      <c r="L255" s="1564">
        <v>0</v>
      </c>
    </row>
    <row r="256" spans="1:12" x14ac:dyDescent="0.2">
      <c r="A256" s="1267" t="s">
        <v>964</v>
      </c>
      <c r="B256" s="503" t="s">
        <v>287</v>
      </c>
      <c r="C256" s="1662"/>
      <c r="D256" s="1570">
        <v>0</v>
      </c>
      <c r="E256" s="1662"/>
      <c r="F256" s="1662"/>
      <c r="G256" s="1662"/>
      <c r="H256" s="1662"/>
      <c r="I256" s="1662"/>
      <c r="J256" s="1662"/>
      <c r="K256" s="1667">
        <f t="shared" si="21"/>
        <v>0</v>
      </c>
      <c r="L256" s="1564">
        <v>0</v>
      </c>
    </row>
    <row r="257" spans="1:14" ht="12.75" customHeight="1" thickBot="1" x14ac:dyDescent="0.25">
      <c r="A257" s="1372" t="s">
        <v>711</v>
      </c>
      <c r="B257" s="1390">
        <v>2300</v>
      </c>
      <c r="C257" s="1662"/>
      <c r="D257" s="1663">
        <f>SUM(D245:D256)</f>
        <v>24020</v>
      </c>
      <c r="E257" s="1662"/>
      <c r="F257" s="1662"/>
      <c r="G257" s="1662"/>
      <c r="H257" s="1662"/>
      <c r="I257" s="1662"/>
      <c r="J257" s="1662"/>
      <c r="K257" s="1663">
        <f>SUM(K245:K256)</f>
        <v>24020</v>
      </c>
      <c r="L257" s="1663">
        <f>SUM(L245:L256)</f>
        <v>29885</v>
      </c>
    </row>
    <row r="258" spans="1:14" ht="15.75" customHeight="1" thickTop="1" x14ac:dyDescent="0.2">
      <c r="A258" s="509" t="s">
        <v>607</v>
      </c>
      <c r="B258" s="558"/>
      <c r="C258" s="1662"/>
      <c r="D258" s="1666"/>
      <c r="E258" s="1662"/>
      <c r="F258" s="1662"/>
      <c r="G258" s="1662"/>
      <c r="H258" s="1662"/>
      <c r="I258" s="1662"/>
      <c r="J258" s="1662"/>
      <c r="K258" s="1666"/>
      <c r="L258" s="1666"/>
    </row>
    <row r="259" spans="1:14" x14ac:dyDescent="0.2">
      <c r="A259" s="1266" t="s">
        <v>1057</v>
      </c>
      <c r="B259" s="559">
        <v>2410</v>
      </c>
      <c r="C259" s="1662"/>
      <c r="D259" s="1576">
        <v>36638</v>
      </c>
      <c r="E259" s="1662"/>
      <c r="F259" s="1662"/>
      <c r="G259" s="1662"/>
      <c r="H259" s="1662"/>
      <c r="I259" s="1662"/>
      <c r="J259" s="1662"/>
      <c r="K259" s="1667">
        <f>D259</f>
        <v>36638</v>
      </c>
      <c r="L259" s="1576">
        <v>36200</v>
      </c>
    </row>
    <row r="260" spans="1:14" s="493" customFormat="1" x14ac:dyDescent="0.2">
      <c r="A260" s="1284" t="s">
        <v>1775</v>
      </c>
      <c r="B260" s="512">
        <v>2490</v>
      </c>
      <c r="C260" s="1662"/>
      <c r="D260" s="1564">
        <v>5975</v>
      </c>
      <c r="E260" s="1662"/>
      <c r="F260" s="1662"/>
      <c r="G260" s="1662"/>
      <c r="H260" s="1662"/>
      <c r="I260" s="1662"/>
      <c r="J260" s="1662"/>
      <c r="K260" s="1667">
        <f>D260</f>
        <v>5975</v>
      </c>
      <c r="L260" s="1564">
        <v>6235</v>
      </c>
      <c r="M260" s="205"/>
      <c r="N260" s="205"/>
    </row>
    <row r="261" spans="1:14" ht="12.75" customHeight="1" thickBot="1" x14ac:dyDescent="0.25">
      <c r="A261" s="1386" t="s">
        <v>261</v>
      </c>
      <c r="B261" s="1391" t="s">
        <v>34</v>
      </c>
      <c r="C261" s="1662"/>
      <c r="D261" s="1663">
        <f>SUM(D259:D260)</f>
        <v>42613</v>
      </c>
      <c r="E261" s="1662"/>
      <c r="F261" s="1662"/>
      <c r="G261" s="1662"/>
      <c r="H261" s="1662"/>
      <c r="I261" s="1662"/>
      <c r="J261" s="1662"/>
      <c r="K261" s="1663">
        <f>SUM(K259:K260)</f>
        <v>42613</v>
      </c>
      <c r="L261" s="1663">
        <f>SUM(L259:L260)</f>
        <v>42435</v>
      </c>
    </row>
    <row r="262" spans="1:14" ht="15.75" customHeight="1" thickTop="1" x14ac:dyDescent="0.2">
      <c r="A262" s="509" t="s">
        <v>608</v>
      </c>
      <c r="B262" s="558"/>
      <c r="C262" s="1662"/>
      <c r="D262" s="1662"/>
      <c r="E262" s="1662"/>
      <c r="F262" s="1662"/>
      <c r="G262" s="1662"/>
      <c r="H262" s="1662"/>
      <c r="I262" s="1662"/>
      <c r="J262" s="1662"/>
      <c r="K262" s="1666"/>
      <c r="L262" s="1666"/>
    </row>
    <row r="263" spans="1:14" x14ac:dyDescent="0.2">
      <c r="A263" s="1266" t="s">
        <v>1058</v>
      </c>
      <c r="B263" s="559">
        <v>2510</v>
      </c>
      <c r="C263" s="1662"/>
      <c r="D263" s="1564">
        <v>0</v>
      </c>
      <c r="E263" s="1662"/>
      <c r="F263" s="1662"/>
      <c r="G263" s="1662"/>
      <c r="H263" s="1662"/>
      <c r="I263" s="1662"/>
      <c r="J263" s="1662"/>
      <c r="K263" s="1667">
        <f>D263</f>
        <v>0</v>
      </c>
      <c r="L263" s="1576">
        <v>0</v>
      </c>
    </row>
    <row r="264" spans="1:14" x14ac:dyDescent="0.2">
      <c r="A264" s="1266" t="s">
        <v>460</v>
      </c>
      <c r="B264" s="559">
        <v>2520</v>
      </c>
      <c r="C264" s="1662"/>
      <c r="D264" s="1564">
        <v>36803</v>
      </c>
      <c r="E264" s="1662"/>
      <c r="F264" s="1662"/>
      <c r="G264" s="1662"/>
      <c r="H264" s="1662"/>
      <c r="I264" s="1662"/>
      <c r="J264" s="1662"/>
      <c r="K264" s="1667">
        <f t="shared" ref="K264:K269" si="22">D264</f>
        <v>36803</v>
      </c>
      <c r="L264" s="1564">
        <v>41365</v>
      </c>
    </row>
    <row r="265" spans="1:14" x14ac:dyDescent="0.2">
      <c r="A265" s="1266" t="s">
        <v>4</v>
      </c>
      <c r="B265" s="503">
        <v>2530</v>
      </c>
      <c r="C265" s="1662"/>
      <c r="D265" s="1564">
        <v>0</v>
      </c>
      <c r="E265" s="1662"/>
      <c r="F265" s="1662"/>
      <c r="G265" s="1662"/>
      <c r="H265" s="1662"/>
      <c r="I265" s="1662"/>
      <c r="J265" s="1662"/>
      <c r="K265" s="1667">
        <f t="shared" si="22"/>
        <v>0</v>
      </c>
      <c r="L265" s="1564">
        <v>0</v>
      </c>
    </row>
    <row r="266" spans="1:14" x14ac:dyDescent="0.2">
      <c r="A266" s="1266" t="s">
        <v>195</v>
      </c>
      <c r="B266" s="503">
        <v>2540</v>
      </c>
      <c r="C266" s="1662"/>
      <c r="D266" s="1564">
        <v>91902</v>
      </c>
      <c r="E266" s="1662"/>
      <c r="F266" s="1662"/>
      <c r="G266" s="1662"/>
      <c r="H266" s="1662"/>
      <c r="I266" s="1662"/>
      <c r="J266" s="1662"/>
      <c r="K266" s="1667">
        <f t="shared" si="22"/>
        <v>91902</v>
      </c>
      <c r="L266" s="1564">
        <v>105840</v>
      </c>
    </row>
    <row r="267" spans="1:14" x14ac:dyDescent="0.2">
      <c r="A267" s="1266" t="s">
        <v>946</v>
      </c>
      <c r="B267" s="503">
        <v>2550</v>
      </c>
      <c r="C267" s="1662"/>
      <c r="D267" s="1564">
        <v>8254</v>
      </c>
      <c r="E267" s="1662"/>
      <c r="F267" s="1662"/>
      <c r="G267" s="1662"/>
      <c r="H267" s="1662"/>
      <c r="I267" s="1662"/>
      <c r="J267" s="1662"/>
      <c r="K267" s="1667">
        <f t="shared" si="22"/>
        <v>8254</v>
      </c>
      <c r="L267" s="1564">
        <v>9555</v>
      </c>
    </row>
    <row r="268" spans="1:14" x14ac:dyDescent="0.2">
      <c r="A268" s="1266" t="s">
        <v>100</v>
      </c>
      <c r="B268" s="503">
        <v>2560</v>
      </c>
      <c r="C268" s="1662"/>
      <c r="D268" s="1564">
        <v>0</v>
      </c>
      <c r="E268" s="1662"/>
      <c r="F268" s="1662"/>
      <c r="G268" s="1662"/>
      <c r="H268" s="1662"/>
      <c r="I268" s="1662"/>
      <c r="J268" s="1662"/>
      <c r="K268" s="1667">
        <f t="shared" si="22"/>
        <v>0</v>
      </c>
      <c r="L268" s="1564">
        <v>0</v>
      </c>
    </row>
    <row r="269" spans="1:14" x14ac:dyDescent="0.2">
      <c r="A269" s="1266" t="s">
        <v>101</v>
      </c>
      <c r="B269" s="503">
        <v>2570</v>
      </c>
      <c r="C269" s="1662"/>
      <c r="D269" s="1564">
        <v>0</v>
      </c>
      <c r="E269" s="1662"/>
      <c r="F269" s="1662"/>
      <c r="G269" s="1662"/>
      <c r="H269" s="1662"/>
      <c r="I269" s="1662"/>
      <c r="J269" s="1662"/>
      <c r="K269" s="1667">
        <f t="shared" si="22"/>
        <v>0</v>
      </c>
      <c r="L269" s="1564">
        <v>0</v>
      </c>
    </row>
    <row r="270" spans="1:14" ht="12.75" customHeight="1" thickBot="1" x14ac:dyDescent="0.25">
      <c r="A270" s="1372" t="s">
        <v>713</v>
      </c>
      <c r="B270" s="1375" t="s">
        <v>35</v>
      </c>
      <c r="C270" s="1662"/>
      <c r="D270" s="1663">
        <f>SUM(D263:D269)</f>
        <v>136959</v>
      </c>
      <c r="E270" s="1662"/>
      <c r="F270" s="1662"/>
      <c r="G270" s="1662"/>
      <c r="H270" s="1662"/>
      <c r="I270" s="1662"/>
      <c r="J270" s="1662"/>
      <c r="K270" s="1663">
        <f>SUM(K263:K269)</f>
        <v>136959</v>
      </c>
      <c r="L270" s="1663">
        <f>SUM(L263:L269)</f>
        <v>156760</v>
      </c>
    </row>
    <row r="271" spans="1:14" ht="15.75" customHeight="1" thickTop="1" x14ac:dyDescent="0.2">
      <c r="A271" s="543" t="s">
        <v>609</v>
      </c>
      <c r="B271" s="510"/>
      <c r="C271" s="1662"/>
      <c r="D271" s="1666"/>
      <c r="E271" s="1662"/>
      <c r="F271" s="1662"/>
      <c r="G271" s="1662"/>
      <c r="H271" s="1662"/>
      <c r="I271" s="1662"/>
      <c r="J271" s="1662"/>
      <c r="K271" s="1666"/>
      <c r="L271" s="1666"/>
    </row>
    <row r="272" spans="1:14" x14ac:dyDescent="0.2">
      <c r="A272" s="1266" t="s">
        <v>1050</v>
      </c>
      <c r="B272" s="503">
        <v>2610</v>
      </c>
      <c r="C272" s="1662"/>
      <c r="D272" s="1576">
        <v>0</v>
      </c>
      <c r="E272" s="1662"/>
      <c r="F272" s="1662"/>
      <c r="G272" s="1662"/>
      <c r="H272" s="1662"/>
      <c r="I272" s="1662"/>
      <c r="J272" s="1662"/>
      <c r="K272" s="1667">
        <f>D272</f>
        <v>0</v>
      </c>
      <c r="L272" s="1576">
        <v>0</v>
      </c>
    </row>
    <row r="273" spans="1:12" x14ac:dyDescent="0.2">
      <c r="A273" s="1266" t="s">
        <v>603</v>
      </c>
      <c r="B273" s="512">
        <v>2620</v>
      </c>
      <c r="C273" s="1662"/>
      <c r="D273" s="1564">
        <v>0</v>
      </c>
      <c r="E273" s="1662"/>
      <c r="F273" s="1662"/>
      <c r="G273" s="1662"/>
      <c r="H273" s="1662"/>
      <c r="I273" s="1662"/>
      <c r="J273" s="1662"/>
      <c r="K273" s="1667">
        <f>D273</f>
        <v>0</v>
      </c>
      <c r="L273" s="1564">
        <v>0</v>
      </c>
    </row>
    <row r="274" spans="1:12" ht="12" customHeight="1" x14ac:dyDescent="0.2">
      <c r="A274" s="1266" t="s">
        <v>1051</v>
      </c>
      <c r="B274" s="503">
        <v>2630</v>
      </c>
      <c r="C274" s="1662"/>
      <c r="D274" s="1564">
        <v>0</v>
      </c>
      <c r="E274" s="1662"/>
      <c r="F274" s="1662"/>
      <c r="G274" s="1662"/>
      <c r="H274" s="1662"/>
      <c r="I274" s="1662"/>
      <c r="J274" s="1662"/>
      <c r="K274" s="1667">
        <f>D274</f>
        <v>0</v>
      </c>
      <c r="L274" s="1564">
        <v>0</v>
      </c>
    </row>
    <row r="275" spans="1:12" x14ac:dyDescent="0.2">
      <c r="A275" s="1266" t="s">
        <v>400</v>
      </c>
      <c r="B275" s="503">
        <v>2640</v>
      </c>
      <c r="C275" s="1662"/>
      <c r="D275" s="1564">
        <v>0</v>
      </c>
      <c r="E275" s="1662"/>
      <c r="F275" s="1662"/>
      <c r="G275" s="1662"/>
      <c r="H275" s="1662"/>
      <c r="I275" s="1662"/>
      <c r="J275" s="1662"/>
      <c r="K275" s="1667">
        <f>D275</f>
        <v>0</v>
      </c>
      <c r="L275" s="1564">
        <v>0</v>
      </c>
    </row>
    <row r="276" spans="1:12" x14ac:dyDescent="0.2">
      <c r="A276" s="1266" t="s">
        <v>401</v>
      </c>
      <c r="B276" s="503">
        <v>2660</v>
      </c>
      <c r="C276" s="1662"/>
      <c r="D276" s="1564">
        <v>7109</v>
      </c>
      <c r="E276" s="1662"/>
      <c r="F276" s="1662"/>
      <c r="G276" s="1662"/>
      <c r="H276" s="1662"/>
      <c r="I276" s="1662"/>
      <c r="J276" s="1662"/>
      <c r="K276" s="1667">
        <f>D276</f>
        <v>7109</v>
      </c>
      <c r="L276" s="1564">
        <v>7410</v>
      </c>
    </row>
    <row r="277" spans="1:12" ht="12.75" customHeight="1" thickBot="1" x14ac:dyDescent="0.25">
      <c r="A277" s="1385" t="s">
        <v>37</v>
      </c>
      <c r="B277" s="1373" t="s">
        <v>36</v>
      </c>
      <c r="C277" s="1662"/>
      <c r="D277" s="1663">
        <f>SUM(D272:D276)</f>
        <v>7109</v>
      </c>
      <c r="E277" s="1662"/>
      <c r="F277" s="1662"/>
      <c r="G277" s="1662"/>
      <c r="H277" s="1662"/>
      <c r="I277" s="1662"/>
      <c r="J277" s="1662"/>
      <c r="K277" s="1663">
        <f>SUM(K272:K276)</f>
        <v>7109</v>
      </c>
      <c r="L277" s="1663">
        <f>SUM(L272:L276)</f>
        <v>7410</v>
      </c>
    </row>
    <row r="278" spans="1:12" ht="13.5" customHeight="1" thickTop="1" x14ac:dyDescent="0.2">
      <c r="A278" s="1272" t="s">
        <v>972</v>
      </c>
      <c r="B278" s="531" t="s">
        <v>570</v>
      </c>
      <c r="C278" s="1662"/>
      <c r="D278" s="1684">
        <v>0</v>
      </c>
      <c r="E278" s="1662"/>
      <c r="F278" s="1662"/>
      <c r="G278" s="1662"/>
      <c r="H278" s="1662"/>
      <c r="I278" s="1662"/>
      <c r="J278" s="1662"/>
      <c r="K278" s="1685">
        <f>D278</f>
        <v>0</v>
      </c>
      <c r="L278" s="1684">
        <v>0</v>
      </c>
    </row>
    <row r="279" spans="1:12" ht="12.75" customHeight="1" thickBot="1" x14ac:dyDescent="0.25">
      <c r="A279" s="1392" t="s">
        <v>805</v>
      </c>
      <c r="B279" s="1379">
        <v>2000</v>
      </c>
      <c r="C279" s="1662"/>
      <c r="D279" s="1670">
        <f>SUM(D238,D243,D257,D261,D270,D277,D278)</f>
        <v>735776</v>
      </c>
      <c r="E279" s="1662"/>
      <c r="F279" s="1662"/>
      <c r="G279" s="1662"/>
      <c r="H279" s="1662"/>
      <c r="I279" s="1662"/>
      <c r="J279" s="1662"/>
      <c r="K279" s="1670">
        <f>SUM(K238,K243,K257,K261,K270,K277,K278)</f>
        <v>735776</v>
      </c>
      <c r="L279" s="1670">
        <f>SUM(L238,L243,L257,L261,L270,L277,L278)</f>
        <v>771285</v>
      </c>
    </row>
    <row r="280" spans="1:12" ht="15.75" customHeight="1" thickTop="1" thickBot="1" x14ac:dyDescent="0.25">
      <c r="A280" s="1354" t="s">
        <v>869</v>
      </c>
      <c r="B280" s="1343">
        <v>3000</v>
      </c>
      <c r="C280" s="1662"/>
      <c r="D280" s="1640">
        <v>0</v>
      </c>
      <c r="E280" s="1662"/>
      <c r="F280" s="1662"/>
      <c r="G280" s="1662"/>
      <c r="H280" s="1662"/>
      <c r="I280" s="1662"/>
      <c r="J280" s="1662"/>
      <c r="K280" s="1676">
        <f>D280</f>
        <v>0</v>
      </c>
      <c r="L280" s="1640">
        <v>0</v>
      </c>
    </row>
    <row r="281" spans="1:12" ht="15.75" customHeight="1" thickTop="1" x14ac:dyDescent="0.2">
      <c r="A281" s="1344" t="s">
        <v>141</v>
      </c>
      <c r="B281" s="1345" t="s">
        <v>854</v>
      </c>
      <c r="C281" s="1662"/>
      <c r="D281" s="1634"/>
      <c r="E281" s="1662"/>
      <c r="F281" s="1662"/>
      <c r="G281" s="1662"/>
      <c r="H281" s="1662"/>
      <c r="I281" s="1662"/>
      <c r="J281" s="1662"/>
      <c r="K281" s="1662"/>
      <c r="L281" s="1662"/>
    </row>
    <row r="282" spans="1:12" ht="15.75" customHeight="1" x14ac:dyDescent="0.2">
      <c r="A282" s="1458" t="s">
        <v>493</v>
      </c>
      <c r="B282" s="562" t="s">
        <v>1810</v>
      </c>
      <c r="C282" s="1662"/>
      <c r="D282" s="1565">
        <v>0</v>
      </c>
      <c r="E282" s="1662"/>
      <c r="F282" s="1662"/>
      <c r="G282" s="1662"/>
      <c r="H282" s="1662"/>
      <c r="I282" s="1662"/>
      <c r="J282" s="1662"/>
      <c r="K282" s="1661">
        <f>D282</f>
        <v>0</v>
      </c>
      <c r="L282" s="1565">
        <v>0</v>
      </c>
    </row>
    <row r="283" spans="1:12" x14ac:dyDescent="0.2">
      <c r="A283" s="1266" t="s">
        <v>301</v>
      </c>
      <c r="B283" s="503">
        <v>4120</v>
      </c>
      <c r="C283" s="1662"/>
      <c r="D283" s="1564">
        <v>0</v>
      </c>
      <c r="E283" s="1662"/>
      <c r="F283" s="1662"/>
      <c r="G283" s="1662"/>
      <c r="H283" s="1662"/>
      <c r="I283" s="1662"/>
      <c r="J283" s="1662"/>
      <c r="K283" s="1661">
        <f>D283</f>
        <v>0</v>
      </c>
      <c r="L283" s="1564">
        <v>0</v>
      </c>
    </row>
    <row r="284" spans="1:12" x14ac:dyDescent="0.2">
      <c r="A284" s="1266" t="s">
        <v>691</v>
      </c>
      <c r="B284" s="503">
        <v>4140</v>
      </c>
      <c r="C284" s="1662"/>
      <c r="D284" s="1565">
        <v>0</v>
      </c>
      <c r="E284" s="1662"/>
      <c r="F284" s="1662"/>
      <c r="G284" s="1662"/>
      <c r="H284" s="1662"/>
      <c r="I284" s="1662"/>
      <c r="J284" s="1662"/>
      <c r="K284" s="1661">
        <f>D284</f>
        <v>0</v>
      </c>
      <c r="L284" s="1564">
        <v>0</v>
      </c>
    </row>
    <row r="285" spans="1:12" ht="12.75" customHeight="1" thickBot="1" x14ac:dyDescent="0.25">
      <c r="A285" s="1372" t="s">
        <v>1467</v>
      </c>
      <c r="B285" s="1373" t="s">
        <v>854</v>
      </c>
      <c r="C285" s="1662"/>
      <c r="D285" s="1663">
        <f>SUM(D282:D284)</f>
        <v>0</v>
      </c>
      <c r="E285" s="1662"/>
      <c r="F285" s="1662"/>
      <c r="G285" s="1662"/>
      <c r="H285" s="1662"/>
      <c r="I285" s="1662"/>
      <c r="J285" s="1662"/>
      <c r="K285" s="1663">
        <f>SUM(K282:K284)</f>
        <v>0</v>
      </c>
      <c r="L285" s="1663">
        <f>SUM(L282:L284)</f>
        <v>0</v>
      </c>
    </row>
    <row r="286" spans="1:12" ht="15.75" customHeight="1" thickTop="1" x14ac:dyDescent="0.2">
      <c r="A286" s="1342" t="s">
        <v>870</v>
      </c>
      <c r="B286" s="1339" t="s">
        <v>489</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6" t="s">
        <v>87</v>
      </c>
      <c r="B288" s="503">
        <v>5110</v>
      </c>
      <c r="C288" s="1662"/>
      <c r="D288" s="1662"/>
      <c r="E288" s="1662"/>
      <c r="F288" s="1662"/>
      <c r="G288" s="1662"/>
      <c r="H288" s="1564">
        <v>0</v>
      </c>
      <c r="I288" s="1662"/>
      <c r="J288" s="1662"/>
      <c r="K288" s="1661">
        <f>H288</f>
        <v>0</v>
      </c>
      <c r="L288" s="1564">
        <v>0</v>
      </c>
    </row>
    <row r="289" spans="1:14" x14ac:dyDescent="0.2">
      <c r="A289" s="1266" t="s">
        <v>88</v>
      </c>
      <c r="B289" s="503">
        <v>5120</v>
      </c>
      <c r="C289" s="1662"/>
      <c r="D289" s="1662"/>
      <c r="E289" s="1662"/>
      <c r="F289" s="1662"/>
      <c r="G289" s="1662"/>
      <c r="H289" s="1564">
        <v>0</v>
      </c>
      <c r="I289" s="1662"/>
      <c r="J289" s="1662"/>
      <c r="K289" s="1661">
        <f>H289</f>
        <v>0</v>
      </c>
      <c r="L289" s="1564">
        <v>0</v>
      </c>
    </row>
    <row r="290" spans="1:14" ht="12.75" customHeight="1" x14ac:dyDescent="0.2">
      <c r="A290" s="1266" t="s">
        <v>1159</v>
      </c>
      <c r="B290" s="512" t="s">
        <v>613</v>
      </c>
      <c r="C290" s="1662"/>
      <c r="D290" s="1662"/>
      <c r="E290" s="1662"/>
      <c r="F290" s="1662"/>
      <c r="G290" s="1662"/>
      <c r="H290" s="1564">
        <v>0</v>
      </c>
      <c r="I290" s="1662"/>
      <c r="J290" s="1662"/>
      <c r="K290" s="1661">
        <f>H290</f>
        <v>0</v>
      </c>
      <c r="L290" s="1564">
        <v>0</v>
      </c>
    </row>
    <row r="291" spans="1:14" x14ac:dyDescent="0.2">
      <c r="A291" s="1266" t="s">
        <v>89</v>
      </c>
      <c r="B291" s="503" t="s">
        <v>585</v>
      </c>
      <c r="C291" s="1662"/>
      <c r="D291" s="1662"/>
      <c r="E291" s="1662"/>
      <c r="F291" s="1662"/>
      <c r="G291" s="1662"/>
      <c r="H291" s="1564">
        <v>0</v>
      </c>
      <c r="I291" s="1662"/>
      <c r="J291" s="1662"/>
      <c r="K291" s="1661">
        <f>H291</f>
        <v>0</v>
      </c>
      <c r="L291" s="1564">
        <v>0</v>
      </c>
    </row>
    <row r="292" spans="1:14" x14ac:dyDescent="0.2">
      <c r="A292" s="1266" t="s">
        <v>756</v>
      </c>
      <c r="B292" s="503" t="s">
        <v>614</v>
      </c>
      <c r="C292" s="1662"/>
      <c r="D292" s="1662"/>
      <c r="E292" s="1662"/>
      <c r="F292" s="1662"/>
      <c r="G292" s="1662"/>
      <c r="H292" s="1564">
        <v>0</v>
      </c>
      <c r="I292" s="1662"/>
      <c r="J292" s="1662"/>
      <c r="K292" s="1661">
        <f>H292</f>
        <v>0</v>
      </c>
      <c r="L292" s="1564">
        <v>0</v>
      </c>
    </row>
    <row r="293" spans="1:14" ht="12.75" customHeight="1" thickBot="1" x14ac:dyDescent="0.25">
      <c r="A293" s="1372" t="s">
        <v>481</v>
      </c>
      <c r="B293" s="1373" t="s">
        <v>489</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5" t="s">
        <v>871</v>
      </c>
      <c r="B294" s="1343" t="s">
        <v>855</v>
      </c>
      <c r="C294" s="1662"/>
      <c r="D294" s="1665"/>
      <c r="E294" s="1662"/>
      <c r="F294" s="1662"/>
      <c r="G294" s="1662"/>
      <c r="H294" s="1695"/>
      <c r="I294" s="1662"/>
      <c r="J294" s="1662"/>
      <c r="K294" s="1695"/>
      <c r="L294" s="1642">
        <v>0</v>
      </c>
    </row>
    <row r="295" spans="1:14" ht="12.75" customHeight="1" thickTop="1" thickBot="1" x14ac:dyDescent="0.25">
      <c r="A295" s="2298" t="s">
        <v>502</v>
      </c>
      <c r="B295" s="2299"/>
      <c r="C295" s="1662"/>
      <c r="D295" s="1663">
        <f>SUM(D229,D279,D280,D285)</f>
        <v>1399718</v>
      </c>
      <c r="E295" s="1662"/>
      <c r="F295" s="1662"/>
      <c r="G295" s="1662"/>
      <c r="H295" s="1663">
        <f>H293</f>
        <v>0</v>
      </c>
      <c r="I295" s="1662"/>
      <c r="J295" s="1662"/>
      <c r="K295" s="1663">
        <f>SUM(K229,K279,K280,K285,K293,K294)</f>
        <v>1399718</v>
      </c>
      <c r="L295" s="1663">
        <f>SUM(L229,L279,L280,L285,L293,L294)</f>
        <v>1451735</v>
      </c>
    </row>
    <row r="296" spans="1:14" ht="13.5" thickTop="1" x14ac:dyDescent="0.2">
      <c r="A296" s="2307" t="s">
        <v>988</v>
      </c>
      <c r="B296" s="2308"/>
      <c r="C296" s="1662"/>
      <c r="D296" s="1664"/>
      <c r="E296" s="1662"/>
      <c r="F296" s="1662"/>
      <c r="G296" s="1662"/>
      <c r="H296" s="1696"/>
      <c r="I296" s="1662"/>
      <c r="J296" s="1662"/>
      <c r="K296" s="1678">
        <f>'Revenues 9-14'!G268-'Expenditures 15-22'!K295</f>
        <v>43894</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290" t="s">
        <v>142</v>
      </c>
      <c r="B298" s="2284"/>
      <c r="C298" s="1692"/>
      <c r="D298" s="1693"/>
      <c r="E298" s="1693"/>
      <c r="F298" s="1693"/>
      <c r="G298" s="1693"/>
      <c r="H298" s="1693"/>
      <c r="I298" s="1693"/>
      <c r="J298" s="1693"/>
      <c r="K298" s="1693"/>
      <c r="L298" s="1694"/>
    </row>
    <row r="299" spans="1:14" ht="15.75" customHeight="1" x14ac:dyDescent="0.2">
      <c r="A299" s="1342" t="s">
        <v>143</v>
      </c>
      <c r="B299" s="1345" t="s">
        <v>565</v>
      </c>
      <c r="C299" s="1662"/>
      <c r="D299" s="1662"/>
      <c r="E299" s="1662"/>
      <c r="F299" s="1662"/>
      <c r="G299" s="1662"/>
      <c r="H299" s="1662"/>
      <c r="I299" s="1662"/>
      <c r="J299" s="1662"/>
      <c r="K299" s="1662"/>
      <c r="L299" s="1662"/>
    </row>
    <row r="300" spans="1:14" ht="15.75" customHeight="1" x14ac:dyDescent="0.2">
      <c r="A300" s="560" t="s">
        <v>608</v>
      </c>
      <c r="B300" s="514"/>
      <c r="C300" s="1665"/>
      <c r="D300" s="1665"/>
      <c r="E300" s="1665"/>
      <c r="F300" s="1665"/>
      <c r="G300" s="1665"/>
      <c r="H300" s="1665"/>
      <c r="I300" s="1662"/>
      <c r="J300" s="1662"/>
      <c r="K300" s="1665"/>
      <c r="L300" s="1665"/>
    </row>
    <row r="301" spans="1:14" x14ac:dyDescent="0.2">
      <c r="A301" s="1279" t="s">
        <v>604</v>
      </c>
      <c r="B301" s="561">
        <v>2530</v>
      </c>
      <c r="C301" s="1564">
        <v>0</v>
      </c>
      <c r="D301" s="1564">
        <v>0</v>
      </c>
      <c r="E301" s="1564">
        <v>0</v>
      </c>
      <c r="F301" s="1564">
        <v>0</v>
      </c>
      <c r="G301" s="1564">
        <v>0</v>
      </c>
      <c r="H301" s="1564">
        <v>0</v>
      </c>
      <c r="I301" s="1565">
        <v>0</v>
      </c>
      <c r="J301" s="1565">
        <v>0</v>
      </c>
      <c r="K301" s="1661">
        <f>SUM(C301:J301)</f>
        <v>0</v>
      </c>
      <c r="L301" s="1565">
        <v>0</v>
      </c>
    </row>
    <row r="302" spans="1:14" ht="13.5" customHeight="1" x14ac:dyDescent="0.2">
      <c r="A302" s="1279" t="s">
        <v>972</v>
      </c>
      <c r="B302" s="503" t="s">
        <v>570</v>
      </c>
      <c r="C302" s="1564">
        <v>0</v>
      </c>
      <c r="D302" s="1564">
        <v>0</v>
      </c>
      <c r="E302" s="1564">
        <v>0</v>
      </c>
      <c r="F302" s="1564">
        <v>0</v>
      </c>
      <c r="G302" s="1564">
        <v>0</v>
      </c>
      <c r="H302" s="1564">
        <v>0</v>
      </c>
      <c r="I302" s="1565">
        <v>0</v>
      </c>
      <c r="J302" s="1565">
        <v>0</v>
      </c>
      <c r="K302" s="1661">
        <f>SUM(C302:J302)</f>
        <v>0</v>
      </c>
      <c r="L302" s="1564">
        <v>0</v>
      </c>
    </row>
    <row r="303" spans="1:14" ht="12.75" customHeight="1" thickBot="1" x14ac:dyDescent="0.25">
      <c r="A303" s="1372" t="s">
        <v>805</v>
      </c>
      <c r="B303" s="1373" t="s">
        <v>565</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342" t="s">
        <v>144</v>
      </c>
      <c r="B304" s="1343"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80" t="s">
        <v>1815</v>
      </c>
      <c r="B306" s="562" t="s">
        <v>1810</v>
      </c>
      <c r="C306" s="1662"/>
      <c r="D306" s="1662"/>
      <c r="E306" s="1565">
        <v>0</v>
      </c>
      <c r="F306" s="1662"/>
      <c r="G306" s="1662"/>
      <c r="H306" s="1565">
        <v>0</v>
      </c>
      <c r="I306" s="1662"/>
      <c r="J306" s="1662"/>
      <c r="K306" s="1661">
        <f>SUM(E306,H306)</f>
        <v>0</v>
      </c>
      <c r="L306" s="1565">
        <v>0</v>
      </c>
    </row>
    <row r="307" spans="1:14" x14ac:dyDescent="0.2">
      <c r="A307" s="1266" t="s">
        <v>301</v>
      </c>
      <c r="B307" s="503">
        <v>4120</v>
      </c>
      <c r="C307" s="1662"/>
      <c r="D307" s="1662"/>
      <c r="E307" s="1565">
        <v>0</v>
      </c>
      <c r="F307" s="1662"/>
      <c r="G307" s="1662"/>
      <c r="H307" s="1565">
        <v>0</v>
      </c>
      <c r="I307" s="1572"/>
      <c r="J307" s="1662"/>
      <c r="K307" s="1661">
        <f>SUM(E307,H307)</f>
        <v>0</v>
      </c>
      <c r="L307" s="1564">
        <v>0</v>
      </c>
    </row>
    <row r="308" spans="1:14" x14ac:dyDescent="0.2">
      <c r="A308" s="1266" t="s">
        <v>691</v>
      </c>
      <c r="B308" s="503">
        <v>4140</v>
      </c>
      <c r="C308" s="1662"/>
      <c r="D308" s="1662"/>
      <c r="E308" s="1565">
        <v>0</v>
      </c>
      <c r="F308" s="1662"/>
      <c r="G308" s="1662"/>
      <c r="H308" s="1565">
        <v>0</v>
      </c>
      <c r="I308" s="1572"/>
      <c r="J308" s="1662"/>
      <c r="K308" s="1661">
        <f>SUM(E308,H308)</f>
        <v>0</v>
      </c>
      <c r="L308" s="1564">
        <v>0</v>
      </c>
    </row>
    <row r="309" spans="1:14" ht="12.75" customHeight="1" x14ac:dyDescent="0.2">
      <c r="A309" s="1270" t="s">
        <v>692</v>
      </c>
      <c r="B309" s="512">
        <v>4190</v>
      </c>
      <c r="C309" s="1662"/>
      <c r="D309" s="1662"/>
      <c r="E309" s="1565">
        <v>0</v>
      </c>
      <c r="F309" s="1662"/>
      <c r="G309" s="1662"/>
      <c r="H309" s="1565">
        <v>0</v>
      </c>
      <c r="I309" s="1572"/>
      <c r="J309" s="1662"/>
      <c r="K309" s="1661">
        <f>SUM(E309,H309)</f>
        <v>0</v>
      </c>
      <c r="L309" s="1564">
        <v>0</v>
      </c>
    </row>
    <row r="310" spans="1:14" ht="12.75" customHeight="1" thickBot="1" x14ac:dyDescent="0.25">
      <c r="A310" s="1372" t="s">
        <v>1467</v>
      </c>
      <c r="B310" s="1375" t="s">
        <v>854</v>
      </c>
      <c r="C310" s="1662"/>
      <c r="D310" s="1662"/>
      <c r="E310" s="1663">
        <f>SUM(E306:E309)</f>
        <v>0</v>
      </c>
      <c r="F310" s="1662"/>
      <c r="G310" s="1662"/>
      <c r="H310" s="1663">
        <f>SUM(H306:H309)</f>
        <v>0</v>
      </c>
      <c r="I310" s="1572"/>
      <c r="J310" s="1662"/>
      <c r="K310" s="1663">
        <f>SUM(K306:K309)</f>
        <v>0</v>
      </c>
      <c r="L310" s="1670">
        <f>SUM(L306:L309)</f>
        <v>0</v>
      </c>
    </row>
    <row r="311" spans="1:14" ht="15.75" customHeight="1" thickTop="1" thickBot="1" x14ac:dyDescent="0.25">
      <c r="A311" s="1349" t="s">
        <v>888</v>
      </c>
      <c r="B311" s="1341" t="s">
        <v>855</v>
      </c>
      <c r="C311" s="1665"/>
      <c r="D311" s="1665"/>
      <c r="E311" s="1665"/>
      <c r="F311" s="1665"/>
      <c r="G311" s="1665"/>
      <c r="H311" s="1665"/>
      <c r="I311" s="1665"/>
      <c r="J311" s="1662"/>
      <c r="K311" s="1665"/>
      <c r="L311" s="1640">
        <v>0</v>
      </c>
    </row>
    <row r="312" spans="1:14" s="548" customFormat="1" ht="12.75" customHeight="1" thickTop="1" thickBot="1" x14ac:dyDescent="0.25">
      <c r="A312" s="2295" t="s">
        <v>275</v>
      </c>
      <c r="B312" s="2296"/>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539"/>
      <c r="N312" s="539"/>
    </row>
    <row r="313" spans="1:14" ht="13.5" thickTop="1" x14ac:dyDescent="0.2">
      <c r="A313" s="2291" t="s">
        <v>988</v>
      </c>
      <c r="B313" s="2292"/>
      <c r="C313" s="1666"/>
      <c r="D313" s="1666"/>
      <c r="E313" s="1666"/>
      <c r="F313" s="1666"/>
      <c r="G313" s="1666"/>
      <c r="H313" s="1666"/>
      <c r="I313" s="1666"/>
      <c r="J313" s="1666"/>
      <c r="K313" s="1685">
        <f>'Revenues 9-14'!H268-'Expenditures 15-22'!K312</f>
        <v>0</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304" t="s">
        <v>148</v>
      </c>
      <c r="B315" s="2305"/>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306" t="s">
        <v>891</v>
      </c>
      <c r="B317" s="2305"/>
      <c r="C317" s="1698"/>
      <c r="D317" s="1699"/>
      <c r="E317" s="1699"/>
      <c r="F317" s="1699"/>
      <c r="G317" s="1699"/>
      <c r="H317" s="1699"/>
      <c r="I317" s="1699"/>
      <c r="J317" s="1699"/>
      <c r="K317" s="1699"/>
      <c r="L317" s="1700"/>
    </row>
    <row r="318" spans="1:14" s="548" customFormat="1" ht="15.75" customHeight="1" x14ac:dyDescent="0.2">
      <c r="A318" s="565" t="s">
        <v>606</v>
      </c>
      <c r="B318" s="566"/>
      <c r="C318" s="1673"/>
      <c r="D318" s="1673"/>
      <c r="E318" s="1673"/>
      <c r="F318" s="1673"/>
      <c r="G318" s="1673"/>
      <c r="H318" s="1673"/>
      <c r="I318" s="1673"/>
      <c r="J318" s="1673"/>
      <c r="K318" s="1673"/>
      <c r="L318" s="1673"/>
      <c r="M318" s="539"/>
      <c r="N318" s="539"/>
    </row>
    <row r="319" spans="1:14" s="548" customFormat="1" x14ac:dyDescent="0.2">
      <c r="A319" s="1281" t="s">
        <v>296</v>
      </c>
      <c r="B319" s="567" t="s">
        <v>279</v>
      </c>
      <c r="C319" s="1565">
        <v>0</v>
      </c>
      <c r="D319" s="1565">
        <v>0</v>
      </c>
      <c r="E319" s="1565">
        <v>0</v>
      </c>
      <c r="F319" s="1565">
        <v>0</v>
      </c>
      <c r="G319" s="1565">
        <v>0</v>
      </c>
      <c r="H319" s="1565">
        <v>0</v>
      </c>
      <c r="I319" s="1565">
        <v>0</v>
      </c>
      <c r="J319" s="1565">
        <v>0</v>
      </c>
      <c r="K319" s="1661">
        <f>SUM(C319:J319)</f>
        <v>0</v>
      </c>
      <c r="L319" s="1565">
        <v>0</v>
      </c>
      <c r="M319" s="539"/>
      <c r="N319" s="539"/>
    </row>
    <row r="320" spans="1:14" s="548" customFormat="1" x14ac:dyDescent="0.2">
      <c r="A320" s="1285" t="s">
        <v>1776</v>
      </c>
      <c r="B320" s="568" t="s">
        <v>280</v>
      </c>
      <c r="C320" s="1565">
        <v>0</v>
      </c>
      <c r="D320" s="1565">
        <v>0</v>
      </c>
      <c r="E320" s="1565">
        <v>0</v>
      </c>
      <c r="F320" s="1565">
        <v>0</v>
      </c>
      <c r="G320" s="1565">
        <v>0</v>
      </c>
      <c r="H320" s="1565">
        <v>0</v>
      </c>
      <c r="I320" s="1565">
        <v>0</v>
      </c>
      <c r="J320" s="1565">
        <v>0</v>
      </c>
      <c r="K320" s="1661">
        <f t="shared" ref="K320:K327" si="24">SUM(C320:J320)</f>
        <v>0</v>
      </c>
      <c r="L320" s="1565">
        <v>0</v>
      </c>
      <c r="M320" s="539"/>
      <c r="N320" s="539"/>
    </row>
    <row r="321" spans="1:14" s="548" customFormat="1" x14ac:dyDescent="0.2">
      <c r="A321" s="1281" t="s">
        <v>297</v>
      </c>
      <c r="B321" s="567" t="s">
        <v>281</v>
      </c>
      <c r="C321" s="1565">
        <v>0</v>
      </c>
      <c r="D321" s="1565">
        <v>0</v>
      </c>
      <c r="E321" s="1565">
        <v>0</v>
      </c>
      <c r="F321" s="1565">
        <v>0</v>
      </c>
      <c r="G321" s="1565">
        <v>0</v>
      </c>
      <c r="H321" s="1565">
        <v>0</v>
      </c>
      <c r="I321" s="1565">
        <v>0</v>
      </c>
      <c r="J321" s="1565">
        <v>0</v>
      </c>
      <c r="K321" s="1661">
        <f t="shared" si="24"/>
        <v>0</v>
      </c>
      <c r="L321" s="1565">
        <v>0</v>
      </c>
      <c r="M321" s="539"/>
      <c r="N321" s="539"/>
    </row>
    <row r="322" spans="1:14" s="548" customFormat="1" x14ac:dyDescent="0.2">
      <c r="A322" s="1281" t="s">
        <v>236</v>
      </c>
      <c r="B322" s="567" t="s">
        <v>282</v>
      </c>
      <c r="C322" s="1565">
        <v>0</v>
      </c>
      <c r="D322" s="1565">
        <v>0</v>
      </c>
      <c r="E322" s="1565">
        <v>0</v>
      </c>
      <c r="F322" s="1565">
        <v>0</v>
      </c>
      <c r="G322" s="1565">
        <v>0</v>
      </c>
      <c r="H322" s="1565">
        <v>0</v>
      </c>
      <c r="I322" s="1565">
        <v>0</v>
      </c>
      <c r="J322" s="1565">
        <v>0</v>
      </c>
      <c r="K322" s="1661">
        <f t="shared" si="24"/>
        <v>0</v>
      </c>
      <c r="L322" s="1565">
        <v>0</v>
      </c>
      <c r="M322" s="539"/>
      <c r="N322" s="539"/>
    </row>
    <row r="323" spans="1:14" s="548" customFormat="1" x14ac:dyDescent="0.2">
      <c r="A323" s="1281" t="s">
        <v>696</v>
      </c>
      <c r="B323" s="567" t="s">
        <v>283</v>
      </c>
      <c r="C323" s="1565">
        <v>0</v>
      </c>
      <c r="D323" s="1565">
        <v>0</v>
      </c>
      <c r="E323" s="1565">
        <v>0</v>
      </c>
      <c r="F323" s="1565">
        <v>0</v>
      </c>
      <c r="G323" s="1565">
        <v>0</v>
      </c>
      <c r="H323" s="1565">
        <v>0</v>
      </c>
      <c r="I323" s="1565">
        <v>0</v>
      </c>
      <c r="J323" s="1565">
        <v>0</v>
      </c>
      <c r="K323" s="1661">
        <f t="shared" si="24"/>
        <v>0</v>
      </c>
      <c r="L323" s="1565">
        <v>0</v>
      </c>
      <c r="M323" s="539"/>
      <c r="N323" s="539"/>
    </row>
    <row r="324" spans="1:14" s="548" customFormat="1" x14ac:dyDescent="0.2">
      <c r="A324" s="1281" t="s">
        <v>237</v>
      </c>
      <c r="B324" s="567" t="s">
        <v>284</v>
      </c>
      <c r="C324" s="1565">
        <v>0</v>
      </c>
      <c r="D324" s="1565">
        <v>0</v>
      </c>
      <c r="E324" s="1565">
        <v>0</v>
      </c>
      <c r="F324" s="1565">
        <v>0</v>
      </c>
      <c r="G324" s="1565">
        <v>0</v>
      </c>
      <c r="H324" s="1565">
        <v>0</v>
      </c>
      <c r="I324" s="1565">
        <v>0</v>
      </c>
      <c r="J324" s="1565">
        <v>0</v>
      </c>
      <c r="K324" s="1661">
        <f t="shared" si="24"/>
        <v>0</v>
      </c>
      <c r="L324" s="1565">
        <v>0</v>
      </c>
      <c r="M324" s="539"/>
      <c r="N324" s="539"/>
    </row>
    <row r="325" spans="1:14" s="548" customFormat="1" ht="22.5" x14ac:dyDescent="0.2">
      <c r="A325" s="1281" t="s">
        <v>1021</v>
      </c>
      <c r="B325" s="568" t="s">
        <v>285</v>
      </c>
      <c r="C325" s="1565">
        <v>0</v>
      </c>
      <c r="D325" s="1565">
        <v>0</v>
      </c>
      <c r="E325" s="1565">
        <v>0</v>
      </c>
      <c r="F325" s="1565">
        <v>0</v>
      </c>
      <c r="G325" s="1565">
        <v>0</v>
      </c>
      <c r="H325" s="1565">
        <v>0</v>
      </c>
      <c r="I325" s="1565">
        <v>0</v>
      </c>
      <c r="J325" s="1565">
        <v>0</v>
      </c>
      <c r="K325" s="1661">
        <f t="shared" si="24"/>
        <v>0</v>
      </c>
      <c r="L325" s="1565">
        <v>0</v>
      </c>
      <c r="M325" s="539"/>
      <c r="N325" s="539"/>
    </row>
    <row r="326" spans="1:14" s="548" customFormat="1" x14ac:dyDescent="0.2">
      <c r="A326" s="1281" t="s">
        <v>1022</v>
      </c>
      <c r="B326" s="567" t="s">
        <v>286</v>
      </c>
      <c r="C326" s="1565">
        <v>0</v>
      </c>
      <c r="D326" s="1565">
        <v>0</v>
      </c>
      <c r="E326" s="1565">
        <v>0</v>
      </c>
      <c r="F326" s="1565">
        <v>0</v>
      </c>
      <c r="G326" s="1565">
        <v>0</v>
      </c>
      <c r="H326" s="1565">
        <v>0</v>
      </c>
      <c r="I326" s="1565">
        <v>0</v>
      </c>
      <c r="J326" s="1565">
        <v>0</v>
      </c>
      <c r="K326" s="1661">
        <f t="shared" si="24"/>
        <v>0</v>
      </c>
      <c r="L326" s="1565">
        <v>0</v>
      </c>
      <c r="M326" s="539"/>
      <c r="N326" s="539"/>
    </row>
    <row r="327" spans="1:14" s="548" customFormat="1" x14ac:dyDescent="0.2">
      <c r="A327" s="1281" t="s">
        <v>964</v>
      </c>
      <c r="B327" s="567" t="s">
        <v>287</v>
      </c>
      <c r="C327" s="1565">
        <v>0</v>
      </c>
      <c r="D327" s="1565">
        <v>0</v>
      </c>
      <c r="E327" s="1565">
        <v>0</v>
      </c>
      <c r="F327" s="1565">
        <v>0</v>
      </c>
      <c r="G327" s="1565">
        <v>0</v>
      </c>
      <c r="H327" s="1565">
        <v>0</v>
      </c>
      <c r="I327" s="1565">
        <v>0</v>
      </c>
      <c r="J327" s="1565">
        <v>0</v>
      </c>
      <c r="K327" s="1661">
        <f t="shared" si="24"/>
        <v>0</v>
      </c>
      <c r="L327" s="1565">
        <v>0</v>
      </c>
      <c r="M327" s="539"/>
      <c r="N327" s="539"/>
    </row>
    <row r="328" spans="1:14" s="548" customFormat="1" x14ac:dyDescent="0.2">
      <c r="A328" s="1282" t="s">
        <v>469</v>
      </c>
      <c r="B328" s="562" t="s">
        <v>1121</v>
      </c>
      <c r="C328" s="1565">
        <v>0</v>
      </c>
      <c r="D328" s="1565">
        <v>0</v>
      </c>
      <c r="E328" s="1565">
        <v>0</v>
      </c>
      <c r="F328" s="1565">
        <v>0</v>
      </c>
      <c r="G328" s="1565">
        <v>0</v>
      </c>
      <c r="H328" s="1565">
        <v>0</v>
      </c>
      <c r="I328" s="1565">
        <v>0</v>
      </c>
      <c r="J328" s="1565">
        <v>0</v>
      </c>
      <c r="K328" s="1702">
        <f>SUM(C328:J328)</f>
        <v>0</v>
      </c>
      <c r="L328" s="1565">
        <v>0</v>
      </c>
      <c r="M328" s="539"/>
      <c r="N328" s="539"/>
    </row>
    <row r="329" spans="1:14" s="548" customFormat="1" x14ac:dyDescent="0.2">
      <c r="A329" s="1282" t="s">
        <v>1122</v>
      </c>
      <c r="B329" s="562" t="s">
        <v>1123</v>
      </c>
      <c r="C329" s="1565">
        <v>0</v>
      </c>
      <c r="D329" s="1565">
        <v>0</v>
      </c>
      <c r="E329" s="1565">
        <v>0</v>
      </c>
      <c r="F329" s="1565">
        <v>0</v>
      </c>
      <c r="G329" s="1565">
        <v>0</v>
      </c>
      <c r="H329" s="1565">
        <v>0</v>
      </c>
      <c r="I329" s="1565">
        <v>0</v>
      </c>
      <c r="J329" s="1565">
        <v>0</v>
      </c>
      <c r="K329" s="1702">
        <f>SUM(C329:J329)</f>
        <v>0</v>
      </c>
      <c r="L329" s="1565">
        <v>0</v>
      </c>
      <c r="M329" s="539"/>
      <c r="N329" s="539"/>
    </row>
    <row r="330" spans="1:14" s="548" customFormat="1" ht="12.75" customHeight="1" thickBot="1" x14ac:dyDescent="0.25">
      <c r="A330" s="1393" t="s">
        <v>711</v>
      </c>
      <c r="B330" s="1373" t="s">
        <v>565</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539"/>
      <c r="N330" s="539"/>
    </row>
    <row r="331" spans="1:14" s="548" customFormat="1" ht="12.75" customHeight="1" thickTop="1" x14ac:dyDescent="0.2">
      <c r="A331" s="1459" t="s">
        <v>1816</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60" t="s">
        <v>493</v>
      </c>
      <c r="B332" s="1455" t="s">
        <v>1810</v>
      </c>
      <c r="C332" s="1703"/>
      <c r="D332" s="1703"/>
      <c r="E332" s="1703"/>
      <c r="F332" s="1703"/>
      <c r="G332" s="1703"/>
      <c r="H332" s="1565">
        <v>0</v>
      </c>
      <c r="I332" s="1703"/>
      <c r="J332" s="1703"/>
      <c r="K332" s="1661">
        <f>H332</f>
        <v>0</v>
      </c>
      <c r="L332" s="1565">
        <v>0</v>
      </c>
      <c r="M332" s="539"/>
      <c r="N332" s="539"/>
    </row>
    <row r="333" spans="1:14" s="548" customFormat="1" ht="12.75" customHeight="1" x14ac:dyDescent="0.2">
      <c r="A333" s="1460" t="s">
        <v>301</v>
      </c>
      <c r="B333" s="1455" t="s">
        <v>1812</v>
      </c>
      <c r="C333" s="1703"/>
      <c r="D333" s="1703"/>
      <c r="E333" s="1703"/>
      <c r="F333" s="1703"/>
      <c r="G333" s="1703"/>
      <c r="H333" s="1565">
        <v>0</v>
      </c>
      <c r="I333" s="1703"/>
      <c r="J333" s="1703"/>
      <c r="K333" s="1661">
        <f>H333</f>
        <v>0</v>
      </c>
      <c r="L333" s="1565">
        <v>0</v>
      </c>
      <c r="M333" s="539"/>
      <c r="N333" s="539"/>
    </row>
    <row r="334" spans="1:14" s="548" customFormat="1" ht="12.75" customHeight="1" thickBot="1" x14ac:dyDescent="0.25">
      <c r="A334" s="1460" t="s">
        <v>1817</v>
      </c>
      <c r="B334" s="1455" t="s">
        <v>854</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6" t="s">
        <v>892</v>
      </c>
      <c r="B335" s="1337" t="s">
        <v>489</v>
      </c>
      <c r="C335" s="1662"/>
      <c r="D335" s="1662"/>
      <c r="E335" s="1662"/>
      <c r="F335" s="1662"/>
      <c r="G335" s="1662"/>
      <c r="H335" s="1662"/>
      <c r="I335" s="1662"/>
      <c r="J335" s="1662"/>
      <c r="K335" s="1662"/>
      <c r="L335" s="1662"/>
    </row>
    <row r="336" spans="1:14" ht="15.75" customHeight="1" x14ac:dyDescent="0.2">
      <c r="A336" s="530" t="s">
        <v>611</v>
      </c>
      <c r="B336" s="508"/>
      <c r="C336" s="1662"/>
      <c r="D336" s="1662"/>
      <c r="E336" s="1662"/>
      <c r="F336" s="1662"/>
      <c r="G336" s="1662"/>
      <c r="H336" s="1665"/>
      <c r="I336" s="1662"/>
      <c r="J336" s="1662"/>
      <c r="K336" s="1665"/>
      <c r="L336" s="1665"/>
    </row>
    <row r="337" spans="1:14" x14ac:dyDescent="0.2">
      <c r="A337" s="1280" t="s">
        <v>87</v>
      </c>
      <c r="B337" s="562" t="s">
        <v>893</v>
      </c>
      <c r="C337" s="1673"/>
      <c r="D337" s="1673"/>
      <c r="E337" s="1673"/>
      <c r="F337" s="1673"/>
      <c r="G337" s="1673"/>
      <c r="H337" s="1573">
        <v>0</v>
      </c>
      <c r="I337" s="1673"/>
      <c r="J337" s="1673"/>
      <c r="K337" s="1661">
        <f>H337</f>
        <v>0</v>
      </c>
      <c r="L337" s="1573">
        <v>0</v>
      </c>
    </row>
    <row r="338" spans="1:14" ht="12.75" customHeight="1" x14ac:dyDescent="0.2">
      <c r="A338" s="1280" t="s">
        <v>1159</v>
      </c>
      <c r="B338" s="562" t="s">
        <v>613</v>
      </c>
      <c r="C338" s="1673"/>
      <c r="D338" s="1673"/>
      <c r="E338" s="1673"/>
      <c r="F338" s="1673"/>
      <c r="G338" s="1673"/>
      <c r="H338" s="1573">
        <v>0</v>
      </c>
      <c r="I338" s="1673"/>
      <c r="J338" s="1673"/>
      <c r="K338" s="1661">
        <f>H338</f>
        <v>0</v>
      </c>
      <c r="L338" s="1573">
        <v>0</v>
      </c>
    </row>
    <row r="339" spans="1:14" x14ac:dyDescent="0.2">
      <c r="A339" s="1266" t="s">
        <v>894</v>
      </c>
      <c r="B339" s="512">
        <v>5150</v>
      </c>
      <c r="C339" s="1673"/>
      <c r="D339" s="1673"/>
      <c r="E339" s="1673"/>
      <c r="F339" s="1673"/>
      <c r="G339" s="1673"/>
      <c r="H339" s="1565">
        <v>0</v>
      </c>
      <c r="I339" s="1673"/>
      <c r="J339" s="1673"/>
      <c r="K339" s="1661">
        <f>H339</f>
        <v>0</v>
      </c>
      <c r="L339" s="1565">
        <v>0</v>
      </c>
    </row>
    <row r="340" spans="1:14" ht="13.5" thickBot="1" x14ac:dyDescent="0.25">
      <c r="A340" s="1388" t="s">
        <v>895</v>
      </c>
      <c r="B340" s="1373" t="s">
        <v>489</v>
      </c>
      <c r="C340" s="1662"/>
      <c r="D340" s="1662"/>
      <c r="E340" s="1662"/>
      <c r="F340" s="1662"/>
      <c r="G340" s="1662"/>
      <c r="H340" s="1584">
        <f>SUM(H337:H339)</f>
        <v>0</v>
      </c>
      <c r="I340" s="1662"/>
      <c r="J340" s="1662"/>
      <c r="K340" s="1584">
        <f>SUM(K337:K339)</f>
        <v>0</v>
      </c>
      <c r="L340" s="1584">
        <f>SUM(L337:L339)</f>
        <v>0</v>
      </c>
    </row>
    <row r="341" spans="1:14" ht="15.75" customHeight="1" thickTop="1" thickBot="1" x14ac:dyDescent="0.25">
      <c r="A341" s="1349" t="s">
        <v>896</v>
      </c>
      <c r="B341" s="1341" t="s">
        <v>855</v>
      </c>
      <c r="C341" s="1662"/>
      <c r="D341" s="1662"/>
      <c r="E341" s="1572"/>
      <c r="F341" s="1566"/>
      <c r="G341" s="1566"/>
      <c r="H341" s="1572"/>
      <c r="I341" s="1572"/>
      <c r="J341" s="1566"/>
      <c r="K341" s="1572"/>
      <c r="L341" s="1640">
        <v>0</v>
      </c>
    </row>
    <row r="342" spans="1:14" ht="12.75" customHeight="1" thickTop="1" thickBot="1" x14ac:dyDescent="0.25">
      <c r="A342" s="1381" t="s">
        <v>502</v>
      </c>
      <c r="B342" s="13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SUM(L330,L334,L340,L341)</f>
        <v>0</v>
      </c>
    </row>
    <row r="343" spans="1:14" ht="12.75" customHeight="1" thickTop="1" x14ac:dyDescent="0.2">
      <c r="A343" s="2293" t="s">
        <v>988</v>
      </c>
      <c r="B343" s="2294"/>
      <c r="C343" s="1662"/>
      <c r="D343" s="1662"/>
      <c r="E343" s="1662"/>
      <c r="F343" s="1662"/>
      <c r="G343" s="1662"/>
      <c r="H343" s="1662"/>
      <c r="I343" s="1662"/>
      <c r="J343" s="1662"/>
      <c r="K343" s="1678">
        <f>'Revenues 9-14'!J268-'Expenditures 15-22'!K342</f>
        <v>0</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283" t="s">
        <v>959</v>
      </c>
      <c r="B345" s="2284"/>
      <c r="C345" s="1692"/>
      <c r="D345" s="1693"/>
      <c r="E345" s="1693"/>
      <c r="F345" s="1693"/>
      <c r="G345" s="1693"/>
      <c r="H345" s="1693"/>
      <c r="I345" s="1693"/>
      <c r="J345" s="1693"/>
      <c r="K345" s="1693"/>
      <c r="L345" s="1694"/>
      <c r="M345" s="541"/>
      <c r="N345" s="541"/>
    </row>
    <row r="346" spans="1:14" s="321" customFormat="1" ht="15.75" customHeight="1" x14ac:dyDescent="0.2">
      <c r="A346" s="1353" t="s">
        <v>838</v>
      </c>
      <c r="B346" s="1345" t="s">
        <v>565</v>
      </c>
      <c r="C346" s="1662"/>
      <c r="D346" s="1662"/>
      <c r="E346" s="1662"/>
      <c r="F346" s="1662"/>
      <c r="G346" s="1662"/>
      <c r="H346" s="1662"/>
      <c r="I346" s="1662"/>
      <c r="J346" s="1662"/>
      <c r="K346" s="1662"/>
      <c r="L346" s="1662"/>
      <c r="M346" s="501"/>
      <c r="N346" s="501"/>
    </row>
    <row r="347" spans="1:14" ht="15.75" customHeight="1" x14ac:dyDescent="0.2">
      <c r="A347" s="569" t="s">
        <v>608</v>
      </c>
      <c r="B347" s="570"/>
      <c r="C347" s="1665"/>
      <c r="D347" s="1665"/>
      <c r="E347" s="1665"/>
      <c r="F347" s="1665"/>
      <c r="G347" s="1665"/>
      <c r="H347" s="1665"/>
      <c r="I347" s="1662"/>
      <c r="J347" s="1662"/>
      <c r="K347" s="1665"/>
      <c r="L347" s="1665"/>
    </row>
    <row r="348" spans="1:14" x14ac:dyDescent="0.2">
      <c r="A348" s="1266" t="s">
        <v>4</v>
      </c>
      <c r="B348" s="503">
        <v>2530</v>
      </c>
      <c r="C348" s="1564">
        <v>0</v>
      </c>
      <c r="D348" s="1564">
        <v>0</v>
      </c>
      <c r="E348" s="1564">
        <v>0</v>
      </c>
      <c r="F348" s="1564">
        <v>0</v>
      </c>
      <c r="G348" s="1564">
        <v>0</v>
      </c>
      <c r="H348" s="1564">
        <v>0</v>
      </c>
      <c r="I348" s="1564">
        <v>0</v>
      </c>
      <c r="J348" s="1564">
        <v>0</v>
      </c>
      <c r="K348" s="1661">
        <f>SUM(C348:J348)</f>
        <v>0</v>
      </c>
      <c r="L348" s="1564">
        <v>0</v>
      </c>
    </row>
    <row r="349" spans="1:14" x14ac:dyDescent="0.2">
      <c r="A349" s="1266" t="s">
        <v>195</v>
      </c>
      <c r="B349" s="503">
        <v>2540</v>
      </c>
      <c r="C349" s="1564">
        <v>0</v>
      </c>
      <c r="D349" s="1564">
        <v>0</v>
      </c>
      <c r="E349" s="1564">
        <v>0</v>
      </c>
      <c r="F349" s="1564">
        <v>0</v>
      </c>
      <c r="G349" s="1564">
        <v>0</v>
      </c>
      <c r="H349" s="1564">
        <v>0</v>
      </c>
      <c r="I349" s="1564">
        <v>0</v>
      </c>
      <c r="J349" s="1564">
        <v>0</v>
      </c>
      <c r="K349" s="1661">
        <f>SUM(C349:J349)</f>
        <v>0</v>
      </c>
      <c r="L349" s="1564">
        <v>0</v>
      </c>
    </row>
    <row r="350" spans="1:14" ht="12.75" customHeight="1" thickBot="1" x14ac:dyDescent="0.25">
      <c r="A350" s="1372" t="s">
        <v>713</v>
      </c>
      <c r="B350" s="1373"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272" t="s">
        <v>972</v>
      </c>
      <c r="B351" s="521" t="s">
        <v>570</v>
      </c>
      <c r="C351" s="1576">
        <v>0</v>
      </c>
      <c r="D351" s="1576">
        <v>0</v>
      </c>
      <c r="E351" s="1576">
        <v>0</v>
      </c>
      <c r="F351" s="1576">
        <v>0</v>
      </c>
      <c r="G351" s="1576">
        <v>0</v>
      </c>
      <c r="H351" s="1576">
        <v>0</v>
      </c>
      <c r="I351" s="1576">
        <v>0</v>
      </c>
      <c r="J351" s="1576">
        <v>0</v>
      </c>
      <c r="K351" s="1704">
        <f>SUM(C351:J351)</f>
        <v>0</v>
      </c>
      <c r="L351" s="1576">
        <v>0</v>
      </c>
    </row>
    <row r="352" spans="1:14" ht="12.75" customHeight="1" thickBot="1" x14ac:dyDescent="0.25">
      <c r="A352" s="1372" t="s">
        <v>620</v>
      </c>
      <c r="B352" s="1375" t="s">
        <v>565</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21" customFormat="1" ht="15.75" customHeight="1" thickTop="1" x14ac:dyDescent="0.2">
      <c r="A353" s="1342" t="s">
        <v>621</v>
      </c>
      <c r="B353" s="1339" t="s">
        <v>854</v>
      </c>
      <c r="C353" s="1662"/>
      <c r="D353" s="1662"/>
      <c r="E353" s="1662"/>
      <c r="F353" s="1662"/>
      <c r="G353" s="1662"/>
      <c r="H353" s="1662"/>
      <c r="I353" s="1662"/>
      <c r="J353" s="1662"/>
      <c r="K353" s="1662"/>
      <c r="L353" s="1662"/>
      <c r="M353" s="501"/>
      <c r="N353" s="501"/>
    </row>
    <row r="354" spans="1:14" x14ac:dyDescent="0.2">
      <c r="A354" s="1461" t="s">
        <v>1818</v>
      </c>
      <c r="B354" s="557" t="s">
        <v>1810</v>
      </c>
      <c r="C354" s="1662"/>
      <c r="D354" s="1662"/>
      <c r="E354" s="1662"/>
      <c r="F354" s="1662"/>
      <c r="G354" s="1662"/>
      <c r="H354" s="1570">
        <v>0</v>
      </c>
      <c r="I354" s="1705"/>
      <c r="J354" s="1662"/>
      <c r="K354" s="1702">
        <f>H354</f>
        <v>0</v>
      </c>
      <c r="L354" s="1568">
        <v>0</v>
      </c>
    </row>
    <row r="355" spans="1:14" ht="12.75" customHeight="1" x14ac:dyDescent="0.2">
      <c r="A355" s="1275" t="s">
        <v>1819</v>
      </c>
      <c r="B355" s="562" t="s">
        <v>1812</v>
      </c>
      <c r="C355" s="1662"/>
      <c r="D355" s="1662"/>
      <c r="E355" s="1662"/>
      <c r="F355" s="1662"/>
      <c r="G355" s="1662"/>
      <c r="H355" s="1565">
        <v>0</v>
      </c>
      <c r="I355" s="1705"/>
      <c r="J355" s="1662"/>
      <c r="K355" s="1596">
        <f>H355</f>
        <v>0</v>
      </c>
      <c r="L355" s="1565">
        <v>0</v>
      </c>
    </row>
    <row r="356" spans="1:14" ht="12.75" customHeight="1" x14ac:dyDescent="0.2">
      <c r="A356" s="1461" t="s">
        <v>692</v>
      </c>
      <c r="B356" s="557" t="s">
        <v>554</v>
      </c>
      <c r="C356" s="1662"/>
      <c r="D356" s="1662"/>
      <c r="E356" s="1662"/>
      <c r="F356" s="1662"/>
      <c r="G356" s="1662"/>
      <c r="H356" s="1574">
        <v>0</v>
      </c>
      <c r="I356" s="1705"/>
      <c r="J356" s="1662"/>
      <c r="K356" s="1589">
        <f>H356</f>
        <v>0</v>
      </c>
      <c r="L356" s="1574">
        <v>0</v>
      </c>
    </row>
    <row r="357" spans="1:14" ht="12.75" customHeight="1" thickBot="1" x14ac:dyDescent="0.25">
      <c r="A357" s="1372" t="s">
        <v>1467</v>
      </c>
      <c r="B357" s="1373" t="s">
        <v>854</v>
      </c>
      <c r="C357" s="1662"/>
      <c r="D357" s="1662"/>
      <c r="E357" s="1662"/>
      <c r="F357" s="1662"/>
      <c r="G357" s="1662"/>
      <c r="H357" s="1584">
        <f>SUM(H354:H356)</f>
        <v>0</v>
      </c>
      <c r="I357" s="1705"/>
      <c r="J357" s="1662"/>
      <c r="K357" s="1584">
        <f>SUM(K354:K356)</f>
        <v>0</v>
      </c>
      <c r="L357" s="1584">
        <f>SUM(L354:L356)</f>
        <v>0</v>
      </c>
    </row>
    <row r="358" spans="1:14" s="321" customFormat="1" ht="15.75" customHeight="1" thickTop="1" x14ac:dyDescent="0.2">
      <c r="A358" s="1342" t="s">
        <v>941</v>
      </c>
      <c r="B358" s="1339" t="s">
        <v>489</v>
      </c>
      <c r="C358" s="1662"/>
      <c r="D358" s="1662"/>
      <c r="E358" s="1662"/>
      <c r="F358" s="1662"/>
      <c r="G358" s="1662"/>
      <c r="H358" s="1662"/>
      <c r="I358" s="1662"/>
      <c r="J358" s="1662"/>
      <c r="K358" s="1662"/>
      <c r="L358" s="1662"/>
      <c r="M358" s="501"/>
      <c r="N358" s="501"/>
    </row>
    <row r="359" spans="1:14" s="321" customFormat="1" ht="15.75" customHeight="1" x14ac:dyDescent="0.2">
      <c r="A359" s="530" t="s">
        <v>623</v>
      </c>
      <c r="B359" s="508"/>
      <c r="C359" s="1662"/>
      <c r="D359" s="1662"/>
      <c r="E359" s="1662"/>
      <c r="F359" s="1662"/>
      <c r="G359" s="1662"/>
      <c r="H359" s="1662"/>
      <c r="I359" s="1662"/>
      <c r="J359" s="1662"/>
      <c r="K359" s="1665"/>
      <c r="L359" s="1665"/>
      <c r="M359" s="501"/>
      <c r="N359" s="501"/>
    </row>
    <row r="360" spans="1:14" x14ac:dyDescent="0.2">
      <c r="A360" s="1266" t="s">
        <v>87</v>
      </c>
      <c r="B360" s="503">
        <v>5110</v>
      </c>
      <c r="C360" s="1662"/>
      <c r="D360" s="1662"/>
      <c r="E360" s="1662"/>
      <c r="F360" s="1662"/>
      <c r="G360" s="1662"/>
      <c r="H360" s="1565">
        <v>0</v>
      </c>
      <c r="I360" s="1662"/>
      <c r="J360" s="1662"/>
      <c r="K360" s="1661">
        <f>SUM(C360:J360)</f>
        <v>0</v>
      </c>
      <c r="L360" s="1564">
        <v>0</v>
      </c>
    </row>
    <row r="361" spans="1:14" ht="12.75" customHeight="1" x14ac:dyDescent="0.2">
      <c r="A361" s="1267" t="s">
        <v>615</v>
      </c>
      <c r="B361" s="494" t="s">
        <v>614</v>
      </c>
      <c r="C361" s="1662"/>
      <c r="D361" s="1662"/>
      <c r="E361" s="1662"/>
      <c r="F361" s="1662"/>
      <c r="G361" s="1662"/>
      <c r="H361" s="1565">
        <v>0</v>
      </c>
      <c r="I361" s="1662"/>
      <c r="J361" s="1662"/>
      <c r="K361" s="1661">
        <f>SUM(C361:J361)</f>
        <v>0</v>
      </c>
      <c r="L361" s="1564">
        <v>0</v>
      </c>
    </row>
    <row r="362" spans="1:14" ht="12.75" customHeight="1" thickBot="1" x14ac:dyDescent="0.25">
      <c r="A362" s="1372" t="s">
        <v>622</v>
      </c>
      <c r="B362" s="1373"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4">
        <v>0</v>
      </c>
      <c r="I363" s="1673"/>
      <c r="J363" s="1673"/>
      <c r="K363" s="1702">
        <f>SUM(C363:J363)</f>
        <v>0</v>
      </c>
      <c r="L363" s="1574">
        <v>0</v>
      </c>
      <c r="M363" s="539"/>
      <c r="N363" s="539"/>
    </row>
    <row r="364" spans="1:14" s="573" customFormat="1" ht="29.25" customHeight="1" x14ac:dyDescent="0.2">
      <c r="A364" s="571" t="s">
        <v>1650</v>
      </c>
      <c r="B364" s="572">
        <v>5300</v>
      </c>
      <c r="C364" s="1706"/>
      <c r="D364" s="1707"/>
      <c r="E364" s="1707"/>
      <c r="F364" s="1706"/>
      <c r="G364" s="1707"/>
      <c r="H364" s="1708">
        <v>0</v>
      </c>
      <c r="I364" s="1707"/>
      <c r="J364" s="1707"/>
      <c r="K364" s="1661">
        <f>SUM(C364:J364)</f>
        <v>0</v>
      </c>
      <c r="L364" s="1574">
        <v>0</v>
      </c>
    </row>
    <row r="365" spans="1:14" s="548" customFormat="1" ht="12.75" customHeight="1" thickBot="1" x14ac:dyDescent="0.25">
      <c r="A365" s="1283" t="s">
        <v>586</v>
      </c>
      <c r="B365" s="534" t="s">
        <v>489</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6" t="s">
        <v>942</v>
      </c>
      <c r="B366" s="1343" t="s">
        <v>855</v>
      </c>
      <c r="C366" s="1665"/>
      <c r="D366" s="1665"/>
      <c r="E366" s="1665"/>
      <c r="F366" s="1665"/>
      <c r="G366" s="1665"/>
      <c r="H366" s="1665"/>
      <c r="I366" s="1665"/>
      <c r="J366" s="1662"/>
      <c r="K366" s="1665"/>
      <c r="L366" s="1638">
        <v>0</v>
      </c>
      <c r="M366" s="501"/>
      <c r="N366" s="501"/>
    </row>
    <row r="367" spans="1:14" ht="12.75" customHeight="1" thickTop="1" thickBot="1" x14ac:dyDescent="0.25">
      <c r="A367" s="1386" t="s">
        <v>502</v>
      </c>
      <c r="B367" s="1395"/>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307" t="s">
        <v>988</v>
      </c>
      <c r="B368" s="2308"/>
      <c r="C368" s="1683"/>
      <c r="D368" s="1683"/>
      <c r="E368" s="1666"/>
      <c r="F368" s="1666"/>
      <c r="G368" s="1666"/>
      <c r="H368" s="1666"/>
      <c r="I368" s="1666"/>
      <c r="J368" s="1665"/>
      <c r="K368" s="1661">
        <f>'Revenues 9-14'!K268-'Expenditures 15-22'!K367</f>
        <v>0</v>
      </c>
      <c r="L368" s="168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1"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documentManagement/types"/>
    <ds:schemaRef ds:uri="http://schemas.microsoft.com/office/infopath/2007/PartnerControls"/>
    <ds:schemaRef ds:uri="4d435f69-8686-490b-bd6d-b153bf22ab50"/>
    <ds:schemaRef ds:uri="http://purl.org/dc/dcmitype/"/>
    <ds:schemaRef ds:uri="d21dc803-237d-4c68-8692-8d731fd29118"/>
    <ds:schemaRef ds:uri="6ce3111e-7420-4802-b50a-75d4e9a0b980"/>
    <ds:schemaRef ds:uri="http://purl.org/dc/term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2020-11-23T20:26:29Z</cp:lastPrinted>
  <dcterms:created xsi:type="dcterms:W3CDTF">2003-10-29T19:06:34Z</dcterms:created>
  <dcterms:modified xsi:type="dcterms:W3CDTF">2020-12-11T21:58:55Z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