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B18CB5-1BB3-4640-ABE2-99DB5C613AA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32" i="29" l="1"/>
  <c r="D217" i="29"/>
  <c r="H8" i="29"/>
  <c r="F8" i="29"/>
  <c r="H83" i="29"/>
  <c r="E52" i="29"/>
  <c r="E68" i="29"/>
  <c r="E60" i="29"/>
  <c r="F46" i="29"/>
  <c r="E46" i="29"/>
  <c r="E44" i="29"/>
  <c r="F40" i="29"/>
  <c r="C40" i="29"/>
  <c r="C38" i="29"/>
  <c r="G8" i="29"/>
  <c r="E8" i="29"/>
  <c r="C8" i="29"/>
  <c r="D8" i="29"/>
  <c r="E41" i="29"/>
  <c r="C39" i="29"/>
  <c r="D36" i="29"/>
  <c r="C36" i="29"/>
  <c r="D44" i="29"/>
  <c r="D40" i="29"/>
  <c r="D39" i="29"/>
  <c r="D38"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F17" i="183"/>
  <c r="E17" i="183"/>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B7189" i="106" l="1"/>
  <c r="D7189" i="106" s="1"/>
  <c r="E64" i="184"/>
  <c r="N64" i="184" s="1"/>
  <c r="B7171" i="106"/>
  <c r="D7171" i="106" s="1"/>
  <c r="E62" i="184"/>
  <c r="N62" i="184" s="1"/>
  <c r="D31" i="108"/>
  <c r="E16" i="184"/>
  <c r="H16" i="184" s="1"/>
  <c r="B7696" i="106"/>
  <c r="D7696" i="106" s="1"/>
  <c r="E66" i="184"/>
  <c r="N66" i="184" s="1"/>
  <c r="B7153" i="106"/>
  <c r="D7153" i="106" s="1"/>
  <c r="E60" i="184"/>
  <c r="N60" i="184" s="1"/>
  <c r="B7135" i="106"/>
  <c r="D7135" i="106" s="1"/>
  <c r="E58" i="184"/>
  <c r="N58" i="184" s="1"/>
  <c r="L22" i="37"/>
  <c r="H12" i="184"/>
  <c r="F42" i="34"/>
  <c r="G35"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F41" i="108"/>
  <c r="G43" i="108" s="1"/>
  <c r="N57" i="184"/>
  <c r="N68" i="184" s="1"/>
  <c r="E68" i="184"/>
  <c r="E19" i="184"/>
  <c r="E367" i="29"/>
  <c r="B3635" i="106"/>
  <c r="B7220" i="106"/>
  <c r="D7220" i="106" s="1"/>
  <c r="F75" i="34"/>
  <c r="B7886" i="106" s="1"/>
  <c r="D7886" i="106" s="1"/>
  <c r="B7222" i="106"/>
  <c r="D7222" i="106" s="1"/>
  <c r="F76" i="34"/>
  <c r="B7887" i="106" s="1"/>
  <c r="D7887" i="106" s="1"/>
  <c r="H19" i="184"/>
  <c r="L20" i="184" s="1"/>
  <c r="B7827" i="106"/>
  <c r="D78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<sst xmlns="http://schemas.openxmlformats.org/spreadsheetml/2006/main" count="5137" uniqueCount="2075">
  <si>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</si>
  <si>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</si>
  <si>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</si>
  <si>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</si>
  <si>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</si>
  <si>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</si>
  <si>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</si>
  <si>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</si>
  <si>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</si>
  <si>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</si>
  <si>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</si>
  <si>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</si>
  <si>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</si>
  <si>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</si>
  <si>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</si>
  <si>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</si>
  <si>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</si>
  <si>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</si>
  <si>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</si>
  <si>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</si>
  <si>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</si>
  <si>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</si>
  <si>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</si>
  <si>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</si>
  <si>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</si>
  <si>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</si>
  <si>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</si>
  <si>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</si>
  <si>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</si>
  <si>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</si>
  <si>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</si>
  <si>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</si>
  <si>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</si>
  <si>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</si>
  <si>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</si>
  <si>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</si>
  <si>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</si>
  <si>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</si>
  <si>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</si>
  <si>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</si>
  <si>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</si>
  <si>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</si>
  <si>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</si>
  <si>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</si>
  <si>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</si>
  <si>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</si>
  <si>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</si>
  <si>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</si>
  <si>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</si>
  <si>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</si>
  <si>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</si>
  <si>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</si>
  <si>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</si>
  <si>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</si>
  <si>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</si>
  <si>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</si>
  <si>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</si>
  <si>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</si>
  <si>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</si>
  <si>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</si>
  <si>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</si>
  <si>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</si>
  <si>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</si>
  <si>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</si>
  <si>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</si>
  <si>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</si>
  <si>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</si>
  <si>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</si>
  <si>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</si>
  <si>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</si>
  <si>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</si>
  <si>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</si>
  <si>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</si>
  <si>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</si>
  <si>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</si>
  <si>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</si>
  <si>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</si>
  <si>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</si>
  <si>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</si>
  <si>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</si>
  <si>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</si>
  <si>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</si>
  <si>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</si>
  <si>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</si>
  <si>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</si>
  <si>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</si>
  <si>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</si>
  <si>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</si>
  <si>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</si>
  <si>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</si>
  <si>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</si>
  <si>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</si>
  <si>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</si>
  <si>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</si>
  <si>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</si>
  <si>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</si>
  <si>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</si>
  <si>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</si>
  <si>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</si>
  <si>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</si>
  <si>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</si>
  <si>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</si>
  <si>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</si>
  <si>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</si>
  <si>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</si>
  <si>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</si>
  <si>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</si>
  <si>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</si>
  <si>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</si>
  <si>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</si>
  <si>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</si>
  <si>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</si>
  <si>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</si>
  <si>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</si>
  <si>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</si>
  <si>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</si>
  <si>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</si>
  <si>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</si>
  <si>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</si>
  <si>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</si>
  <si>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</si>
  <si>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</si>
  <si>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</si>
  <si>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</si>
  <si>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</si>
  <si>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</si>
  <si>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</si>
  <si>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</si>
  <si>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</si>
  <si>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</si>
  <si>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</si>
  <si>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</si>
  <si>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</si>
  <si>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</si>
  <si>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</si>
  <si>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</si>
  <si>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</si>
  <si>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</si>
  <si>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</si>
  <si>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</si>
  <si>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</si>
  <si>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</si>
  <si>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</si>
  <si>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</si>
  <si>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</si>
  <si>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</si>
  <si>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</si>
  <si>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</si>
  <si>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</si>
  <si>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</si>
  <si>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</si>
  <si>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</si>
  <si>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</si>
  <si>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</si>
  <si>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</si>
  <si>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</si>
  <si>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</si>
  <si>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</si>
  <si>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</si>
  <si>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</si>
  <si>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</si>
  <si>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</si>
  <si>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</si>
  <si>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</si>
  <si>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</si>
  <si>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</si>
  <si>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</si>
  <si>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</si>
  <si>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</si>
  <si>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</si>
  <si>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</si>
  <si>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</si>
  <si>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</si>
  <si>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</si>
  <si>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</si>
  <si>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</si>
  <si>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</si>
  <si>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</si>
  <si>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</si>
  <si>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</si>
  <si>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</si>
  <si>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</si>
  <si>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</si>
  <si>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</si>
  <si>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</si>
  <si>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</si>
  <si>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</si>
  <si>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</si>
  <si>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</si>
  <si>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</si>
  <si>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</si>
  <si>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</si>
  <si>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</si>
  <si>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</si>
  <si>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</si>
  <si>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</si>
  <si>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</si>
  <si>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</si>
  <si>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</si>
  <si>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</si>
  <si>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</si>
  <si>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</si>
  <si>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</si>
  <si>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</si>
  <si>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</si>
  <si>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</si>
  <si>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</si>
  <si>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</si>
  <si>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</si>
  <si>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</si>
  <si>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</si>
  <si>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</si>
  <si>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</si>
  <si>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</si>
  <si>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</si>
  <si>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</si>
  <si>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</si>
  <si>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</si>
  <si>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</si>
  <si>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</si>
  <si>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</si>
  <si>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</si>
  <si>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</si>
  <si>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</si>
  <si>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</si>
  <si>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</si>
  <si>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</si>
  <si>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</si>
  <si>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</si>
  <si>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</si>
  <si>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</si>
  <si>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</si>
  <si>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</si>
  <si>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</si>
  <si>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</si>
  <si>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</si>
  <si>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</si>
  <si>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</si>
  <si>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</si>
  <si>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</si>
  <si>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</si>
  <si>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</si>
  <si>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</si>
  <si>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</si>
  <si>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</si>
  <si>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</si>
  <si>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</si>
  <si>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</si>
  <si>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</si>
  <si>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</si>
  <si>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</si>
  <si>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</si>
  <si>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</si>
  <si>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</si>
  <si>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</si>
  <si>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</si>
  <si>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</si>
  <si>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</si>
  <si>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</si>
  <si>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</si>
  <si>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</si>
  <si>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</si>
  <si>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</si>
  <si>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</si>
  <si>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</si>
  <si>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</si>
  <si>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</si>
  <si>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</si>
  <si>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</si>
  <si>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</si>
  <si>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</si>
  <si>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</si>
  <si>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</si>
  <si>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</si>
  <si>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</si>
  <si>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</si>
  <si>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</si>
  <si>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</si>
  <si>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</si>
  <si>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</si>
  <si>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</si>
  <si>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</si>
  <si>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</si>
  <si>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</si>
  <si>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</si>
  <si>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</si>
  <si>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</si>
  <si>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</si>
  <si>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</si>
  <si>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</si>
  <si>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</si>
  <si>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</si>
  <si>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</si>
  <si>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</si>
  <si>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</si>
  <si>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</si>
  <si>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</si>
  <si>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</si>
  <si>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</si>
  <si>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</si>
  <si>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</si>
  <si>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</si>
  <si>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</si>
  <si>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</si>
  <si>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</si>
  <si>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</si>
  <si>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</si>
  <si>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</si>
  <si>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</si>
  <si>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</si>
  <si>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</si>
  <si>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</si>
  <si>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</si>
  <si>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</si>
  <si>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</si>
  <si>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</si>
  <si>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</si>
  <si>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</si>
  <si>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</si>
  <si>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</si>
  <si>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</si>
  <si>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</si>
  <si>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</si>
  <si>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</si>
  <si>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</si>
  <si>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</si>
  <si>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</si>
  <si>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</si>
  <si>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</si>
  <si>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</si>
  <si>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</si>
  <si>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</si>
  <si>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</si>
  <si>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</si>
  <si>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</si>
  <si>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</si>
  <si>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</si>
  <si>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</si>
  <si>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</si>
  <si>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</si>
  <si>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</si>
  <si>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</si>
  <si>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</si>
  <si>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</si>
  <si>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</si>
  <si>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</si>
  <si>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</si>
  <si>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</si>
  <si>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</si>
  <si>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</si>
  <si>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</si>
  <si>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</si>
  <si>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</si>
  <si>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</si>
  <si>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</si>
  <si>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</si>
  <si>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</si>
  <si>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</si>
  <si>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</si>
  <si>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</si>
  <si>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</si>
  <si>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</si>
  <si>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</si>
  <si>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</si>
  <si>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</si>
  <si>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</si>
  <si>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</si>
  <si>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</si>
  <si>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</si>
  <si>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</si>
  <si>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</si>
  <si>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</si>
  <si>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</si>
  <si>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</si>
  <si>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</si>
  <si>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</si>
  <si>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</si>
  <si>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</si>
  <si>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</si>
  <si>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</si>
  <si>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</si>
  <si>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</si>
  <si>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</si>
  <si>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</si>
  <si>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</si>
  <si>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</si>
  <si>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</si>
  <si>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</si>
  <si>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</si>
  <si>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</si>
  <si>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</si>
  <si>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</si>
  <si>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</si>
  <si>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</si>
  <si>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</si>
  <si>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</si>
  <si>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</si>
  <si>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</si>
  <si>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</si>
  <si>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</si>
  <si>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</si>
  <si>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</si>
  <si>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</si>
  <si>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</si>
  <si>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</si>
  <si>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</si>
  <si>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</si>
  <si>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</si>
  <si>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</si>
  <si>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</si>
  <si>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</si>
  <si>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</si>
  <si>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</si>
  <si>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</si>
  <si>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</si>
  <si>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</si>
  <si>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</si>
  <si>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</si>
  <si>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</si>
  <si>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</si>
  <si>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</si>
  <si>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</si>
  <si>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</si>
  <si>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</si>
  <si>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</si>
  <si>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</si>
  <si>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</si>
  <si>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</si>
  <si>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</si>
  <si>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</si>
  <si>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</si>
  <si>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</si>
  <si>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</si>
  <si>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</si>
  <si>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</si>
  <si>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</si>
  <si>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</si>
  <si>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</si>
  <si>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</si>
  <si>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</si>
  <si>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</si>
  <si>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</si>
  <si>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</si>
  <si>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</si>
  <si>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</si>
  <si>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</si>
  <si>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</si>
  <si>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</si>
  <si>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</si>
  <si>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</si>
  <si>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</si>
  <si>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</si>
  <si>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</si>
  <si>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</si>
  <si>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</si>
  <si>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</si>
  <si>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</si>
  <si>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</si>
  <si>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</si>
  <si>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</si>
  <si>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</si>
  <si>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</si>
  <si>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</si>
  <si>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</si>
  <si>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</si>
  <si>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</si>
  <si>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</si>
  <si>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</si>
  <si>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</si>
  <si>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</si>
  <si>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</si>
  <si>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</si>
  <si>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</si>
  <si>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</si>
  <si>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</si>
  <si>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</si>
  <si>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</si>
  <si>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</si>
  <si>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</si>
  <si>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</si>
  <si>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</si>
  <si>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</si>
  <si>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</si>
  <si>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</si>
  <si>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</si>
  <si>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</si>
  <si>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</si>
  <si>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</si>
  <si>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</si>
  <si>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</si>
  <si>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</si>
  <si>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</si>
  <si>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</si>
  <si>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</si>
  <si>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</si>
  <si>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</si>
  <si>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</si>
  <si>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</si>
  <si>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</si>
  <si>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</si>
  <si>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</si>
  <si>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</si>
  <si>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</si>
  <si>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</si>
  <si>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</si>
  <si>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</si>
  <si>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</si>
  <si>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</si>
  <si>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</si>
  <si>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</si>
  <si>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</si>
  <si>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</si>
  <si>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</si>
  <si>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</si>
  <si>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</si>
  <si>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</si>
  <si>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</si>
  <si>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</si>
  <si>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</si>
  <si>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</si>
  <si>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</si>
  <si>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</si>
  <si>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</si>
  <si>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</si>
  <si>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</si>
  <si>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</si>
  <si>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</si>
  <si>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</si>
  <si>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</si>
  <si>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</si>
  <si>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</si>
  <si>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</si>
  <si>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</si>
  <si>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</si>
  <si>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</si>
  <si>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</si>
  <si>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</si>
  <si>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</si>
  <si>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</si>
  <si>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</si>
  <si>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</si>
  <si>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</si>
  <si>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</si>
  <si>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</si>
  <si>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</si>
  <si>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</si>
  <si>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</si>
  <si>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</si>
  <si>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</si>
  <si>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</si>
  <si>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</si>
  <si>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</si>
  <si>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</si>
  <si>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</si>
  <si>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</si>
  <si>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</si>
  <si>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</si>
  <si>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</si>
  <si>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</si>
  <si>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</si>
  <si>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</si>
  <si>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</si>
  <si>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</si>
  <si>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</si>
  <si>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</si>
  <si>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</si>
  <si>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</si>
  <si>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</si>
  <si>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</si>
  <si>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</si>
  <si>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</si>
  <si>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</si>
  <si>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</si>
  <si>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</si>
  <si>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</si>
  <si>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</si>
  <si>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</si>
  <si>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</si>
  <si>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</si>
  <si>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</si>
  <si>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</si>
  <si>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</si>
  <si>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</si>
  <si>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</si>
  <si>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</si>
  <si>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</si>
  <si>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</si>
  <si>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</si>
  <si>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</si>
  <si>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</si>
  <si>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</si>
  <si>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</si>
  <si>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</si>
  <si>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</si>
  <si>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</si>
  <si>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</si>
  <si>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</si>
  <si>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</si>
  <si>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</si>
  <si>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</si>
  <si>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</si>
  <si>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</si>
  <si>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</si>
  <si>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</si>
  <si>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</si>
  <si>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</si>
  <si>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</si>
  <si>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</si>
  <si>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</si>
  <si>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</si>
  <si>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</si>
  <si>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</si>
  <si>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</si>
  <si>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</si>
  <si>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</si>
  <si>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</si>
  <si>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</si>
  <si>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</si>
  <si>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</si>
  <si>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</si>
  <si>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</si>
  <si>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</si>
  <si>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</si>
  <si>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</si>
  <si>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</si>
  <si>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</si>
  <si>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</si>
  <si>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</si>
  <si>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</si>
  <si>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</si>
  <si>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</si>
  <si>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</si>
  <si>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</si>
  <si>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</si>
  <si>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</si>
  <si>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</si>
  <si>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</si>
  <si>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</si>
  <si>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</si>
  <si>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</si>
  <si>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</si>
  <si>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</si>
  <si>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</si>
  <si>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</si>
  <si>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</si>
  <si>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</si>
  <si>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</si>
  <si>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</si>
  <si>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</si>
  <si>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</si>
  <si>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</si>
  <si>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</si>
  <si>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</si>
  <si>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</si>
  <si>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</si>
  <si>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</si>
  <si>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</si>
  <si>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</si>
  <si>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</si>
  <si>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</si>
  <si>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</si>
  <si>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</si>
  <si>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</si>
  <si>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</si>
  <si>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</si>
  <si>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</si>
  <si>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</si>
  <si>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</si>
  <si>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</si>
  <si>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</si>
  <si>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</si>
  <si>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</si>
  <si>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</si>
  <si>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</si>
  <si>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</si>
  <si>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</si>
  <si>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</si>
  <si>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</si>
  <si>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</si>
  <si>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</si>
  <si>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</si>
  <si>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</si>
  <si>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</si>
  <si>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</si>
  <si>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</si>
  <si>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</si>
  <si>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</si>
  <si>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</si>
  <si>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</si>
  <si>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</si>
  <si>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</si>
  <si>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</si>
  <si>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</si>
  <si>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</si>
  <si>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</si>
  <si>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</si>
  <si>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</si>
  <si>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</si>
  <si>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</si>
  <si>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</si>
  <si>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</si>
  <si>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</si>
  <si>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</si>
  <si>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</si>
  <si>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</si>
  <si>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</si>
  <si>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</si>
  <si>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</si>
  <si>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</si>
  <si>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</si>
  <si>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</si>
  <si>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</si>
  <si>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</si>
  <si>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</si>
  <si>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</si>
  <si>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</si>
  <si>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</si>
  <si>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</si>
  <si>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</si>
  <si>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</si>
  <si>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</si>
  <si>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</si>
  <si>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</si>
  <si>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</si>
  <si>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</si>
  <si>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</si>
  <si>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</si>
  <si>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</si>
  <si>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</si>
  <si>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</si>
  <si>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</si>
  <si>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</si>
  <si>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</si>
  <si>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</si>
  <si>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</si>
  <si>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</si>
  <si>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</si>
  <si>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</si>
  <si>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</si>
  <si>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</si>
  <si>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</si>
  <si>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</si>
  <si>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</si>
  <si>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</si>
  <si>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</si>
  <si>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</si>
  <si>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</si>
  <si>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</si>
  <si>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</si>
  <si>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</si>
  <si>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</si>
  <si>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</si>
  <si>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</si>
  <si>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</si>
  <si>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</si>
  <si>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</si>
  <si>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</si>
  <si>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</si>
  <si>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</si>
  <si>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</si>
  <si>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</si>
  <si>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</si>
  <si>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</si>
  <si>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</si>
  <si>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</si>
  <si>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</si>
  <si>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</si>
  <si>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</si>
  <si>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</si>
  <si>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</si>
  <si>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</si>
  <si>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</si>
  <si>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</si>
  <si>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</si>
  <si>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</si>
  <si>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</si>
  <si>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</si>
  <si>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</si>
  <si>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</si>
  <si>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</si>
  <si>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</si>
  <si>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</si>
  <si>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</si>
  <si>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</si>
  <si>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</si>
  <si>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</si>
  <si>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</si>
  <si>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</si>
  <si>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</si>
  <si>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</si>
  <si>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</si>
  <si>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</si>
  <si>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</si>
  <si>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</si>
  <si>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</si>
  <si>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</si>
  <si>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</si>
  <si>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</si>
  <si>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</si>
  <si>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</si>
  <si>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</si>
  <si>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</si>
  <si>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</si>
  <si>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</si>
  <si>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</si>
  <si>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</si>
  <si>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</si>
  <si>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</si>
  <si>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</si>
  <si>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</si>
  <si>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</si>
  <si>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</si>
  <si>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</si>
  <si>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</si>
  <si>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</si>
  <si>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</si>
  <si>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</si>
  <si>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</si>
  <si>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</si>
  <si>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</si>
  <si>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</si>
  <si>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</si>
  <si>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</si>
  <si>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</si>
  <si>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</si>
  <si>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</si>
  <si>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</si>
  <si>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</si>
  <si>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</si>
  <si>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</si>
  <si>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</si>
  <si>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</si>
  <si>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</si>
  <si>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</si>
  <si>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</si>
  <si>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</si>
  <si>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</si>
  <si>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</si>
  <si>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</si>
  <si>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</si>
  <si>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</si>
  <si>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</si>
  <si>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</si>
  <si>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</si>
  <si>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</si>
  <si>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</si>
  <si>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</si>
  <si>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</si>
  <si>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</si>
  <si>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</si>
  <si>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</si>
  <si>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</si>
  <si>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</si>
  <si>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</si>
  <si>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</si>
  <si>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</si>
  <si>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</si>
  <si>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</si>
  <si>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</si>
  <si>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</si>
  <si>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</si>
  <si>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</si>
  <si>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</si>
  <si>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</si>
  <si>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</si>
  <si>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</si>
  <si>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</si>
  <si>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</si>
  <si>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</si>
  <si>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</si>
  <si>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</si>
  <si>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</si>
  <si>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</si>
  <si>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</si>
  <si>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</si>
  <si>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</si>
  <si>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</si>
  <si>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</si>
  <si>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</si>
  <si>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</si>
  <si>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</si>
  <si>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</si>
  <si>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</si>
  <si>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</si>
  <si>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</si>
  <si>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</si>
  <si>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</si>
  <si>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</si>
  <si>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</si>
  <si>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</si>
  <si>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</si>
  <si>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</si>
  <si>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</si>
  <si>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</si>
  <si>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</si>
  <si>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</si>
  <si>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</si>
  <si>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</si>
  <si>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</si>
  <si>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</si>
  <si>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</si>
  <si>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</si>
  <si>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</si>
  <si>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</si>
  <si>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</si>
  <si>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</si>
  <si>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</si>
  <si>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</si>
  <si>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</si>
  <si>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</si>
  <si>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</si>
  <si>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</si>
  <si>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</si>
  <si>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</si>
  <si>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</si>
  <si>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</si>
  <si>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</si>
  <si>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</si>
  <si>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</si>
  <si>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</si>
  <si>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</si>
  <si>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</si>
  <si>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</si>
  <si>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</si>
  <si>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</si>
  <si>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</si>
  <si>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</si>
  <si>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</si>
  <si>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</si>
  <si>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</si>
  <si>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</si>
  <si>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</si>
  <si>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</si>
  <si>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</si>
  <si>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</si>
  <si>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</si>
  <si>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</si>
  <si>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</si>
  <si>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</si>
  <si>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</si>
  <si>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</si>
  <si>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</si>
  <si>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</si>
  <si>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</si>
  <si>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</si>
  <si>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</si>
  <si>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</si>
  <si>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</si>
  <si>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</si>
  <si>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</si>
  <si>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</si>
  <si>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</si>
  <si>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</si>
  <si>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</si>
  <si>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</si>
  <si>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</si>
  <si>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</si>
  <si>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</si>
  <si>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</si>
  <si>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</si>
  <si>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</si>
  <si>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</si>
  <si>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</si>
  <si>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</si>
  <si>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</si>
  <si>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</si>
  <si>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</si>
  <si>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</si>
  <si>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</si>
  <si>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</si>
  <si>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</si>
  <si>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</si>
  <si>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</si>
  <si>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</si>
  <si>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</si>
  <si>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</si>
  <si>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</si>
  <si>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</si>
  <si>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</si>
  <si>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</si>
  <si>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</si>
  <si>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</si>
  <si>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</si>
  <si>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</si>
  <si>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</si>
  <si>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</si>
  <si>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</si>
  <si>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</si>
  <si>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</si>
  <si>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</si>
  <si>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</si>
  <si>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</si>
  <si>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</si>
  <si>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</si>
  <si>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</si>
  <si>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</si>
  <si>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</si>
  <si>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</si>
  <si>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</si>
  <si>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</si>
  <si>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</si>
  <si>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</si>
  <si>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</si>
  <si>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</si>
  <si>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</si>
  <si>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</si>
  <si>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</si>
  <si>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</si>
  <si>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</si>
  <si>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</si>
  <si>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</si>
  <si>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</si>
  <si>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</si>
  <si>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</si>
  <si>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</si>
  <si>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</si>
  <si>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</si>
  <si>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</si>
  <si>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</si>
  <si>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</si>
  <si>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</si>
  <si>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</si>
  <si>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</si>
  <si>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</si>
  <si>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</si>
  <si>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</si>
  <si>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</si>
  <si>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</si>
  <si>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</si>
  <si>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</si>
  <si>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</si>
  <si>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</si>
  <si>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</si>
  <si>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</si>
  <si>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</si>
  <si>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</si>
  <si>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</si>
  <si>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</si>
  <si>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</si>
  <si>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</si>
  <si>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</si>
  <si>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</si>
  <si>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</si>
  <si>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</si>
  <si>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</si>
  <si>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</si>
  <si>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</si>
  <si>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</si>
  <si>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</si>
  <si>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</si>
  <si>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</si>
  <si>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</si>
  <si>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</si>
  <si>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</si>
  <si>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</si>
  <si>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</si>
  <si>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</si>
  <si>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</si>
  <si>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</si>
  <si>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</si>
  <si>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</si>
  <si>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</si>
  <si>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</si>
  <si>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</si>
  <si>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</si>
  <si>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</si>
  <si>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</si>
  <si>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</si>
  <si>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</si>
  <si>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</si>
  <si>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</si>
  <si>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</si>
  <si>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</si>
  <si>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</si>
  <si>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</si>
  <si>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</si>
  <si>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</si>
  <si>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</si>
  <si>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</si>
  <si>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</si>
  <si>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</si>
  <si>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</si>
  <si>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</si>
  <si>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</si>
  <si>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</si>
  <si>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</si>
  <si>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</si>
  <si>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</si>
  <si>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</si>
  <si>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</si>
  <si>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</si>
  <si>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</si>
  <si>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</si>
  <si>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</si>
  <si>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</si>
  <si>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</si>
  <si>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</si>
  <si>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</si>
  <si>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</si>
  <si>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</si>
  <si>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</si>
  <si>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</si>
  <si>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</si>
  <si>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</si>
  <si>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</si>
  <si>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</si>
  <si>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</si>
  <si>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</si>
  <si>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</si>
  <si>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</si>
  <si>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</si>
  <si>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</si>
  <si>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</si>
  <si>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</si>
  <si>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</si>
  <si>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</si>
  <si>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</si>
  <si>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</si>
  <si>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</si>
  <si>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</si>
  <si>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</si>
  <si>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</si>
  <si>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</si>
  <si>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</si>
  <si>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</si>
  <si>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</si>
  <si>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</si>
  <si>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</si>
  <si>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</si>
  <si>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</si>
  <si>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</si>
  <si>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</si>
  <si>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</si>
  <si>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</si>
  <si>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</si>
  <si>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</si>
  <si>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</si>
  <si>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</si>
  <si>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</si>
  <si>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</si>
  <si>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</si>
  <si>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</si>
  <si>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</si>
  <si>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</si>
  <si>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</si>
  <si>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</si>
  <si>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</si>
  <si>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</si>
  <si>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</si>
  <si>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</si>
  <si>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</si>
  <si>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</si>
  <si>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</si>
  <si>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</si>
  <si>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</si>
  <si>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</si>
  <si>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</si>
  <si>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</si>
  <si>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</si>
  <si>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</si>
  <si>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</si>
  <si>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</si>
  <si>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</si>
  <si>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</si>
  <si>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</si>
  <si>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</si>
  <si>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</si>
  <si>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</si>
  <si>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</si>
  <si>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</si>
  <si>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</si>
  <si>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</si>
  <si>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</si>
  <si>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</si>
  <si>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</si>
  <si>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</si>
  <si>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</si>
  <si>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</si>
  <si>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</si>
  <si>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</si>
  <si>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</si>
  <si>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</si>
  <si>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</si>
  <si>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</si>
  <si>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</si>
  <si>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</si>
  <si>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</si>
  <si>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</si>
  <si>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</si>
  <si>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</si>
  <si>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</si>
  <si>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</si>
  <si>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</si>
  <si>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</si>
  <si>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</si>
  <si>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</si>
  <si>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</si>
  <si>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</si>
  <si>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</si>
  <si>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</si>
  <si>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</si>
  <si>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</si>
  <si>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</si>
  <si>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</si>
  <si>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</si>
  <si>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</si>
  <si>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</si>
  <si>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</si>
  <si>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</si>
  <si>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</si>
  <si>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</si>
  <si>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</si>
  <si>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</si>
  <si>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</si>
  <si>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</si>
  <si>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</si>
  <si>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</si>
  <si>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</si>
  <si>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</si>
  <si>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</si>
  <si>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</si>
  <si>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</si>
  <si>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</si>
  <si>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</si>
  <si>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</si>
  <si>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</si>
  <si>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</si>
  <si>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</si>
  <si>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</si>
  <si>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</si>
  <si>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</si>
  <si>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</si>
  <si>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</si>
  <si>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</si>
  <si>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</si>
  <si>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</si>
  <si>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</si>
  <si>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</si>
  <si>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</si>
  <si>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</si>
  <si>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</si>
  <si>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</si>
  <si>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</si>
  <si>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</si>
  <si>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</si>
  <si>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</si>
  <si>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</si>
  <si>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</si>
  <si>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</si>
  <si>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</si>
  <si>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</si>
  <si>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</si>
  <si>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</si>
  <si>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</si>
  <si>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</si>
  <si>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</si>
  <si>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</si>
  <si>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</si>
  <si>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</si>
  <si>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</si>
  <si>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</si>
  <si>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</si>
  <si>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</si>
  <si>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</si>
  <si>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</si>
  <si>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</si>
  <si>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</si>
  <si>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</si>
  <si>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</si>
  <si>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</si>
  <si>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</si>
  <si>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</si>
  <si>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</si>
  <si>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</si>
  <si>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</si>
  <si>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</si>
  <si>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</si>
  <si>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</si>
  <si>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</si>
  <si>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</si>
  <si>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</si>
  <si>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</si>
  <si>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</si>
  <si>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</si>
  <si>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</si>
  <si>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</si>
  <si>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</si>
  <si>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</si>
  <si>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</si>
  <si>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</si>
  <si>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</si>
  <si>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</si>
  <si>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</si>
  <si>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</si>
  <si>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</si>
  <si>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</si>
  <si>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</si>
  <si>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</si>
  <si>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</si>
  <si>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</si>
  <si>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</si>
  <si>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</si>
  <si>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</si>
  <si>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</si>
  <si>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</si>
  <si>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</si>
  <si>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</si>
  <si>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</si>
  <si>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</si>
  <si>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</si>
  <si>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</si>
  <si>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</si>
  <si>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</si>
  <si>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</si>
  <si>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</si>
  <si>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</si>
  <si>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</si>
  <si>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</si>
  <si>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</si>
  <si>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</si>
  <si>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</si>
  <si>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</si>
  <si>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</si>
  <si>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</si>
  <si>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</si>
  <si>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</si>
  <si>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</si>
  <si>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</si>
  <si>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</si>
  <si>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</si>
  <si>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</si>
  <si>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</si>
  <si>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</si>
  <si>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</si>
  <si>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</si>
  <si>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</si>
  <si>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</si>
  <si>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</si>
  <si>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</si>
  <si>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</si>
  <si>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</si>
  <si>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</si>
  <si>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</si>
  <si>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</si>
  <si>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</si>
  <si>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</si>
  <si>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</si>
  <si>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</si>
  <si>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</si>
  <si>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</si>
  <si>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</si>
  <si>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</si>
  <si>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</si>
  <si>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</si>
  <si>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</si>
  <si>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</si>
  <si>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</si>
  <si>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</si>
  <si>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</si>
  <si>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</si>
  <si>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</si>
  <si>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</si>
  <si>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</si>
  <si>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</si>
  <si>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</si>
  <si>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</si>
  <si>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</si>
  <si>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</si>
  <si>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</si>
  <si>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</si>
  <si>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</si>
  <si>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</si>
  <si>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</si>
  <si>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</si>
  <si>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</si>
  <si>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</si>
  <si>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</si>
  <si>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</si>
  <si>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</si>
  <si>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</si>
  <si>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</si>
  <si>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</si>
  <si>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</si>
  <si>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</si>
  <si>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</si>
  <si>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</si>
  <si>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</si>
  <si>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</si>
  <si>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</si>
  <si>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</si>
  <si>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</si>
  <si>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</si>
  <si>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</si>
  <si>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</si>
  <si>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</si>
  <si>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</si>
  <si>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</si>
  <si>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</si>
  <si>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</si>
  <si>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</si>
  <si>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</si>
  <si>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</si>
  <si>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</si>
  <si>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</si>
  <si>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</si>
  <si>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</si>
  <si>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</si>
  <si>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</si>
  <si>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</si>
  <si>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</si>
  <si>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</si>
  <si>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</si>
  <si>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</si>
  <si>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</si>
  <si>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</si>
  <si>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</si>
  <si>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</si>
  <si>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</si>
  <si>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</si>
  <si>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</si>
  <si>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</si>
  <si>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</si>
  <si>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</si>
  <si>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</si>
  <si>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</si>
  <si>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</si>
  <si>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</si>
  <si>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</si>
  <si>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</si>
  <si>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</si>
  <si>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</si>
  <si>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</si>
  <si>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</si>
  <si>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</si>
  <si>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</si>
  <si>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</si>
  <si>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</si>
  <si>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</si>
  <si>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</si>
  <si>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</si>
  <si>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</si>
  <si>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</si>
  <si>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</si>
  <si>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</si>
  <si>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</si>
  <si>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</si>
  <si>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</si>
  <si>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</si>
  <si>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</si>
  <si>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</si>
  <si>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</si>
  <si>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</si>
  <si>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</si>
  <si>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</si>
  <si>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</si>
  <si>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</si>
  <si>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</si>
  <si>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</si>
  <si>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</si>
  <si>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</si>
  <si>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</si>
  <si>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</si>
  <si>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</si>
  <si>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</si>
  <si>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</si>
  <si>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</si>
  <si>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</si>
  <si>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</si>
  <si>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</si>
  <si>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</si>
  <si>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</si>
  <si>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</si>
  <si>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</si>
  <si>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</si>
  <si>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</si>
  <si>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</si>
  <si>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</si>
  <si>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</si>
  <si>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</si>
  <si>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</si>
  <si>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</si>
  <si>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</si>
  <si>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</si>
  <si>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</si>
  <si>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</si>
  <si>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</si>
  <si>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</si>
  <si>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</si>
  <si>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</si>
  <si>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</si>
  <si>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</si>
  <si>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</si>
  <si>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</si>
  <si>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</si>
  <si>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</si>
  <si>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</si>
  <si>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</si>
  <si>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</si>
  <si>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</si>
  <si>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</si>
  <si>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</si>
  <si>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</si>
  <si>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</si>
  <si>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</si>
  <si>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</si>
  <si>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</si>
  <si>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</si>
  <si>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</si>
  <si>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</si>
  <si>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</si>
  <si>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</si>
  <si>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</si>
  <si>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</si>
  <si>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</si>
  <si>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</si>
  <si>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</si>
  <si>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</si>
  <si>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</si>
  <si>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</si>
  <si>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</si>
  <si>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</si>
  <si>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</si>
  <si>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</si>
  <si>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</si>
  <si>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</si>
  <si>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</si>
  <si>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</si>
  <si>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</si>
  <si>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</si>
  <si>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</si>
  <si>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</si>
  <si>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</si>
  <si>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</si>
  <si>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</si>
  <si>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</si>
  <si>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</si>
  <si>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</si>
  <si>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</si>
  <si>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</si>
  <si>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</si>
  <si>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</si>
  <si>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</si>
  <si>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</si>
  <si>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</si>
  <si>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</si>
  <si>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</si>
  <si>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</si>
  <si>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</si>
  <si>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</si>
  <si>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</si>
  <si>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</si>
  <si>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</si>
  <si>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</si>
  <si>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</si>
  <si>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</si>
  <si>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</si>
  <si>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</si>
  <si>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</si>
  <si>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</si>
  <si>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</si>
  <si>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</si>
  <si>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</si>
  <si>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</si>
  <si>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</si>
  <si>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</si>
  <si>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</si>
  <si>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</si>
  <si>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</si>
  <si>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</si>
  <si>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</si>
  <si>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</si>
  <si>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</si>
  <si>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</si>
  <si>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</si>
  <si>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</si>
  <si>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</si>
  <si>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</si>
  <si>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</si>
  <si>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</si>
  <si>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</si>
  <si>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</si>
  <si>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</si>
  <si>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</si>
  <si>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</si>
  <si>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</si>
  <si>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</si>
  <si>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</si>
  <si>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</si>
  <si>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</si>
  <si>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</si>
  <si>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</si>
  <si>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</si>
  <si>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</si>
  <si>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</si>
  <si>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</si>
  <si>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</si>
  <si>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</si>
  <si>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</si>
  <si>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</si>
  <si>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</si>
  <si>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</si>
  <si>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</si>
  <si>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</si>
  <si>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</si>
  <si>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</si>
  <si>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</si>
  <si>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</si>
  <si>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</si>
  <si>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</si>
  <si>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</si>
  <si>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</si>
  <si>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</si>
  <si>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</si>
  <si>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</si>
  <si>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</si>
  <si>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</si>
  <si>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</si>
  <si>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</si>
  <si>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</si>
  <si>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</si>
  <si>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</si>
  <si>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</si>
  <si>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</si>
  <si>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</si>
  <si>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</si>
  <si>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</si>
  <si>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</si>
  <si>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</si>
  <si>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</si>
  <si>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</si>
  <si>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</si>
  <si>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</si>
  <si>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</si>
  <si>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</si>
  <si>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</si>
  <si>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</si>
  <si>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</si>
  <si>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</si>
  <si>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</si>
  <si>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</si>
  <si>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</si>
  <si>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</si>
  <si>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</si>
  <si>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</si>
  <si>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</si>
  <si>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</si>
  <si>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</si>
  <si>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</si>
  <si>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</si>
  <si>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</si>
  <si>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</si>
  <si>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</si>
  <si>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</si>
  <si>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</si>
  <si>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</si>
  <si>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</si>
  <si>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</si>
  <si>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</si>
  <si>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</si>
  <si>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</si>
  <si>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</si>
  <si>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</si>
  <si>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</si>
  <si>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</si>
  <si>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</si>
  <si>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</si>
  <si>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</si>
  <si>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</si>
  <si>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</si>
  <si>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</si>
  <si>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</si>
  <si>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</si>
  <si>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</si>
  <si>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</si>
  <si>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</si>
  <si>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</si>
  <si>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</si>
  <si>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</si>
  <si>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</si>
  <si>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</si>
  <si>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</si>
  <si>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</si>
  <si>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</si>
  <si>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</si>
  <si>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</si>
  <si>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</si>
  <si>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</si>
  <si>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</si>
  <si>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</si>
  <si>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</si>
  <si>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</si>
  <si>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</si>
  <si>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</si>
  <si>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</si>
  <si>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</si>
  <si>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</si>
  <si>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</si>
  <si>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</si>
  <si>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</si>
  <si>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</si>
  <si>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</si>
  <si>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</si>
  <si>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</si>
  <si>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</si>
  <si>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</si>
  <si>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</si>
  <si>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</si>
  <si>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</si>
  <si>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</si>
  <si>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</si>
  <si>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</si>
  <si>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</si>
  <si>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</si>
  <si>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</si>
  <si>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</si>
  <si>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</si>
  <si>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</si>
  <si>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</si>
  <si>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</si>
  <si>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</si>
  <si>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</si>
  <si>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</si>
  <si>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</si>
  <si>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</si>
  <si>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</si>
  <si>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</si>
  <si>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</si>
  <si>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</si>
  <si>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</si>
  <si>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</si>
  <si>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</si>
  <si>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</si>
  <si>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</si>
  <si>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</si>
  <si>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</si>
  <si>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</si>
  <si>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</si>
  <si>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</si>
  <si>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</si>
  <si>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</si>
  <si>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</si>
  <si>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</si>
  <si>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</si>
  <si>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</si>
  <si>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</si>
  <si>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</si>
  <si>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</si>
  <si>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</si>
  <si>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</si>
  <si>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</si>
  <si>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</si>
  <si>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</si>
  <si>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</si>
  <si>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</si>
  <si>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</si>
  <si>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</si>
  <si>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</si>
  <si>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</si>
  <si>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</si>
  <si>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</si>
  <si>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</si>
  <si>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</si>
  <si>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</si>
  <si>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</si>
  <si>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</si>
  <si>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</si>
  <si>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</si>
  <si>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</si>
  <si>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</si>
  <si>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</si>
  <si>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</si>
  <si>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</si>
  <si>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</si>
  <si>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</si>
  <si>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</si>
  <si>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</si>
  <si>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</si>
  <si>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</si>
  <si>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</si>
  <si>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</si>
  <si>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</si>
  <si>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</si>
  <si>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</si>
  <si>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</si>
  <si>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</si>
  <si>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</si>
  <si>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</si>
  <si>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</si>
  <si>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</si>
  <si>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</si>
  <si>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</si>
  <si>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</si>
  <si>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</si>
  <si>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</si>
  <si>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</si>
  <si>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</si>
  <si>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</si>
  <si>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</si>
  <si>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</si>
  <si>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</si>
  <si>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</si>
  <si>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</si>
  <si>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</si>
  <si>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</si>
  <si>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</si>
  <si>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</si>
  <si>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</si>
  <si>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</si>
  <si>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</si>
  <si>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</si>
  <si>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</si>
  <si>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</si>
  <si>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</si>
  <si>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</si>
  <si>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</si>
  <si>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</si>
  <si>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</si>
  <si>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</si>
  <si>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</si>
  <si>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</si>
  <si>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</si>
  <si>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</si>
  <si>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</si>
  <si>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</si>
  <si>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</si>
  <si>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</si>
  <si>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</si>
  <si>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</si>
  <si>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</si>
  <si>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</si>
  <si>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</si>
  <si>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</si>
  <si>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</si>
  <si>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</si>
  <si>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</si>
  <si>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</si>
  <si>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</si>
  <si>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</si>
  <si>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</si>
  <si>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</si>
  <si>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</si>
  <si>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</si>
  <si>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</si>
  <si>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</si>
  <si>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</si>
  <si>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</si>
  <si>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</si>
  <si>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</si>
  <si>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</si>
  <si>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</si>
  <si>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</si>
  <si>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</si>
  <si>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</si>
  <si>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</si>
  <si>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</si>
  <si>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</si>
  <si>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</si>
  <si>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</si>
  <si>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</si>
  <si>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</si>
  <si>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</si>
  <si>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</si>
  <si>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</si>
  <si>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</si>
  <si>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</si>
  <si>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</si>
  <si>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</si>
  <si>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</si>
  <si>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</si>
  <si>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</si>
  <si>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</si>
  <si>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</si>
  <si>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</si>
  <si>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</si>
  <si>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</si>
  <si>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</si>
  <si>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</si>
  <si>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</si>
  <si>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</si>
  <si>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</si>
  <si>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</si>
  <si>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</si>
  <si>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</si>
  <si>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</si>
  <si>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</si>
  <si>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</si>
  <si>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</si>
  <si>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</si>
  <si>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</si>
  <si>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</si>
  <si>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</si>
  <si>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</si>
  <si>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</si>
  <si>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</si>
  <si>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</si>
  <si>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</si>
  <si>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</si>
  <si>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</si>
  <si>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</si>
  <si>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</si>
  <si>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</si>
  <si>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</si>
  <si>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</si>
  <si>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</si>
  <si>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</si>
  <si>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</si>
  <si>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</si>
  <si>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</si>
  <si>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</si>
  <si>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</si>
  <si>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</si>
  <si>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</si>
  <si>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</si>
  <si>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</si>
  <si>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</si>
  <si>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</si>
  <si>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</si>
  <si>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</si>
  <si>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</si>
  <si>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</si>
  <si>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</si>
  <si>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</si>
  <si>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</si>
  <si>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</si>
  <si>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</si>
  <si>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</si>
  <si>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</si>
  <si>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</si>
  <si>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</si>
  <si>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</si>
  <si>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</si>
  <si>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</si>
  <si>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</si>
  <si>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</si>
  <si>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</si>
  <si>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</si>
  <si>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</si>
  <si>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</si>
  <si>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</si>
  <si>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</si>
  <si>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</si>
  <si>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</si>
  <si>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</si>
  <si>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</si>
  <si>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</si>
  <si>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</si>
  <si>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</si>
  <si>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</si>
  <si>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</si>
  <si>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</si>
  <si>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</si>
  <si>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</si>
  <si>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</si>
  <si>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</si>
  <si>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</si>
  <si>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</si>
  <si>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</si>
  <si>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</si>
  <si>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</si>
  <si>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</si>
  <si>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</si>
  <si>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</si>
  <si>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</si>
  <si>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</si>
  <si>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</si>
  <si>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</si>
  <si>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</si>
  <si>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</si>
  <si>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</si>
  <si>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</si>
  <si>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</si>
  <si>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</si>
  <si>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</si>
  <si>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</si>
  <si>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</si>
  <si>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</si>
  <si>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</si>
  <si>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</si>
  <si>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</si>
  <si>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</si>
  <si>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</si>
  <si>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</si>
  <si>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</si>
  <si>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</si>
  <si>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</si>
  <si>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</si>
  <si>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</si>
  <si>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</si>
  <si>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</si>
  <si>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</si>
  <si>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</si>
  <si>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</si>
  <si>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</si>
  <si>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</si>
  <si>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</si>
  <si>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</si>
  <si>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</si>
  <si>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</si>
  <si>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</si>
  <si>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</si>
  <si>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</si>
  <si>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</si>
  <si>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</si>
  <si>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</si>
  <si>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</si>
  <si>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</si>
  <si>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</si>
  <si>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</si>
  <si>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</si>
  <si>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</si>
  <si>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</si>
  <si>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</si>
  <si>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</si>
  <si>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</si>
  <si>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</si>
  <si>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</si>
  <si>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</si>
  <si>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</si>
  <si>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</si>
  <si>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</si>
  <si>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</si>
  <si>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</si>
  <si>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</si>
  <si>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</si>
  <si>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</si>
  <si>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</si>
  <si>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</si>
  <si>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</si>
  <si>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</si>
  <si>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</si>
  <si>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</si>
  <si>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</si>
  <si>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</si>
  <si>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</si>
  <si>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</si>
  <si>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</si>
  <si>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</si>
  <si>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</si>
  <si>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</si>
  <si>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</si>
  <si>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</si>
  <si>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</si>
  <si>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</si>
  <si>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</si>
  <si>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</si>
  <si>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</si>
  <si>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</si>
  <si>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</si>
  <si>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</si>
  <si>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</si>
  <si>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</si>
  <si>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</si>
  <si>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Lake</t>
  </si>
  <si>
    <t>990 Corporate Woods Parkway</t>
  </si>
  <si>
    <t>Vernon Hills</t>
  </si>
  <si>
    <t>Megan Clarke</t>
  </si>
  <si>
    <t>224-513-6488</t>
  </si>
  <si>
    <t>224-513-6445</t>
  </si>
  <si>
    <t>Evoy, Kamschulte, Jacobs &amp; Co. LLP</t>
  </si>
  <si>
    <t>John D. Aceto, Jr., CPA</t>
  </si>
  <si>
    <t>2122 Yeoman Street</t>
  </si>
  <si>
    <t>Waukegan</t>
  </si>
  <si>
    <t>IL</t>
  </si>
  <si>
    <t>847-662-8300</t>
  </si>
  <si>
    <t>847-662-8305</t>
  </si>
  <si>
    <t>066-003289</t>
  </si>
  <si>
    <t>jaceto@ekjllp.com</t>
  </si>
  <si>
    <t>CLIC</t>
  </si>
  <si>
    <t>Ed-Instruction-Purchased Service</t>
  </si>
  <si>
    <t>Sunbelt Staffing</t>
  </si>
  <si>
    <t>Soliant Health</t>
  </si>
  <si>
    <t>OM-OM of Plant Services-Purchased Service</t>
  </si>
  <si>
    <t>Buffalo Grove Park District</t>
  </si>
  <si>
    <t>Corporate Woods Associates</t>
  </si>
  <si>
    <t xml:space="preserve">  Exceptional Learners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</si>
</sst>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xdr:colOff>
          <xdr:row>1</xdr:row>
          <xdr:rowOff>142875</xdr:rowOff>
        </xdr:from>
        <xdr:to>
          <xdr:col>1</xdr:col>
          <xdr:colOff>1114425</xdr:colOff>
          <xdr:row>5</xdr:row>
          <xdr:rowOff>9525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34049801060</v>
      </c>
      <c r="B13" s="2087"/>
      <c r="C13" s="2087"/>
      <c r="D13" s="2087"/>
      <c r="E13" s="2087"/>
      <c r="F13" s="2087"/>
      <c r="G13" s="2087"/>
      <c r="H13" s="2088"/>
      <c r="I13" s="31"/>
      <c r="J13" s="30"/>
      <c r="K13" s="28"/>
      <c r="L13" s="30"/>
      <c r="M13" s="30"/>
      <c r="N13" s="30"/>
      <c r="O13" s="30"/>
      <c r="P13" s="30"/>
      <c r="Q13" s="30"/>
      <c r="R13" s="30"/>
      <c r="S13" s="30"/>
      <c r="T13" s="2091" t="s">
        <v>2058</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2074</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2061</v>
      </c>
      <c r="U19" s="2082"/>
      <c r="V19" s="2082"/>
      <c r="W19" s="2083"/>
      <c r="X19" s="2099" t="s">
        <v>2062</v>
      </c>
      <c r="Y19" s="2100"/>
      <c r="Z19" s="2097">
        <v>60087</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2063</v>
      </c>
      <c r="U21" s="2050"/>
      <c r="V21" s="2050"/>
      <c r="W21" s="2050"/>
      <c r="X21" s="2063" t="s">
        <v>2064</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2065</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60061</v>
      </c>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2056</v>
      </c>
      <c r="B42" s="2131"/>
      <c r="C42" s="2132"/>
      <c r="D42" s="2145" t="s">
        <v>2057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12961</v>
      </c>
    </row>
    <row r="37" spans="1:11" x14ac:dyDescent="0.2">
      <c r="A37" s="660" t="s">
        <v>890</v>
      </c>
      <c r="B37" s="658"/>
      <c r="C37" s="658"/>
      <c r="D37" s="658"/>
      <c r="E37" s="658"/>
      <c r="F37" s="659"/>
      <c r="G37" s="619"/>
    </row>
    <row r="38" spans="1:11" x14ac:dyDescent="0.2">
      <c r="A38" s="660" t="s">
        <v>986</v>
      </c>
      <c r="B38" s="658"/>
      <c r="C38" s="658"/>
      <c r="D38" s="658"/>
      <c r="E38" s="658"/>
      <c r="F38" s="659"/>
      <c r="G38" s="619">
        <v>19546</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370426</v>
      </c>
      <c r="D12" s="1771">
        <v>302264</v>
      </c>
      <c r="E12" s="1771"/>
      <c r="F12" s="1765">
        <f>(C12+D12)-E12</f>
        <v>672690</v>
      </c>
      <c r="G12" s="681">
        <v>10</v>
      </c>
      <c r="H12" s="619">
        <v>100878</v>
      </c>
      <c r="I12" s="619">
        <v>67269</v>
      </c>
      <c r="J12" s="619"/>
      <c r="K12" s="1442">
        <f>(H12+I12)-J12</f>
        <v>168147</v>
      </c>
      <c r="L12" s="1442">
        <f>F12-K12</f>
        <v>504543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370426</v>
      </c>
      <c r="D16" s="1765">
        <f>SUM(D3,D5:D6,D8:D10,D12:D15)</f>
        <v>302264</v>
      </c>
      <c r="E16" s="1765">
        <f>SUM(E3,E5:E6,E8:E10,E12:E15)</f>
        <v>0</v>
      </c>
      <c r="F16" s="1765">
        <f>SUM(F3,F5:F6,F8:F10,F12:F15)</f>
        <v>672690</v>
      </c>
      <c r="G16" s="681"/>
      <c r="H16" s="1435">
        <f>SUM(H3,H6,H8:H10,H12:H14,)</f>
        <v>100878</v>
      </c>
      <c r="I16" s="1435">
        <f>SUM(I3,I6,I8:I10,I12:I14,)</f>
        <v>67269</v>
      </c>
      <c r="J16" s="1435">
        <f>SUM(J3,J6,J8:J10,J12:J14,)</f>
        <v>0</v>
      </c>
      <c r="K16" s="1435">
        <f>(H16+I16)-J16</f>
        <v>168147</v>
      </c>
      <c r="L16" s="1435">
        <f>F16-K16</f>
        <v>504543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67269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7604397</v>
      </c>
      <c r="G8" s="701"/>
    </row>
    <row r="9" spans="1:9" x14ac:dyDescent="0.2">
      <c r="A9" s="705" t="s">
        <v>457</v>
      </c>
      <c r="B9" s="706" t="s">
        <v>1848</v>
      </c>
      <c r="C9" s="707"/>
      <c r="D9" s="705" t="s">
        <v>498</v>
      </c>
      <c r="E9" s="704"/>
      <c r="F9" s="1775">
        <f>'Expenditures 15-22'!K151</f>
        <v>407408</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528366</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8540171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273982</v>
      </c>
      <c r="G53" s="701"/>
    </row>
    <row r="54" spans="1:7" x14ac:dyDescent="0.2">
      <c r="A54" s="705" t="s">
        <v>456</v>
      </c>
      <c r="B54" s="705" t="s">
        <v>1459</v>
      </c>
      <c r="C54" s="724" t="s">
        <v>975</v>
      </c>
      <c r="D54" s="720" t="s">
        <v>1086</v>
      </c>
      <c r="E54" s="704"/>
      <c r="F54" s="1782">
        <f>'Expenditures 15-22'!G114</f>
        <v>140409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161855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576246</v>
      </c>
      <c r="G77" s="701"/>
    </row>
    <row r="78" spans="1:9" s="728" customFormat="1" ht="12" customHeight="1" thickTop="1" thickBot="1" x14ac:dyDescent="0.25">
      <c r="A78" s="1450"/>
      <c r="B78" s="1448"/>
      <c r="C78" s="1445"/>
      <c r="D78" s="1449" t="s">
        <v>2012</v>
      </c>
      <c r="E78" s="1447"/>
      <c r="F78" s="1788">
        <f>(F14-F77)</f>
        <v>7963925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540085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7939983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388720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1259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8870047</v>
      </c>
    </row>
    <row r="176" spans="1:7" ht="12" customHeight="1" x14ac:dyDescent="0.2">
      <c r="A176" s="1443"/>
      <c r="B176" s="1453"/>
      <c r="C176" s="1454"/>
      <c r="D176" s="1455" t="s">
        <v>2014</v>
      </c>
      <c r="E176" s="1456"/>
      <c r="F176" s="1793">
        <f>'PCTC-OEPP 27-28'!F78-F175</f>
        <v>-906122</v>
      </c>
    </row>
    <row r="177" spans="1:9" ht="12" customHeight="1" x14ac:dyDescent="0.2">
      <c r="A177" s="1443"/>
      <c r="B177" s="1453"/>
      <c r="C177" s="1454"/>
      <c r="D177" s="1455" t="s">
        <v>1794</v>
      </c>
      <c r="E177" s="1456"/>
      <c r="F177" s="1793">
        <f>'Cap Outlay Deprec 26'!I18</f>
        <v>67269</v>
      </c>
    </row>
    <row r="178" spans="1:9" ht="12" customHeight="1" x14ac:dyDescent="0.2">
      <c r="A178" s="1443"/>
      <c r="B178" s="1453"/>
      <c r="C178" s="1454"/>
      <c r="D178" s="1455" t="s">
        <v>2015</v>
      </c>
      <c r="E178" s="1456"/>
      <c r="F178" s="1793">
        <f>F176+F177</f>
        <v>-838853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125" sqref="A125"/>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2068</v>
      </c>
      <c r="B18" s="1908">
        <v>101000300</v>
      </c>
      <c r="C18" s="2036" t="s">
        <v>2069</v>
      </c>
      <c r="D18" s="1886">
        <v>30371</v>
      </c>
      <c r="E18" s="1906" t="str">
        <f t="shared" ref="E18:E81" si="0">IF(D18&lt;25000,D18,"25,000")</f>
        <v>25,000</v>
      </c>
      <c r="F18" s="1906">
        <f t="shared" ref="F18:F81" si="1">IF(D18&gt;=25000,(D18-E18),"0")</f>
        <v>5371</v>
      </c>
      <c r="G18" s="1887"/>
    </row>
    <row r="19" spans="1:7" x14ac:dyDescent="0.25">
      <c r="A19" s="2035" t="s">
        <v>2068</v>
      </c>
      <c r="B19" s="1908">
        <v>101000300</v>
      </c>
      <c r="C19" s="2036" t="s">
        <v>2070</v>
      </c>
      <c r="D19" s="1886">
        <v>112582</v>
      </c>
      <c r="E19" s="1906" t="str">
        <f t="shared" si="0"/>
        <v>25,000</v>
      </c>
      <c r="F19" s="1906">
        <f t="shared" si="1"/>
        <v>87582</v>
      </c>
    </row>
    <row r="20" spans="1:7" x14ac:dyDescent="0.25">
      <c r="A20" s="2035" t="s">
        <v>2071</v>
      </c>
      <c r="B20" s="1908">
        <v>202540300</v>
      </c>
      <c r="C20" s="2036" t="s">
        <v>2072</v>
      </c>
      <c r="D20" s="1886">
        <v>66763</v>
      </c>
      <c r="E20" s="1906" t="str">
        <f t="shared" si="0"/>
        <v>25,000</v>
      </c>
      <c r="F20" s="1906">
        <f t="shared" si="1"/>
        <v>41763</v>
      </c>
    </row>
    <row r="21" spans="1:7" x14ac:dyDescent="0.25">
      <c r="A21" s="2035" t="s">
        <v>2071</v>
      </c>
      <c r="B21" s="1908">
        <v>202540300</v>
      </c>
      <c r="C21" s="2036" t="s">
        <v>2073</v>
      </c>
      <c r="D21" s="1886">
        <v>114761</v>
      </c>
      <c r="E21" s="1906" t="str">
        <f t="shared" si="0"/>
        <v>25,000</v>
      </c>
      <c r="F21" s="1906">
        <f t="shared" si="1"/>
        <v>89761</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324477</v>
      </c>
      <c r="E142" s="1893">
        <f>SUM(E18:E141)</f>
        <v>0</v>
      </c>
      <c r="F142" s="1894">
        <f>SUM(F18:F141)</f>
        <v>224477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3294456</v>
      </c>
      <c r="F19" s="1802"/>
      <c r="G19" s="1804">
        <f>'Expenditures 15-22'!K33-SUM('Expenditures 15-22'!G33,'Expenditures 15-22'!I33)+'Expenditures 15-22'!D229</f>
        <v>3294456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4033442</v>
      </c>
      <c r="F21" s="1805"/>
      <c r="G21" s="1808">
        <f>'Expenditures 15-22'!K42-SUM('Expenditures 15-22'!G42,'Expenditures 15-22'!I42)+'Expenditures 15-22'!K120-SUM('Expenditures 15-22'!G120,'Expenditures 15-22'!I120)+'Expenditures 15-22'!K180-SUM('Expenditures 15-22'!G180,'Expenditures 15-22'!I180)+'Expenditures 15-22'!D238</f>
        <v>4033442</v>
      </c>
      <c r="H21" s="817"/>
      <c r="I21" s="157"/>
    </row>
    <row r="22" spans="1:9" s="542" customFormat="1" ht="12" customHeight="1" x14ac:dyDescent="0.2">
      <c r="A22" s="824" t="s">
        <v>560</v>
      </c>
      <c r="B22" s="825"/>
      <c r="C22" s="823">
        <v>2200</v>
      </c>
      <c r="D22" s="1805"/>
      <c r="E22" s="1807">
        <f>'Expenditures 15-22'!K47-SUM('Expenditures 15-22'!G47,'Expenditures 15-22'!I47)+'Expenditures 15-22'!D243</f>
        <v>128305</v>
      </c>
      <c r="F22" s="1805"/>
      <c r="G22" s="1808">
        <f>'Expenditures 15-22'!K47-SUM('Expenditures 15-22'!G47,'Expenditures 15-22'!I47)+'Expenditures 15-22'!D243</f>
        <v>128305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107967</v>
      </c>
      <c r="F23" s="1805"/>
      <c r="G23" s="1807">
        <f>'Expenditures 15-22'!K53-SUM('Expenditures 15-22'!G53,'Expenditures 15-22'!I53)+'Expenditures 15-22'!D257+'Expenditures 15-22'!K330-SUM('Expenditures 15-22'!G330,'Expenditures 15-22'!I330)</f>
        <v>107967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90000</v>
      </c>
      <c r="E27" s="1807">
        <f>E8</f>
        <v>0</v>
      </c>
      <c r="F27" s="1807">
        <f>'Expenditures 15-22'!K60-SUM('Expenditures 15-22'!G60,'Expenditures 15-22'!I60)+'Expenditures 15-22'!D264-E8</f>
        <v>90000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245553</v>
      </c>
      <c r="F28" s="1809">
        <f>'Expenditures 15-22'!K61-SUM('Expenditures 15-22'!G61,'Expenditures 15-22'!I61)+'Expenditures 15-22'!K124-SUM('Expenditures 15-22'!G124,'Expenditures 15-22'!I124)+'Expenditures 15-22'!D266-E9</f>
        <v>245553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64202</v>
      </c>
      <c r="F34" s="1805"/>
      <c r="G34" s="1807">
        <f>'Expenditures 15-22'!K68-SUM('Expenditures 15-22'!G68,'Expenditures 15-22'!I68)+'Expenditures 15-22'!D273</f>
        <v>64202</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-224477</v>
      </c>
      <c r="F40" s="1805"/>
      <c r="G40" s="1809">
        <f>-'Contracts Paid in CY 29'!F142</f>
        <v>-224477</v>
      </c>
    </row>
    <row r="41" spans="1:7" ht="12" customHeight="1" x14ac:dyDescent="0.2">
      <c r="A41" s="828" t="s">
        <v>155</v>
      </c>
      <c r="B41" s="829"/>
      <c r="C41" s="830"/>
      <c r="D41" s="1809">
        <f>SUM(D19:D39)</f>
        <v>90000</v>
      </c>
      <c r="E41" s="1809">
        <f>SUM(E19:E40)</f>
        <v>7649448</v>
      </c>
      <c r="F41" s="1809">
        <f>SUM(F19:F39)</f>
        <v>335553</v>
      </c>
      <c r="G41" s="1809">
        <f>SUM(G19:G40)</f>
        <v>7403895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90000</v>
      </c>
      <c r="F43" s="1458" t="s">
        <v>470</v>
      </c>
      <c r="G43" s="1810">
        <f>F41</f>
        <v>335553</v>
      </c>
    </row>
    <row r="44" spans="1:7" ht="12" customHeight="1" x14ac:dyDescent="0.2">
      <c r="A44" s="817"/>
      <c r="B44" s="157"/>
      <c r="C44" s="831"/>
      <c r="D44" s="1458" t="s">
        <v>471</v>
      </c>
      <c r="E44" s="1810">
        <f>E41</f>
        <v>7649448</v>
      </c>
      <c r="F44" s="1458" t="s">
        <v>471</v>
      </c>
      <c r="G44" s="1810">
        <f>G41</f>
        <v>7403895</v>
      </c>
    </row>
    <row r="45" spans="1:7" ht="12" customHeight="1" x14ac:dyDescent="0.2">
      <c r="A45" s="817"/>
      <c r="B45" s="157"/>
      <c r="C45" s="157"/>
      <c r="D45" s="1459" t="s">
        <v>999</v>
      </c>
      <c r="E45" s="1811">
        <f>(E43/E44)</f>
        <v>1.1765554847879219E-2</v>
      </c>
      <c r="F45" s="1459" t="s">
        <v>999</v>
      </c>
      <c r="G45" s="1811">
        <f>(G43/G44)</f>
        <v>4.53211451540034E-2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0" sqref="F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Exceptional Learners</v>
      </c>
      <c r="D6" s="2404"/>
      <c r="E6" s="2404"/>
      <c r="F6" s="1482"/>
      <c r="G6" s="1507"/>
      <c r="L6" s="1507"/>
      <c r="M6" s="1855"/>
      <c r="N6" s="1855"/>
      <c r="O6" s="1855"/>
    </row>
    <row r="7" spans="1:15" ht="11.25" customHeight="1" thickBot="1" x14ac:dyDescent="0.3">
      <c r="A7" s="1480"/>
      <c r="B7" s="1481"/>
      <c r="C7" s="2405">
        <f>COVER!A13</f>
        <v>34049801060</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2067</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Exceptional Learners</v>
      </c>
      <c r="K6" s="2420"/>
      <c r="L6" s="2421"/>
      <c r="M6" s="838"/>
      <c r="N6" s="1998"/>
    </row>
    <row r="7" spans="1:14" x14ac:dyDescent="0.2">
      <c r="A7" s="2422" t="s">
        <v>864</v>
      </c>
      <c r="B7" s="2423"/>
      <c r="C7" s="2423"/>
      <c r="D7" s="2423"/>
      <c r="E7" s="2424"/>
      <c r="F7" s="839"/>
      <c r="G7" s="838"/>
      <c r="H7" s="838"/>
      <c r="I7" s="1924" t="s">
        <v>369</v>
      </c>
      <c r="J7" s="2425">
        <f>COVER!A13</f>
        <v>34049801060</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0</v>
      </c>
      <c r="F19" s="1950">
        <f t="shared" si="2"/>
        <v>0</v>
      </c>
      <c r="G19" s="1950">
        <f t="shared" ref="G19" si="3">SUM(G12:G17)-G18</f>
        <v>0</v>
      </c>
      <c r="H19" s="1950">
        <f t="shared" si="2"/>
        <v>0</v>
      </c>
      <c r="I19" s="1950">
        <f t="shared" si="2"/>
        <v>0</v>
      </c>
      <c r="J19" s="1950">
        <f t="shared" si="2"/>
        <v>0</v>
      </c>
      <c r="K19" s="1950">
        <f t="shared" si="2"/>
        <v>0</v>
      </c>
      <c r="L19" s="1950">
        <f t="shared" si="2"/>
        <v>0</v>
      </c>
      <c r="M19" s="838"/>
      <c r="N19" s="1998"/>
    </row>
    <row r="20" spans="1:14" ht="13.5" thickTop="1" x14ac:dyDescent="0.2">
      <c r="A20" s="2003">
        <v>9</v>
      </c>
      <c r="B20" s="2432" t="s">
        <v>2021</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Exceptional Learners</v>
      </c>
      <c r="M52" s="2420"/>
      <c r="N52" s="2450"/>
    </row>
    <row r="53" spans="1:14" x14ac:dyDescent="0.2">
      <c r="A53" s="1982"/>
      <c r="B53" s="1983"/>
      <c r="C53" s="1983"/>
      <c r="D53" s="1983"/>
      <c r="E53" s="1983"/>
      <c r="F53" s="1983"/>
      <c r="G53" s="1983"/>
      <c r="H53" s="1983"/>
      <c r="I53" s="1983"/>
      <c r="J53" s="1983"/>
      <c r="K53" s="1924" t="s">
        <v>369</v>
      </c>
      <c r="L53" s="2425">
        <f>J7</f>
        <v>34049801060</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Exceptional Learners</v>
      </c>
    </row>
    <row r="65" spans="2:2" x14ac:dyDescent="0.2">
      <c r="B65" s="849">
        <f>COVER!A13</f>
        <v>34049801060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4033" r:id="rId4">
          <objectPr defaultSize="0" r:id="rId5">
            <anchor moveWithCells="1">
              <from>
                <xdr:col>1</xdr:col>
                <xdr:colOff>209550</xdr:colOff>
                <xdr:row>1</xdr:row>
                <xdr:rowOff>142875</xdr:rowOff>
              </from>
              <to>
                <xdr:col>1</xdr:col>
                <xdr:colOff>1114425</xdr:colOff>
                <xdr:row>5</xdr:row>
                <xdr:rowOff>9525</xdr:rowOff>
              </to>
            </anchor>
          </objectPr>
        </oleObject>
      </mc:Choice>
      <mc:Fallback>
        <oleObject progId="Packager Shell Objec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8276287</v>
      </c>
      <c r="C8" s="1813">
        <f>'Acct Summary 7-8'!D8</f>
        <v>313433</v>
      </c>
      <c r="D8" s="1813">
        <f>'Acct Summary 7-8'!F8</f>
        <v>0</v>
      </c>
      <c r="E8" s="1813">
        <f>'Acct Summary 7-8'!I8</f>
        <v>0</v>
      </c>
      <c r="F8" s="1813">
        <f>SUM(B8:E8)</f>
        <v>8589720</v>
      </c>
    </row>
    <row r="9" spans="1:8" s="858" customFormat="1" ht="14.25" customHeight="1" thickBot="1" x14ac:dyDescent="0.25">
      <c r="A9" s="857" t="s">
        <v>1353</v>
      </c>
      <c r="B9" s="1814">
        <f>'Acct Summary 7-8'!C17</f>
        <v>7604397</v>
      </c>
      <c r="C9" s="1814">
        <f>'Acct Summary 7-8'!D17</f>
        <v>407408</v>
      </c>
      <c r="D9" s="1814">
        <f>'Acct Summary 7-8'!F17</f>
        <v>0</v>
      </c>
      <c r="E9" s="1813"/>
      <c r="F9" s="1813">
        <f>SUM(B9:E9)</f>
        <v>8011805</v>
      </c>
    </row>
    <row r="10" spans="1:8" s="858" customFormat="1" ht="14.25" thickTop="1" thickBot="1" x14ac:dyDescent="0.25">
      <c r="A10" s="859" t="s">
        <v>1354</v>
      </c>
      <c r="B10" s="1815">
        <f>(B8-B9)</f>
        <v>671890</v>
      </c>
      <c r="C10" s="1815">
        <f>(C8-C9)</f>
        <v>-93975</v>
      </c>
      <c r="D10" s="1815">
        <f>(D8-D9)</f>
        <v>0</v>
      </c>
      <c r="E10" s="1814">
        <f>(E8-E9)</f>
        <v>0</v>
      </c>
      <c r="F10" s="1816">
        <f>SUM(F8-F9)</f>
        <v>577915</v>
      </c>
    </row>
    <row r="11" spans="1:8" s="858" customFormat="1" ht="14.25" thickTop="1" thickBot="1" x14ac:dyDescent="0.25">
      <c r="A11" s="860" t="s">
        <v>1903</v>
      </c>
      <c r="B11" s="1817">
        <f>'Acct Summary 7-8'!C81</f>
        <v>1297461</v>
      </c>
      <c r="C11" s="1817">
        <f>'Acct Summary 7-8'!D81</f>
        <v>108203</v>
      </c>
      <c r="D11" s="1817">
        <f>'Acct Summary 7-8'!F81</f>
        <v>0</v>
      </c>
      <c r="E11" s="1817">
        <f>'Acct Summary 7-8'!I81</f>
        <v>0</v>
      </c>
      <c r="F11" s="1818">
        <f>SUM(B11:E11)</f>
        <v>1405664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34049801060</v>
      </c>
      <c r="E2" s="1542">
        <v>2020</v>
      </c>
      <c r="F2" s="1542">
        <v>1</v>
      </c>
      <c r="G2" s="1899">
        <v>101000300</v>
      </c>
    </row>
    <row r="3" spans="1:7" ht="15" x14ac:dyDescent="0.25">
      <c r="A3" t="s">
        <v>950</v>
      </c>
      <c r="B3" s="135" t="str">
        <f>COVER!A15</f>
        <v>Lake</v>
      </c>
      <c r="E3" s="1830" t="s">
        <v>1971</v>
      </c>
      <c r="F3" s="1830" t="s">
        <v>1970</v>
      </c>
      <c r="G3" s="1899">
        <v>101000400</v>
      </c>
    </row>
    <row r="4" spans="1:7" ht="15" x14ac:dyDescent="0.25">
      <c r="A4" t="s">
        <v>1000</v>
      </c>
      <c r="B4" s="135" t="str">
        <f>COVER!A17</f>
        <v xml:space="preserve">  Exceptional Learners</v>
      </c>
      <c r="E4" s="1828">
        <v>44119</v>
      </c>
      <c r="F4" s="1829">
        <v>44151</v>
      </c>
      <c r="G4" s="1899">
        <v>101000600</v>
      </c>
    </row>
    <row r="5" spans="1:7" ht="15" x14ac:dyDescent="0.25">
      <c r="A5" t="s">
        <v>699</v>
      </c>
      <c r="B5" s="135" t="str">
        <f>COVER!A38</f>
        <v>Megan Clarke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John D. Aceto, Jr., CPA</v>
      </c>
      <c r="G17" s="1899">
        <v>402100800</v>
      </c>
    </row>
    <row r="18" spans="1:7" ht="15" x14ac:dyDescent="0.25">
      <c r="A18" t="s">
        <v>1140</v>
      </c>
      <c r="B18" s="135" t="str">
        <f>COVER!T17</f>
        <v>2122 Yeoman Street</v>
      </c>
      <c r="G18" s="1899">
        <v>102200300</v>
      </c>
    </row>
    <row r="19" spans="1:7" ht="15" x14ac:dyDescent="0.25">
      <c r="A19" t="s">
        <v>880</v>
      </c>
      <c r="B19" s="135" t="str">
        <f>COVER!T25</f>
        <v>jaceto@ekjllp.com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1297461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1297461</v>
      </c>
      <c r="D92" s="2" t="str">
        <f t="shared" si="0"/>
        <v>Error?</v>
      </c>
      <c r="G92" s="1899">
        <v>102640600</v>
      </c>
    </row>
    <row r="93" spans="1:7" ht="15" x14ac:dyDescent="0.25">
      <c r="A93" s="5">
        <v>32</v>
      </c>
      <c r="B93" s="1832">
        <f>'Assets-Liab 5-6'!C41</f>
        <v>1297461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110879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2676</v>
      </c>
      <c r="C122" s="2" t="s">
        <v>569</v>
      </c>
      <c r="D122" s="2" t="str">
        <f t="shared" si="0"/>
        <v>Error?</v>
      </c>
      <c r="G122" s="1899">
        <v>203000300</v>
      </c>
    </row>
    <row r="123" spans="1:7" ht="15" x14ac:dyDescent="0.25">
      <c r="A123" s="5">
        <v>62</v>
      </c>
      <c r="B123" s="1832">
        <f>'Assets-Liab 5-6'!D39</f>
        <v>108203</v>
      </c>
      <c r="D123" s="2" t="str">
        <f t="shared" si="0"/>
        <v>Error?</v>
      </c>
      <c r="G123" s="1899">
        <v>203000400</v>
      </c>
    </row>
    <row r="124" spans="1:7" ht="15" x14ac:dyDescent="0.25">
      <c r="A124" s="5">
        <v>63</v>
      </c>
      <c r="B124" s="1832">
        <f>'Assets-Liab 5-6'!D41</f>
        <v>110879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99652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99652</v>
      </c>
      <c r="D189" s="2" t="str">
        <f t="shared" si="1"/>
        <v>Error?</v>
      </c>
    </row>
    <row r="190" spans="1:4" x14ac:dyDescent="0.2">
      <c r="A190" s="5">
        <v>129</v>
      </c>
      <c r="B190" s="1832">
        <f>'Assets-Liab 5-6'!G41</f>
        <v>99652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672690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672690</v>
      </c>
      <c r="C279" s="2" t="s">
        <v>569</v>
      </c>
      <c r="D279" s="2" t="str">
        <f t="shared" si="3"/>
        <v>Error?</v>
      </c>
    </row>
    <row r="280" spans="1:4" x14ac:dyDescent="0.2">
      <c r="A280" s="5">
        <v>219</v>
      </c>
      <c r="B280" s="1832">
        <f>'Assets-Liab 5-6'!M40</f>
        <v>672690</v>
      </c>
      <c r="D280" s="2" t="str">
        <f t="shared" si="3"/>
        <v>Error?</v>
      </c>
    </row>
    <row r="281" spans="1:4" x14ac:dyDescent="0.2">
      <c r="A281" s="5">
        <v>220</v>
      </c>
      <c r="B281" s="1832">
        <f>'Assets-Liab 5-6'!M41</f>
        <v>672690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2207125</v>
      </c>
      <c r="C720" s="2" t="s">
        <v>569</v>
      </c>
      <c r="D720" s="2" t="str">
        <f t="shared" si="10"/>
        <v>Error?</v>
      </c>
    </row>
    <row r="721" spans="1:4" x14ac:dyDescent="0.2">
      <c r="A721" s="5">
        <v>660</v>
      </c>
      <c r="B721" s="1832">
        <f>'Expenditures 15-22'!C36</f>
        <v>142216</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1797724</v>
      </c>
      <c r="D723" s="2" t="str">
        <f t="shared" si="10"/>
        <v>Error?</v>
      </c>
    </row>
    <row r="724" spans="1:4" x14ac:dyDescent="0.2">
      <c r="A724" s="5">
        <v>663</v>
      </c>
      <c r="B724" s="1832">
        <f>'Expenditures 15-22'!C39</f>
        <v>500525</v>
      </c>
      <c r="D724" s="2" t="str">
        <f t="shared" si="10"/>
        <v>Error?</v>
      </c>
    </row>
    <row r="725" spans="1:4" x14ac:dyDescent="0.2">
      <c r="A725" s="5">
        <v>664</v>
      </c>
      <c r="B725" s="1832">
        <f>'Expenditures 15-22'!C40</f>
        <v>1030056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3470521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3470521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5677646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461350</v>
      </c>
      <c r="C778" s="2" t="s">
        <v>569</v>
      </c>
      <c r="D778" s="2" t="str">
        <f t="shared" si="11"/>
        <v>Error?</v>
      </c>
    </row>
    <row r="779" spans="1:4" x14ac:dyDescent="0.2">
      <c r="A779" s="5">
        <v>718</v>
      </c>
      <c r="B779" s="1832">
        <f>'Expenditures 15-22'!D36</f>
        <v>241959</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542</v>
      </c>
      <c r="D781" s="2" t="str">
        <f t="shared" si="11"/>
        <v>Error?</v>
      </c>
    </row>
    <row r="782" spans="1:4" x14ac:dyDescent="0.2">
      <c r="A782" s="5">
        <v>721</v>
      </c>
      <c r="B782" s="1832">
        <f>'Expenditures 15-22'!D39</f>
        <v>6675</v>
      </c>
      <c r="D782" s="2" t="str">
        <f t="shared" si="11"/>
        <v>Error?</v>
      </c>
    </row>
    <row r="783" spans="1:4" x14ac:dyDescent="0.2">
      <c r="A783" s="5">
        <v>722</v>
      </c>
      <c r="B783" s="1832">
        <f>'Expenditures 15-22'!D40</f>
        <v>12724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261900</v>
      </c>
      <c r="C785" s="2" t="s">
        <v>569</v>
      </c>
      <c r="D785" s="2" t="str">
        <f t="shared" si="11"/>
        <v>Error?</v>
      </c>
    </row>
    <row r="786" spans="1:4" x14ac:dyDescent="0.2">
      <c r="A786" s="5">
        <v>725</v>
      </c>
      <c r="B786" s="1832">
        <f>'Expenditures 15-22'!D44</f>
        <v>22</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261922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723272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160776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3799</v>
      </c>
      <c r="D842" s="2" t="str">
        <f t="shared" si="12"/>
        <v>Error?</v>
      </c>
    </row>
    <row r="843" spans="1:4" x14ac:dyDescent="0.2">
      <c r="A843" s="5">
        <v>782</v>
      </c>
      <c r="B843" s="1832">
        <f>'Expenditures 15-22'!E42</f>
        <v>3799</v>
      </c>
      <c r="C843" s="2" t="s">
        <v>569</v>
      </c>
      <c r="D843" s="2" t="str">
        <f t="shared" si="12"/>
        <v>Error?</v>
      </c>
    </row>
    <row r="844" spans="1:4" x14ac:dyDescent="0.2">
      <c r="A844" s="5">
        <v>783</v>
      </c>
      <c r="B844" s="1832">
        <f>'Expenditures 15-22'!E44</f>
        <v>107045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14935</v>
      </c>
      <c r="D846" s="2" t="str">
        <f t="shared" si="12"/>
        <v>Error?</v>
      </c>
    </row>
    <row r="847" spans="1:4" x14ac:dyDescent="0.2">
      <c r="A847" s="5">
        <v>786</v>
      </c>
      <c r="B847" s="1832">
        <f>'Expenditures 15-22'!E47</f>
        <v>121980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107967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90000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90000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64202</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64202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387948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548724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177996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7074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7074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6157</v>
      </c>
      <c r="D904" s="2" t="str">
        <f t="shared" si="13"/>
        <v>Error?</v>
      </c>
    </row>
    <row r="905" spans="1:4" x14ac:dyDescent="0.2">
      <c r="A905" s="5">
        <v>844</v>
      </c>
      <c r="B905" s="1832">
        <f>'Expenditures 15-22'!F47</f>
        <v>6157</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13231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191227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140409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140409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49137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273982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323119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3196793</v>
      </c>
      <c r="C1108" s="2" t="s">
        <v>569</v>
      </c>
      <c r="D1108" s="2" t="str">
        <f t="shared" si="16"/>
        <v>Error?</v>
      </c>
    </row>
    <row r="1109" spans="1:4" x14ac:dyDescent="0.2">
      <c r="A1109" s="5">
        <v>1048</v>
      </c>
      <c r="B1109" s="1832">
        <f>'Expenditures 15-22'!K36</f>
        <v>384175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1798266</v>
      </c>
      <c r="C1111" s="2" t="s">
        <v>569</v>
      </c>
      <c r="D1111" s="2" t="str">
        <f t="shared" si="16"/>
        <v>Error?</v>
      </c>
    </row>
    <row r="1112" spans="1:4" x14ac:dyDescent="0.2">
      <c r="A1112" s="5">
        <v>1051</v>
      </c>
      <c r="B1112" s="1832">
        <f>'Expenditures 15-22'!K39</f>
        <v>507200</v>
      </c>
      <c r="C1112" s="2" t="s">
        <v>569</v>
      </c>
      <c r="D1112" s="2" t="str">
        <f t="shared" si="16"/>
        <v>Error?</v>
      </c>
    </row>
    <row r="1113" spans="1:4" x14ac:dyDescent="0.2">
      <c r="A1113" s="5">
        <v>1052</v>
      </c>
      <c r="B1113" s="1832">
        <f>'Expenditures 15-22'!K40</f>
        <v>1049854</v>
      </c>
      <c r="C1113" s="2" t="s">
        <v>569</v>
      </c>
      <c r="D1113" s="2" t="str">
        <f t="shared" si="16"/>
        <v>Error?</v>
      </c>
    </row>
    <row r="1114" spans="1:4" x14ac:dyDescent="0.2">
      <c r="A1114" s="5">
        <v>1053</v>
      </c>
      <c r="B1114" s="1832">
        <f>'Expenditures 15-22'!K41</f>
        <v>3799</v>
      </c>
      <c r="C1114" s="2" t="s">
        <v>569</v>
      </c>
      <c r="D1114" s="2" t="str">
        <f t="shared" si="16"/>
        <v>Error?</v>
      </c>
    </row>
    <row r="1115" spans="1:4" x14ac:dyDescent="0.2">
      <c r="A1115" s="5">
        <v>1054</v>
      </c>
      <c r="B1115" s="1832">
        <f>'Expenditures 15-22'!K42</f>
        <v>3743294</v>
      </c>
      <c r="C1115" s="2" t="s">
        <v>569</v>
      </c>
      <c r="D1115" s="2" t="str">
        <f t="shared" si="16"/>
        <v>Error?</v>
      </c>
    </row>
    <row r="1116" spans="1:4" x14ac:dyDescent="0.2">
      <c r="A1116" s="5">
        <v>1055</v>
      </c>
      <c r="B1116" s="1832">
        <f>'Expenditures 15-22'!K44</f>
        <v>107067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21092</v>
      </c>
      <c r="C1118" s="2" t="s">
        <v>569</v>
      </c>
      <c r="D1118" s="2" t="str">
        <f t="shared" si="16"/>
        <v>Error?</v>
      </c>
    </row>
    <row r="1119" spans="1:4" x14ac:dyDescent="0.2">
      <c r="A1119" s="5">
        <v>1058</v>
      </c>
      <c r="B1119" s="1832">
        <f>'Expenditures 15-22'!K47</f>
        <v>128159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107967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90000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90000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64202</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64202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4133622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273982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7604397</v>
      </c>
      <c r="C1152" s="2" t="s">
        <v>569</v>
      </c>
      <c r="D1152" s="2" t="str">
        <f t="shared" si="17"/>
        <v>Error?</v>
      </c>
    </row>
    <row r="1153" spans="1:4" x14ac:dyDescent="0.2">
      <c r="A1153" s="5">
        <v>1092</v>
      </c>
      <c r="B1153" s="1832">
        <f>'Expenditures 15-22'!K115</f>
        <v>671890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240778</v>
      </c>
      <c r="D1237" s="2" t="str">
        <f t="shared" si="18"/>
        <v>Error?</v>
      </c>
    </row>
    <row r="1238" spans="1:4" x14ac:dyDescent="0.2">
      <c r="A1238" s="10">
        <v>1177</v>
      </c>
      <c r="B1238" s="1832"/>
      <c r="D1238" s="2" t="str">
        <f t="shared" si="18"/>
        <v>OK</v>
      </c>
    </row>
    <row r="1239" spans="1:4" x14ac:dyDescent="0.2">
      <c r="A1239" s="5">
        <v>1178</v>
      </c>
      <c r="B1239" s="1832">
        <f>'Expenditures 15-22'!E127</f>
        <v>240778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240778</v>
      </c>
      <c r="C1241" s="2" t="s">
        <v>569</v>
      </c>
      <c r="D1241" s="2" t="str">
        <f t="shared" si="18"/>
        <v>Error?</v>
      </c>
    </row>
    <row r="1242" spans="1:4" x14ac:dyDescent="0.2">
      <c r="A1242" s="5">
        <v>1181</v>
      </c>
      <c r="B1242" s="1832">
        <f>'Expenditures 15-22'!E151</f>
        <v>240778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4775</v>
      </c>
      <c r="D1245" s="2" t="str">
        <f t="shared" si="18"/>
        <v>Error?</v>
      </c>
    </row>
    <row r="1246" spans="1:4" x14ac:dyDescent="0.2">
      <c r="A1246" s="10">
        <v>1185</v>
      </c>
      <c r="B1246" s="1832"/>
      <c r="D1246" s="2" t="str">
        <f t="shared" si="18"/>
        <v>OK</v>
      </c>
    </row>
    <row r="1247" spans="1:4" x14ac:dyDescent="0.2">
      <c r="A1247" s="5">
        <v>1186</v>
      </c>
      <c r="B1247" s="1832">
        <f>'Expenditures 15-22'!F127</f>
        <v>4775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4775</v>
      </c>
      <c r="C1249" s="2" t="s">
        <v>569</v>
      </c>
      <c r="D1249" s="2" t="str">
        <f t="shared" si="18"/>
        <v>Error?</v>
      </c>
    </row>
    <row r="1250" spans="1:4" x14ac:dyDescent="0.2">
      <c r="A1250" s="5">
        <v>1189</v>
      </c>
      <c r="B1250" s="1832">
        <f>'Expenditures 15-22'!F151</f>
        <v>4775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161855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161855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161855</v>
      </c>
      <c r="C1258" s="2" t="s">
        <v>569</v>
      </c>
      <c r="D1258" s="2" t="str">
        <f t="shared" si="18"/>
        <v>Error?</v>
      </c>
    </row>
    <row r="1259" spans="1:4" x14ac:dyDescent="0.2">
      <c r="A1259" s="5">
        <v>1198</v>
      </c>
      <c r="B1259" s="1832">
        <f>'Expenditures 15-22'!G151</f>
        <v>161855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407408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407408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407408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407408</v>
      </c>
      <c r="C1288" s="2" t="s">
        <v>569</v>
      </c>
      <c r="D1288" s="2" t="str">
        <f t="shared" si="19"/>
        <v>Error?</v>
      </c>
    </row>
    <row r="1289" spans="1:4" x14ac:dyDescent="0.2">
      <c r="A1289" s="5">
        <v>1228</v>
      </c>
      <c r="B1289" s="1832">
        <f>'Expenditures 15-22'!K152</f>
        <v>-93975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238072</v>
      </c>
      <c r="C1410" s="2" t="s">
        <v>569</v>
      </c>
      <c r="D1410" s="2" t="str">
        <f t="shared" si="21"/>
        <v>Error?</v>
      </c>
    </row>
    <row r="1411" spans="1:4" x14ac:dyDescent="0.2">
      <c r="A1411" s="5">
        <v>1350</v>
      </c>
      <c r="B1411" s="1832">
        <f>'Expenditures 15-22'!D232</f>
        <v>16861</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237178</v>
      </c>
      <c r="D1413" s="2" t="str">
        <f t="shared" si="21"/>
        <v>Error?</v>
      </c>
    </row>
    <row r="1414" spans="1:4" x14ac:dyDescent="0.2">
      <c r="A1414" s="5">
        <v>1353</v>
      </c>
      <c r="B1414" s="1832">
        <f>'Expenditures 15-22'!D235</f>
        <v>6433</v>
      </c>
      <c r="D1414" s="2" t="str">
        <f t="shared" si="21"/>
        <v>Error?</v>
      </c>
    </row>
    <row r="1415" spans="1:4" x14ac:dyDescent="0.2">
      <c r="A1415" s="5">
        <v>1354</v>
      </c>
      <c r="B1415" s="1832">
        <f>'Expenditures 15-22'!D236</f>
        <v>29676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290148</v>
      </c>
      <c r="C1417" s="2" t="s">
        <v>569</v>
      </c>
      <c r="D1417" s="2" t="str">
        <f t="shared" si="21"/>
        <v>Error?</v>
      </c>
    </row>
    <row r="1418" spans="1:4" x14ac:dyDescent="0.2">
      <c r="A1418" s="5">
        <v>1357</v>
      </c>
      <c r="B1418" s="1832">
        <f>'Expenditures 15-22'!D240</f>
        <v>146</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146</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290294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528366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238072</v>
      </c>
      <c r="C1474" s="2" t="s">
        <v>569</v>
      </c>
      <c r="D1474" s="2" t="str">
        <f t="shared" si="22"/>
        <v>Error?</v>
      </c>
    </row>
    <row r="1475" spans="1:4" x14ac:dyDescent="0.2">
      <c r="A1475" s="5">
        <v>1414</v>
      </c>
      <c r="B1475" s="1832">
        <f>'Expenditures 15-22'!K232</f>
        <v>16861</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237178</v>
      </c>
      <c r="C1477" s="2" t="s">
        <v>569</v>
      </c>
      <c r="D1477" s="2" t="str">
        <f t="shared" si="22"/>
        <v>Error?</v>
      </c>
    </row>
    <row r="1478" spans="1:4" x14ac:dyDescent="0.2">
      <c r="A1478" s="5">
        <v>1417</v>
      </c>
      <c r="B1478" s="1832">
        <f>'Expenditures 15-22'!K235</f>
        <v>6433</v>
      </c>
      <c r="C1478" s="2" t="s">
        <v>569</v>
      </c>
      <c r="D1478" s="2" t="str">
        <f t="shared" si="22"/>
        <v>Error?</v>
      </c>
    </row>
    <row r="1479" spans="1:4" x14ac:dyDescent="0.2">
      <c r="A1479" s="5">
        <v>1418</v>
      </c>
      <c r="B1479" s="1832">
        <f>'Expenditures 15-22'!K236</f>
        <v>29676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290148</v>
      </c>
      <c r="C1481" s="2" t="s">
        <v>569</v>
      </c>
      <c r="D1481" s="2" t="str">
        <f t="shared" si="22"/>
        <v>Error?</v>
      </c>
    </row>
    <row r="1482" spans="1:4" x14ac:dyDescent="0.2">
      <c r="A1482" s="5">
        <v>1421</v>
      </c>
      <c r="B1482" s="1832">
        <f>'Expenditures 15-22'!K240</f>
        <v>146</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146</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290294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528366</v>
      </c>
      <c r="C1517" s="2" t="s">
        <v>569</v>
      </c>
      <c r="D1517" s="2" t="str">
        <f t="shared" si="22"/>
        <v>Error?</v>
      </c>
    </row>
    <row r="1518" spans="1:4" x14ac:dyDescent="0.2">
      <c r="A1518" s="5">
        <v>1457</v>
      </c>
      <c r="B1518" s="1832">
        <f>'Expenditures 15-22'!K296</f>
        <v>-128366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625571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1297461</v>
      </c>
      <c r="C1630" s="2" t="s">
        <v>569</v>
      </c>
      <c r="D1630" s="2" t="str">
        <f t="shared" si="24"/>
        <v>Error?</v>
      </c>
    </row>
    <row r="1631" spans="1:4" x14ac:dyDescent="0.2">
      <c r="A1631" s="5">
        <v>1570</v>
      </c>
      <c r="B1631" s="1832">
        <f>'Acct Summary 7-8'!D79</f>
        <v>202178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108203</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228018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99652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370426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370426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302264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302264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672690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672690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100878</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100878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67269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67269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168147</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168147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504543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504543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273982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273982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7766635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95911</v>
      </c>
      <c r="C2553" s="2" t="s">
        <v>569</v>
      </c>
      <c r="D2553" s="2" t="str">
        <f t="shared" si="38"/>
        <v>Error?</v>
      </c>
    </row>
    <row r="2554" spans="1:4" x14ac:dyDescent="0.2">
      <c r="A2554" s="5">
        <v>2493</v>
      </c>
      <c r="B2554" s="1832">
        <f>'Acct Summary 7-8'!C7</f>
        <v>413741</v>
      </c>
      <c r="C2554" s="2" t="s">
        <v>569</v>
      </c>
      <c r="D2554" s="2" t="str">
        <f t="shared" si="38"/>
        <v>Error?</v>
      </c>
    </row>
    <row r="2555" spans="1:4" x14ac:dyDescent="0.2">
      <c r="A2555" s="5">
        <v>2494</v>
      </c>
      <c r="B2555" s="1832">
        <f>'Acct Summary 7-8'!C8</f>
        <v>8276287</v>
      </c>
      <c r="C2555" s="2" t="s">
        <v>569</v>
      </c>
      <c r="D2555" s="2" t="str">
        <f t="shared" si="38"/>
        <v>Error?</v>
      </c>
    </row>
    <row r="2556" spans="1:4" x14ac:dyDescent="0.2">
      <c r="A2556" s="5">
        <v>2495</v>
      </c>
      <c r="B2556" s="1832">
        <f>'Acct Summary 7-8'!C12</f>
        <v>3196793</v>
      </c>
      <c r="C2556" s="2" t="s">
        <v>569</v>
      </c>
      <c r="D2556" s="2" t="str">
        <f t="shared" si="38"/>
        <v>Error?</v>
      </c>
    </row>
    <row r="2557" spans="1:4" x14ac:dyDescent="0.2">
      <c r="A2557" s="5">
        <v>2496</v>
      </c>
      <c r="B2557" s="1832">
        <f>'Acct Summary 7-8'!C13</f>
        <v>4133622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273982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7604397</v>
      </c>
      <c r="C2561" s="2" t="s">
        <v>569</v>
      </c>
      <c r="D2561" s="2" t="str">
        <f t="shared" si="39"/>
        <v>Error?</v>
      </c>
    </row>
    <row r="2562" spans="1:4" x14ac:dyDescent="0.2">
      <c r="A2562" s="5">
        <v>2501</v>
      </c>
      <c r="B2562" s="1832">
        <f>'Acct Summary 7-8'!C20</f>
        <v>671890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313433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313433</v>
      </c>
      <c r="C2568" s="2" t="s">
        <v>569</v>
      </c>
      <c r="D2568" s="2" t="str">
        <f t="shared" si="39"/>
        <v>Error?</v>
      </c>
    </row>
    <row r="2569" spans="1:4" x14ac:dyDescent="0.2">
      <c r="A2569" s="5">
        <v>2508</v>
      </c>
      <c r="B2569" s="1832">
        <f>'Acct Summary 7-8'!D13</f>
        <v>407408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407408</v>
      </c>
      <c r="C2573" s="2" t="s">
        <v>569</v>
      </c>
      <c r="D2573" s="2" t="str">
        <f t="shared" si="39"/>
        <v>Error?</v>
      </c>
    </row>
    <row r="2574" spans="1:4" x14ac:dyDescent="0.2">
      <c r="A2574" s="5">
        <v>2513</v>
      </c>
      <c r="B2574" s="1832">
        <f>'Acct Summary 7-8'!D20</f>
        <v>-93975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400000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400000</v>
      </c>
      <c r="C2606" s="2" t="s">
        <v>569</v>
      </c>
      <c r="D2606" s="2" t="str">
        <f t="shared" si="39"/>
        <v>Error?</v>
      </c>
    </row>
    <row r="2607" spans="1:4" x14ac:dyDescent="0.2">
      <c r="A2607" s="5">
        <v>2546</v>
      </c>
      <c r="B2607" s="1832">
        <f>'Acct Summary 7-8'!G12</f>
        <v>238072</v>
      </c>
      <c r="C2607" s="2" t="s">
        <v>569</v>
      </c>
      <c r="D2607" s="2" t="str">
        <f t="shared" si="39"/>
        <v>Error?</v>
      </c>
    </row>
    <row r="2608" spans="1:4" x14ac:dyDescent="0.2">
      <c r="A2608" s="5">
        <v>2547</v>
      </c>
      <c r="B2608" s="1832">
        <f>'Acct Summary 7-8'!G13</f>
        <v>290294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528366</v>
      </c>
      <c r="C2612" s="2" t="s">
        <v>569</v>
      </c>
      <c r="D2612" s="2" t="str">
        <f t="shared" si="39"/>
        <v>Error?</v>
      </c>
    </row>
    <row r="2613" spans="1:4" x14ac:dyDescent="0.2">
      <c r="A2613" s="5">
        <v>2552</v>
      </c>
      <c r="B2613" s="1832">
        <f>'Acct Summary 7-8'!G20</f>
        <v>-128366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273982</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273982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671890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-93975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-128366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2207125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461350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160776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177996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140409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49137</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3196793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238072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238072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1294785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110879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99652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1724279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10000566</v>
      </c>
      <c r="C4122" s="2" t="s">
        <v>569</v>
      </c>
      <c r="D4122" s="2" t="str">
        <f t="shared" si="63"/>
        <v>Error?</v>
      </c>
    </row>
    <row r="4123" spans="1:4" x14ac:dyDescent="0.2">
      <c r="A4123" s="5">
        <v>4062</v>
      </c>
      <c r="B4123" s="1832">
        <f>'Acct Summary 7-8'!D10</f>
        <v>313433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400000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1724279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9328676</v>
      </c>
      <c r="C4136" s="2" t="s">
        <v>569</v>
      </c>
      <c r="D4136" s="2" t="str">
        <f t="shared" si="63"/>
        <v>Error?</v>
      </c>
    </row>
    <row r="4137" spans="1:4" x14ac:dyDescent="0.2">
      <c r="A4137" s="5">
        <v>4076</v>
      </c>
      <c r="B4137" s="1832">
        <f>'Acct Summary 7-8'!D19</f>
        <v>407408</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528366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1405664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12961</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19546</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1259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7226550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540085</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7766635</v>
      </c>
      <c r="C5120" s="2" t="s">
        <v>569</v>
      </c>
      <c r="D5120" s="2" t="str">
        <f t="shared" si="79"/>
        <v>Error?</v>
      </c>
    </row>
    <row r="5121" spans="1:4" x14ac:dyDescent="0.2">
      <c r="A5121" s="5">
        <v>5060</v>
      </c>
      <c r="B5121" s="1832">
        <f>'Revenues 9-14'!C109</f>
        <v>7766635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95911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95911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95911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23762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388720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412482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413741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413741</v>
      </c>
      <c r="C5326" s="2" t="s">
        <v>569</v>
      </c>
      <c r="D5326" s="2" t="str">
        <f t="shared" si="82"/>
        <v>Error?</v>
      </c>
    </row>
    <row r="5327" spans="1:5" x14ac:dyDescent="0.2">
      <c r="A5327" s="5">
        <v>5266</v>
      </c>
      <c r="B5327" s="1832">
        <f>'Revenues 9-14'!C268</f>
        <v>8276287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313433</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313433</v>
      </c>
      <c r="C5355" s="2" t="s">
        <v>569</v>
      </c>
      <c r="D5355" s="2" t="str">
        <f t="shared" si="82"/>
        <v>Error?</v>
      </c>
    </row>
    <row r="5356" spans="1:4" x14ac:dyDescent="0.2">
      <c r="A5356" s="5">
        <v>5295</v>
      </c>
      <c r="B5356" s="1832">
        <f>'Revenues 9-14'!D109</f>
        <v>313433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313433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400000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400000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400000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2676</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2676</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671890</v>
      </c>
      <c r="D6267" s="2" t="str">
        <f t="shared" si="96"/>
        <v>Error?</v>
      </c>
      <c r="E6267" s="2" t="s">
        <v>189</v>
      </c>
    </row>
    <row r="6268" spans="1:5" x14ac:dyDescent="0.2">
      <c r="A6268">
        <v>6207</v>
      </c>
      <c r="B6268" s="1832">
        <f>'Acct Summary 7-8'!D82</f>
        <v>-93975</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-128366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0.51784986215385276</v>
      </c>
      <c r="D6276" s="2" t="str">
        <f t="shared" si="97"/>
        <v>Error?</v>
      </c>
      <c r="E6276" s="2" t="s">
        <v>189</v>
      </c>
    </row>
    <row r="6277" spans="1:5" x14ac:dyDescent="0.2">
      <c r="A6277">
        <v>6216</v>
      </c>
      <c r="B6277" s="1832">
        <f>'Acct Summary 7-8'!D83</f>
        <v>-0.86850641849116939</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f>'Acct Summary 7-8'!G83</f>
        <v>-1.2881427367237988</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400000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107967</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107967</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67269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-224477</v>
      </c>
      <c r="D7820" s="2" t="str">
        <f t="shared" si="128"/>
        <v>Error?</v>
      </c>
    </row>
    <row r="7821" spans="1:5" x14ac:dyDescent="0.2">
      <c r="A7821">
        <v>7760</v>
      </c>
      <c r="B7821" s="1832">
        <f>'ICR Computation 30'!G40</f>
        <v>-224477</v>
      </c>
      <c r="D7821" s="2" t="str">
        <f t="shared" si="128"/>
        <v>Error?</v>
      </c>
    </row>
    <row r="7822" spans="1:5" x14ac:dyDescent="0.2">
      <c r="A7822" s="1">
        <v>7761</v>
      </c>
      <c r="B7822" s="1832">
        <f>'PCTC-OEPP 27-28'!F14</f>
        <v>8540171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576246</v>
      </c>
      <c r="D7834" s="2" t="str">
        <f t="shared" si="129"/>
        <v>Error?</v>
      </c>
      <c r="E7834" s="4" t="s">
        <v>1998</v>
      </c>
    </row>
    <row r="7835" spans="1:5" x14ac:dyDescent="0.2">
      <c r="A7835">
        <v>7774</v>
      </c>
      <c r="B7835" s="1832">
        <f>'PCTC-OEPP 27-28'!F78</f>
        <v>7963925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540085</v>
      </c>
      <c r="D7840" s="2" t="str">
        <f t="shared" si="129"/>
        <v>Error?</v>
      </c>
      <c r="E7840" s="4" t="s">
        <v>1998</v>
      </c>
    </row>
    <row r="7841" spans="1:5" x14ac:dyDescent="0.2">
      <c r="A7841">
        <v>7780</v>
      </c>
      <c r="B7841" s="1832">
        <f>'PCTC-OEPP 27-28'!F104</f>
        <v>7939983</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388720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1259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8870047</v>
      </c>
      <c r="D7877" s="2" t="str">
        <f t="shared" si="129"/>
        <v>Error?</v>
      </c>
      <c r="E7877" s="4" t="s">
        <v>1998</v>
      </c>
    </row>
    <row r="7878" spans="1:5" x14ac:dyDescent="0.2">
      <c r="A7878">
        <v>7817</v>
      </c>
      <c r="B7878" s="1832">
        <f>'PCTC-OEPP 27-28'!F176</f>
        <v>-906122</v>
      </c>
      <c r="D7878" s="2" t="str">
        <f t="shared" si="129"/>
        <v>Error?</v>
      </c>
      <c r="E7878" s="4" t="s">
        <v>1998</v>
      </c>
    </row>
    <row r="7879" spans="1:5" x14ac:dyDescent="0.2">
      <c r="A7879">
        <v>7818</v>
      </c>
      <c r="B7879" s="1832">
        <f>'PCTC-OEPP 27-28'!F178</f>
        <v>-838853</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Exceptional Learners</v>
      </c>
      <c r="B7" s="2536"/>
      <c r="C7" s="2536"/>
      <c r="D7" s="2537"/>
      <c r="E7" s="2538">
        <f>COVER!A13</f>
        <v>34049801060</v>
      </c>
      <c r="F7" s="2539"/>
      <c r="G7" s="2545" t="str">
        <f>COVER!T23</f>
        <v>066-003289</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Evoy, Kamschulte, Jacobs &amp; Co. LLP</v>
      </c>
      <c r="H9" s="2551"/>
      <c r="I9" s="2551"/>
      <c r="J9" s="2551"/>
      <c r="K9" s="2551"/>
      <c r="L9" s="2552"/>
    </row>
    <row r="10" spans="1:29" ht="13.5" customHeight="1" x14ac:dyDescent="0.2">
      <c r="A10" s="2524" t="str">
        <f>COVER!A38</f>
        <v>Megan Clarke</v>
      </c>
      <c r="B10" s="2525"/>
      <c r="C10" s="2525"/>
      <c r="D10" s="2525"/>
      <c r="E10" s="2525"/>
      <c r="F10" s="2526"/>
      <c r="G10" s="2518" t="str">
        <f>COVER!T17</f>
        <v>2122 Yeoman Street</v>
      </c>
      <c r="H10" s="2519"/>
      <c r="I10" s="2519"/>
      <c r="J10" s="2519"/>
      <c r="K10" s="2519"/>
      <c r="L10" s="2520"/>
    </row>
    <row r="11" spans="1:29" ht="13.5" customHeight="1" x14ac:dyDescent="0.2">
      <c r="A11" s="963" t="s">
        <v>1502</v>
      </c>
      <c r="B11" s="964"/>
      <c r="C11" s="965"/>
      <c r="D11" s="970"/>
      <c r="E11" s="965"/>
      <c r="F11" s="969"/>
      <c r="G11" s="2518" t="str">
        <f>COVER!T19</f>
        <v>Waukegan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jaceto@ekjllp.com</v>
      </c>
      <c r="J13" s="2531"/>
      <c r="K13" s="2531"/>
      <c r="L13" s="2532"/>
    </row>
    <row r="14" spans="1:29" ht="13.5" customHeight="1" x14ac:dyDescent="0.2">
      <c r="A14" s="2518" t="str">
        <f>COVER!A19</f>
        <v>990 Corporate Woods Parkway</v>
      </c>
      <c r="B14" s="2519"/>
      <c r="C14" s="2519"/>
      <c r="D14" s="2519"/>
      <c r="E14" s="2519"/>
      <c r="F14" s="2520"/>
      <c r="G14" s="974" t="s">
        <v>1175</v>
      </c>
      <c r="H14" s="972"/>
      <c r="I14" s="972"/>
      <c r="J14" s="972"/>
      <c r="K14" s="972"/>
      <c r="L14" s="973"/>
    </row>
    <row r="15" spans="1:29" ht="13.5" customHeight="1" x14ac:dyDescent="0.2">
      <c r="A15" s="2518" t="str">
        <f>COVER!A21</f>
        <v>Vernon Hills</v>
      </c>
      <c r="B15" s="2519"/>
      <c r="C15" s="2519"/>
      <c r="D15" s="2519"/>
      <c r="E15" s="2519"/>
      <c r="F15" s="2520"/>
      <c r="G15" s="2515" t="str">
        <f>COVER!T15</f>
        <v>John D. Aceto, Jr., CPA</v>
      </c>
      <c r="H15" s="2516"/>
      <c r="I15" s="2516"/>
      <c r="J15" s="2516"/>
      <c r="K15" s="2516"/>
      <c r="L15" s="2517"/>
    </row>
    <row r="16" spans="1:29" ht="12.2" customHeight="1" x14ac:dyDescent="0.2">
      <c r="A16" s="2541">
        <f>COVER!A25</f>
        <v>60061</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847-662-8300</v>
      </c>
      <c r="H18" s="2536"/>
      <c r="I18" s="2536"/>
      <c r="J18" s="2536"/>
      <c r="K18" s="2535" t="str">
        <f>COVER!X21</f>
        <v>847-662-8305</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Exceptional Learners</v>
      </c>
      <c r="B1" s="2558"/>
      <c r="C1" s="2558"/>
      <c r="D1" s="2558"/>
    </row>
    <row r="2" spans="1:11" s="991" customFormat="1" ht="12.75" x14ac:dyDescent="0.2">
      <c r="A2" s="2559">
        <f>'Single Audit Cover'!E7</f>
        <v>34049801060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Exceptional Learners</v>
      </c>
      <c r="B1" s="2562"/>
      <c r="C1" s="2562"/>
      <c r="D1" s="2562"/>
      <c r="E1" s="2562"/>
    </row>
    <row r="2" spans="1:5" x14ac:dyDescent="0.2">
      <c r="A2" s="2563">
        <f>'Single Audit Cover'!E7</f>
        <v>34049801060</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413741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-1259</v>
      </c>
    </row>
    <row r="19" spans="1:4" ht="13.5" thickBot="1" x14ac:dyDescent="0.25">
      <c r="A19" s="1041" t="s">
        <v>1224</v>
      </c>
      <c r="D19" s="1042">
        <f>SUM(D10:D17)</f>
        <v>412482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412482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412482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Exceptional Learners</v>
      </c>
      <c r="C1" s="2566"/>
      <c r="D1" s="2566"/>
      <c r="E1" s="2566"/>
      <c r="F1" s="2566"/>
      <c r="G1" s="2566"/>
      <c r="H1" s="2566"/>
      <c r="I1" s="2566"/>
      <c r="J1" s="2566"/>
      <c r="K1" s="2566"/>
      <c r="L1" s="2566"/>
      <c r="M1" s="2566"/>
    </row>
    <row r="2" spans="2:14" ht="15" x14ac:dyDescent="0.2">
      <c r="B2" s="2567">
        <f>'Single Audit Cover'!E7</f>
        <v>34049801060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Exceptional Learners</v>
      </c>
      <c r="B1" s="2579"/>
      <c r="C1" s="2579"/>
      <c r="D1" s="2579"/>
      <c r="E1" s="2579"/>
      <c r="F1" s="2579"/>
    </row>
    <row r="2" spans="1:7" ht="13.5" customHeight="1" x14ac:dyDescent="0.2">
      <c r="A2" s="2567">
        <f>'Single Audit Cover'!E7</f>
        <v>34049801060</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Exceptional Learners</v>
      </c>
      <c r="C1" s="2594"/>
      <c r="D1" s="2594"/>
      <c r="E1" s="2594"/>
      <c r="F1" s="2594"/>
      <c r="G1" s="2594"/>
      <c r="H1" s="2594"/>
      <c r="I1" s="2594"/>
      <c r="J1" s="1178"/>
    </row>
    <row r="2" spans="2:10" s="295" customFormat="1" ht="12.75" customHeight="1" x14ac:dyDescent="0.2">
      <c r="B2" s="2595">
        <f>'Single Audit Cover'!E7</f>
        <v>34049801060</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Exceptional Learners</v>
      </c>
      <c r="C1" s="2593"/>
      <c r="D1" s="2593"/>
      <c r="E1" s="2593"/>
      <c r="F1" s="2593"/>
      <c r="G1" s="2593"/>
      <c r="H1" s="2593"/>
      <c r="I1" s="2593"/>
      <c r="J1" s="2593"/>
      <c r="K1" s="2593"/>
      <c r="L1" s="1144"/>
      <c r="M1" s="1144"/>
    </row>
    <row r="2" spans="1:13" ht="12" customHeight="1" x14ac:dyDescent="0.2">
      <c r="B2" s="2595">
        <f>'Single Audit Cover'!E7</f>
        <v>34049801060</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Exceptional Learners</v>
      </c>
      <c r="C1" s="2616"/>
      <c r="D1" s="2616"/>
      <c r="E1" s="2616"/>
      <c r="F1" s="2616"/>
      <c r="G1" s="2616"/>
      <c r="H1" s="2616"/>
      <c r="I1" s="2616"/>
      <c r="J1" s="2616"/>
      <c r="K1" s="2616"/>
      <c r="L1" s="1221"/>
    </row>
    <row r="2" spans="1:12" ht="12.75" customHeight="1" x14ac:dyDescent="0.2">
      <c r="B2" s="2617">
        <f>'Single Audit Cover'!E7</f>
        <v>34049801060</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Exceptional Learners</v>
      </c>
      <c r="C1" s="2593"/>
      <c r="D1" s="2593"/>
      <c r="E1" s="1240"/>
    </row>
    <row r="2" spans="2:5" s="1058" customFormat="1" ht="12.75" customHeight="1" x14ac:dyDescent="0.2">
      <c r="B2" s="2595">
        <f>'Single Audit Cover'!E7</f>
        <v>34049801060</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8589720</v>
      </c>
      <c r="E16" s="1547"/>
      <c r="F16" s="1546">
        <f>SUM('Acct Summary 7-8'!C17,'Acct Summary 7-8'!D17,'Acct Summary 7-8'!F17)</f>
        <v>8011805</v>
      </c>
      <c r="G16" s="1547"/>
      <c r="H16" s="1546">
        <f>SUM(D16-F16)</f>
        <v>577915</v>
      </c>
      <c r="I16" s="1548"/>
      <c r="J16" s="1546">
        <f>SUM('Acct Summary 7-8'!C81,'Acct Summary 7-8'!D81,'Acct Summary 7-8'!F81,'Acct Summary 7-8'!I81)</f>
        <v>1405664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Exceptional Learners</v>
      </c>
      <c r="E7" s="368"/>
      <c r="G7" s="247"/>
      <c r="H7" s="364"/>
      <c r="I7" s="364"/>
      <c r="J7" s="364"/>
      <c r="K7" s="364"/>
      <c r="L7" s="307"/>
      <c r="M7" s="307"/>
      <c r="N7" s="307"/>
      <c r="O7" s="307"/>
      <c r="P7" s="307"/>
    </row>
    <row r="8" spans="1:18" ht="12.75" x14ac:dyDescent="0.2">
      <c r="A8" s="307"/>
      <c r="B8" s="307"/>
      <c r="C8" s="366" t="s">
        <v>1115</v>
      </c>
      <c r="D8" s="369">
        <f>COVER!A13</f>
        <v>34049801060</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1405664</v>
      </c>
      <c r="I12" s="380"/>
      <c r="J12" s="380"/>
      <c r="K12" s="1559">
        <f>TRUNC((H12/H13*100000),5)/100000</f>
        <v>0.163644915</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8589720</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8011805</v>
      </c>
      <c r="I17" s="380"/>
      <c r="J17" s="389"/>
      <c r="K17" s="1559">
        <f>TRUNC((H17/H18*100000),5)/100000</f>
        <v>0.93272015850000001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8589720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1405664</v>
      </c>
      <c r="I24" s="394"/>
      <c r="J24" s="394"/>
      <c r="K24" s="1555">
        <f>TRUNC(((H24/H25*100000)/100000),2)</f>
        <v>63.16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22255.013889999998</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D40" sqref="D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1294785</v>
      </c>
      <c r="D4" s="1573">
        <v>110879</v>
      </c>
      <c r="E4" s="1573"/>
      <c r="F4" s="1573"/>
      <c r="G4" s="1573">
        <v>99652</v>
      </c>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2676</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1297461</v>
      </c>
      <c r="D13" s="1587">
        <f t="shared" ref="D13:L13" si="0">SUM(D4:D12)</f>
        <v>110879</v>
      </c>
      <c r="E13" s="1587">
        <f t="shared" si="0"/>
        <v>0</v>
      </c>
      <c r="F13" s="1587">
        <f t="shared" si="0"/>
        <v>0</v>
      </c>
      <c r="G13" s="1587">
        <f t="shared" si="0"/>
        <v>99652</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672690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672690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v>2676</v>
      </c>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2676</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1297461</v>
      </c>
      <c r="D39" s="1573">
        <v>108203</v>
      </c>
      <c r="E39" s="1573"/>
      <c r="F39" s="1573"/>
      <c r="G39" s="1573">
        <v>99652</v>
      </c>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672690</v>
      </c>
      <c r="N40" s="1604"/>
    </row>
    <row r="41" spans="1:14" ht="13.5" customHeight="1" thickBot="1" x14ac:dyDescent="0.25">
      <c r="A41" s="1426" t="s">
        <v>650</v>
      </c>
      <c r="B41" s="1405"/>
      <c r="C41" s="1594">
        <f>(SUM(C34,C37,C38,C39))</f>
        <v>1297461</v>
      </c>
      <c r="D41" s="1594">
        <f t="shared" ref="D41:L41" si="2">SUM(D34,D37,D38:D39)</f>
        <v>110879</v>
      </c>
      <c r="E41" s="1594">
        <f t="shared" si="2"/>
        <v>0</v>
      </c>
      <c r="F41" s="1594">
        <f t="shared" si="2"/>
        <v>0</v>
      </c>
      <c r="G41" s="1594">
        <f t="shared" si="2"/>
        <v>99652</v>
      </c>
      <c r="H41" s="1594">
        <f t="shared" si="2"/>
        <v>0</v>
      </c>
      <c r="I41" s="1594">
        <f t="shared" si="2"/>
        <v>0</v>
      </c>
      <c r="J41" s="1594">
        <f t="shared" si="2"/>
        <v>0</v>
      </c>
      <c r="K41" s="1594">
        <f t="shared" si="2"/>
        <v>0</v>
      </c>
      <c r="L41" s="1594">
        <f t="shared" si="2"/>
        <v>0</v>
      </c>
      <c r="M41" s="1594">
        <f>SUM(M40)</f>
        <v>672690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7766635</v>
      </c>
      <c r="D4" s="1606">
        <f>'Revenues 9-14'!D109</f>
        <v>313433</v>
      </c>
      <c r="E4" s="1606">
        <f>'Revenues 9-14'!E109</f>
        <v>0</v>
      </c>
      <c r="F4" s="1606">
        <f>'Revenues 9-14'!F109</f>
        <v>0</v>
      </c>
      <c r="G4" s="1606">
        <f>'Revenues 9-14'!G109</f>
        <v>400000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95911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413741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8276287</v>
      </c>
      <c r="D8" s="1594">
        <f t="shared" ref="D8:K8" si="0">SUM(D4:D7)</f>
        <v>313433</v>
      </c>
      <c r="E8" s="1594">
        <f t="shared" si="0"/>
        <v>0</v>
      </c>
      <c r="F8" s="1594">
        <f t="shared" si="0"/>
        <v>0</v>
      </c>
      <c r="G8" s="1594">
        <f t="shared" si="0"/>
        <v>400000</v>
      </c>
      <c r="H8" s="1594">
        <f t="shared" si="0"/>
        <v>0</v>
      </c>
      <c r="I8" s="1594">
        <f t="shared" si="0"/>
        <v>0</v>
      </c>
      <c r="J8" s="1594">
        <f t="shared" si="0"/>
        <v>0</v>
      </c>
      <c r="K8" s="1594">
        <f t="shared" si="0"/>
        <v>0</v>
      </c>
      <c r="L8" s="325"/>
    </row>
    <row r="9" spans="1:13" ht="15.75" thickTop="1" x14ac:dyDescent="0.2">
      <c r="A9" s="449" t="s">
        <v>1634</v>
      </c>
      <c r="B9" s="450">
        <v>3998</v>
      </c>
      <c r="C9" s="1586">
        <v>1724279</v>
      </c>
      <c r="D9" s="1613"/>
      <c r="E9" s="1586"/>
      <c r="F9" s="1586"/>
      <c r="G9" s="1614"/>
      <c r="H9" s="1586"/>
      <c r="I9" s="1609" t="s">
        <v>1159</v>
      </c>
      <c r="J9" s="1583"/>
      <c r="K9" s="1586"/>
      <c r="L9" s="325"/>
    </row>
    <row r="10" spans="1:13" s="452" customFormat="1" ht="13.5" thickBot="1" x14ac:dyDescent="0.25">
      <c r="A10" s="1426" t="s">
        <v>1163</v>
      </c>
      <c r="B10" s="1407"/>
      <c r="C10" s="1594">
        <f>SUM(C8:C9)</f>
        <v>10000566</v>
      </c>
      <c r="D10" s="1594">
        <f t="shared" ref="D10:K10" si="1">SUM(D8:D9)</f>
        <v>313433</v>
      </c>
      <c r="E10" s="1594">
        <f t="shared" si="1"/>
        <v>0</v>
      </c>
      <c r="F10" s="1594">
        <f t="shared" si="1"/>
        <v>0</v>
      </c>
      <c r="G10" s="1594">
        <f t="shared" si="1"/>
        <v>400000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3196793</v>
      </c>
      <c r="D12" s="1616" t="s">
        <v>1159</v>
      </c>
      <c r="E12" s="1575" t="s">
        <v>1159</v>
      </c>
      <c r="F12" s="1575" t="s">
        <v>1159</v>
      </c>
      <c r="G12" s="1606">
        <f>'Expenditures 15-22'!K229</f>
        <v>238072</v>
      </c>
      <c r="H12" s="1617"/>
      <c r="I12" s="1575" t="s">
        <v>1159</v>
      </c>
      <c r="J12" s="1575" t="s">
        <v>1159</v>
      </c>
      <c r="K12" s="1617" t="s">
        <v>1159</v>
      </c>
      <c r="L12" s="325"/>
    </row>
    <row r="13" spans="1:13" ht="15.75" customHeight="1" x14ac:dyDescent="0.2">
      <c r="A13" s="1314" t="s">
        <v>454</v>
      </c>
      <c r="B13" s="1316">
        <v>2000</v>
      </c>
      <c r="C13" s="1607">
        <f>'Expenditures 15-22'!K74</f>
        <v>4133622</v>
      </c>
      <c r="D13" s="1607">
        <f>'Expenditures 15-22'!K129</f>
        <v>407408</v>
      </c>
      <c r="E13" s="1576" t="s">
        <v>1159</v>
      </c>
      <c r="F13" s="1607">
        <f>'Expenditures 15-22'!K184</f>
        <v>0</v>
      </c>
      <c r="G13" s="1607">
        <f>'Expenditures 15-22'!K279</f>
        <v>290294</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273982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7604397</v>
      </c>
      <c r="D17" s="1594">
        <f t="shared" si="2"/>
        <v>407408</v>
      </c>
      <c r="E17" s="1594">
        <f t="shared" si="2"/>
        <v>0</v>
      </c>
      <c r="F17" s="1594">
        <f t="shared" si="2"/>
        <v>0</v>
      </c>
      <c r="G17" s="1594">
        <f t="shared" si="2"/>
        <v>528366</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1724279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9328676</v>
      </c>
      <c r="D19" s="1594">
        <f t="shared" si="4"/>
        <v>407408</v>
      </c>
      <c r="E19" s="1594">
        <f t="shared" si="4"/>
        <v>0</v>
      </c>
      <c r="F19" s="1594">
        <f t="shared" si="4"/>
        <v>0</v>
      </c>
      <c r="G19" s="1594">
        <f t="shared" si="4"/>
        <v>528366</v>
      </c>
      <c r="H19" s="1594">
        <f t="shared" si="4"/>
        <v>0</v>
      </c>
      <c r="I19" s="1575"/>
      <c r="J19" s="1594">
        <f>SUM(J17:J18)</f>
        <v>0</v>
      </c>
      <c r="K19" s="1594">
        <f>SUM(K17:K18)</f>
        <v>0</v>
      </c>
      <c r="L19" s="325"/>
    </row>
    <row r="20" spans="1:12" ht="16.5" thickTop="1" thickBot="1" x14ac:dyDescent="0.25">
      <c r="A20" s="2231" t="s">
        <v>1636</v>
      </c>
      <c r="B20" s="2232"/>
      <c r="C20" s="1622">
        <f>C8-C17</f>
        <v>671890</v>
      </c>
      <c r="D20" s="1622">
        <f t="shared" ref="D20:K20" si="5">D8-D17</f>
        <v>-93975</v>
      </c>
      <c r="E20" s="1622">
        <f t="shared" si="5"/>
        <v>0</v>
      </c>
      <c r="F20" s="1622">
        <f t="shared" si="5"/>
        <v>0</v>
      </c>
      <c r="G20" s="1622">
        <f t="shared" si="5"/>
        <v>-128366</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671890</v>
      </c>
      <c r="D78" s="1629">
        <f t="shared" si="9"/>
        <v>-93975</v>
      </c>
      <c r="E78" s="1629">
        <f t="shared" si="9"/>
        <v>0</v>
      </c>
      <c r="F78" s="1629">
        <f t="shared" si="9"/>
        <v>0</v>
      </c>
      <c r="G78" s="1629">
        <f t="shared" si="9"/>
        <v>-128366</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625571</v>
      </c>
      <c r="D79" s="1630">
        <v>202178</v>
      </c>
      <c r="E79" s="1630"/>
      <c r="F79" s="1630"/>
      <c r="G79" s="1630">
        <v>228018</v>
      </c>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1297461</v>
      </c>
      <c r="D81" s="1594">
        <f>SUM(D78:D80)</f>
        <v>108203</v>
      </c>
      <c r="E81" s="1594">
        <f t="shared" ref="E81:K81" si="10">SUM(E78:E80)</f>
        <v>0</v>
      </c>
      <c r="F81" s="1594">
        <f t="shared" si="10"/>
        <v>0</v>
      </c>
      <c r="G81" s="1594">
        <f t="shared" si="10"/>
        <v>99652</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671890</v>
      </c>
      <c r="D82" s="461">
        <f t="shared" ref="D82:K82" si="11">(D81-D79)</f>
        <v>-93975</v>
      </c>
      <c r="E82" s="461">
        <f t="shared" si="11"/>
        <v>0</v>
      </c>
      <c r="F82" s="461">
        <f t="shared" si="11"/>
        <v>0</v>
      </c>
      <c r="G82" s="461">
        <f t="shared" si="11"/>
        <v>-128366</v>
      </c>
      <c r="H82" s="461">
        <f t="shared" si="11"/>
        <v>0</v>
      </c>
      <c r="I82" s="461">
        <f t="shared" si="11"/>
        <v>0</v>
      </c>
      <c r="J82" s="461">
        <f t="shared" si="11"/>
        <v>0</v>
      </c>
      <c r="K82" s="461">
        <f t="shared" si="11"/>
        <v>0</v>
      </c>
    </row>
    <row r="83" spans="1:12" ht="14.25" hidden="1" thickTop="1" thickBot="1" x14ac:dyDescent="0.25">
      <c r="A83" s="462" t="s">
        <v>341</v>
      </c>
      <c r="B83" s="428"/>
      <c r="C83" s="463">
        <f>C82/C81</f>
        <v>0.51784986215385276</v>
      </c>
      <c r="D83" s="463">
        <f t="shared" ref="D83:K83" si="12">D82/D81</f>
        <v>-0.86850641849116939</v>
      </c>
      <c r="E83" s="463" t="e">
        <f t="shared" si="12"/>
        <v>#DIV/0!</v>
      </c>
      <c r="F83" s="463" t="e">
        <f t="shared" si="12"/>
        <v>#DIV/0!</v>
      </c>
      <c r="G83" s="463">
        <f t="shared" si="12"/>
        <v>-1.2881427367237988</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7" activePane="bottomLeft" state="frozen"/>
      <selection pane="bottomLeft" activeCell="C98" sqref="C9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540085</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7226550</v>
      </c>
      <c r="D104" s="1573">
        <v>313433</v>
      </c>
      <c r="E104" s="1586"/>
      <c r="F104" s="1574"/>
      <c r="G104" s="1574">
        <v>400000</v>
      </c>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7766635</v>
      </c>
      <c r="D108" s="1633">
        <f t="shared" ref="D108:K108" si="3">SUM(D95:D107)</f>
        <v>313433</v>
      </c>
      <c r="E108" s="1633">
        <f t="shared" si="3"/>
        <v>0</v>
      </c>
      <c r="F108" s="1633">
        <f t="shared" si="3"/>
        <v>0</v>
      </c>
      <c r="G108" s="1633">
        <f t="shared" si="3"/>
        <v>400000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7766635</v>
      </c>
      <c r="D109" s="1641">
        <f t="shared" si="4"/>
        <v>313433</v>
      </c>
      <c r="E109" s="1641">
        <f t="shared" si="4"/>
        <v>0</v>
      </c>
      <c r="F109" s="1641">
        <f t="shared" si="4"/>
        <v>0</v>
      </c>
      <c r="G109" s="1641">
        <f t="shared" si="4"/>
        <v>400000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95911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95911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95911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23762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388720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412482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1259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413741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413741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8276287</v>
      </c>
      <c r="D268" s="1641">
        <f t="shared" si="12"/>
        <v>313433</v>
      </c>
      <c r="E268" s="1641">
        <f t="shared" si="12"/>
        <v>0</v>
      </c>
      <c r="F268" s="1641">
        <f t="shared" si="12"/>
        <v>0</v>
      </c>
      <c r="G268" s="1641">
        <f t="shared" si="12"/>
        <v>400000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0" activePane="bottomLeft" state="frozen"/>
      <selection pane="bottomLeft" activeCell="G124" sqref="G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269953+357420+1156935+422817</f>
        <v>2207125</v>
      </c>
      <c r="D8" s="1573">
        <f>188125+273225</f>
        <v>461350</v>
      </c>
      <c r="E8" s="1573">
        <f>18265+137893+4618</f>
        <v>160776</v>
      </c>
      <c r="F8" s="1573">
        <f>14182+129896+3700+30218</f>
        <v>177996</v>
      </c>
      <c r="G8" s="1573">
        <f>140409</f>
        <v>140409</v>
      </c>
      <c r="H8" s="1573">
        <f>6234+36381+6518+4</f>
        <v>49137</v>
      </c>
      <c r="I8" s="1574"/>
      <c r="J8" s="1574"/>
      <c r="K8" s="1672">
        <f t="shared" si="0"/>
        <v>3196793</v>
      </c>
      <c r="L8" s="1573">
        <v>3081000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2207125</v>
      </c>
      <c r="D33" s="1674">
        <f t="shared" ref="D33:L33" si="1">SUM(D5:D32)</f>
        <v>461350</v>
      </c>
      <c r="E33" s="1674">
        <f t="shared" si="1"/>
        <v>160776</v>
      </c>
      <c r="F33" s="1674">
        <f t="shared" si="1"/>
        <v>177996</v>
      </c>
      <c r="G33" s="1674">
        <f t="shared" si="1"/>
        <v>140409</v>
      </c>
      <c r="H33" s="1674">
        <f t="shared" si="1"/>
        <v>49137</v>
      </c>
      <c r="I33" s="1674">
        <f t="shared" si="1"/>
        <v>0</v>
      </c>
      <c r="J33" s="1674">
        <f t="shared" si="1"/>
        <v>0</v>
      </c>
      <c r="K33" s="1674">
        <f t="shared" si="1"/>
        <v>3196793</v>
      </c>
      <c r="L33" s="1674">
        <f t="shared" si="1"/>
        <v>3081000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f>142216</f>
        <v>142216</v>
      </c>
      <c r="D36" s="1586">
        <f>241959</f>
        <v>241959</v>
      </c>
      <c r="E36" s="1586"/>
      <c r="F36" s="1586"/>
      <c r="G36" s="1586"/>
      <c r="H36" s="1586"/>
      <c r="I36" s="1574"/>
      <c r="J36" s="1574"/>
      <c r="K36" s="1672">
        <f t="shared" ref="K36:K41" si="2">SUM(C36:J36)</f>
        <v>384175</v>
      </c>
      <c r="L36" s="1573">
        <v>75000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f>191979+156420+1449325</f>
        <v>1797724</v>
      </c>
      <c r="D38" s="1573">
        <f>542</f>
        <v>542</v>
      </c>
      <c r="E38" s="1573"/>
      <c r="F38" s="1573"/>
      <c r="G38" s="1573"/>
      <c r="H38" s="1573"/>
      <c r="I38" s="1574"/>
      <c r="J38" s="1574"/>
      <c r="K38" s="1672">
        <f t="shared" si="2"/>
        <v>1798266</v>
      </c>
      <c r="L38" s="1573">
        <v>2212400</v>
      </c>
    </row>
    <row r="39" spans="1:14" x14ac:dyDescent="0.2">
      <c r="A39" s="1274" t="s">
        <v>197</v>
      </c>
      <c r="B39" s="503">
        <v>2140</v>
      </c>
      <c r="C39" s="1573">
        <f>500525</f>
        <v>500525</v>
      </c>
      <c r="D39" s="1573">
        <f>6675</f>
        <v>6675</v>
      </c>
      <c r="E39" s="1573"/>
      <c r="F39" s="1573"/>
      <c r="G39" s="1573"/>
      <c r="H39" s="1573"/>
      <c r="I39" s="1574"/>
      <c r="J39" s="1574"/>
      <c r="K39" s="1672">
        <f t="shared" si="2"/>
        <v>507200</v>
      </c>
      <c r="L39" s="1573">
        <v>654200</v>
      </c>
    </row>
    <row r="40" spans="1:14" x14ac:dyDescent="0.2">
      <c r="A40" s="1274" t="s">
        <v>198</v>
      </c>
      <c r="B40" s="503">
        <v>2150</v>
      </c>
      <c r="C40" s="1573">
        <f>919418+110638</f>
        <v>1030056</v>
      </c>
      <c r="D40" s="1573">
        <f>12724</f>
        <v>12724</v>
      </c>
      <c r="E40" s="1573"/>
      <c r="F40" s="1573">
        <f>7074</f>
        <v>7074</v>
      </c>
      <c r="G40" s="1573"/>
      <c r="H40" s="1573"/>
      <c r="I40" s="1574"/>
      <c r="J40" s="1574"/>
      <c r="K40" s="1672">
        <f t="shared" si="2"/>
        <v>1049854</v>
      </c>
      <c r="L40" s="1573">
        <v>1172000</v>
      </c>
    </row>
    <row r="41" spans="1:14" x14ac:dyDescent="0.2">
      <c r="A41" s="1274" t="s">
        <v>1650</v>
      </c>
      <c r="B41" s="503">
        <v>2190</v>
      </c>
      <c r="C41" s="1573"/>
      <c r="D41" s="1573"/>
      <c r="E41" s="1573">
        <f>3799</f>
        <v>3799</v>
      </c>
      <c r="F41" s="1573"/>
      <c r="G41" s="1573"/>
      <c r="H41" s="1573"/>
      <c r="I41" s="1574"/>
      <c r="J41" s="1574"/>
      <c r="K41" s="1672">
        <f t="shared" si="2"/>
        <v>3799</v>
      </c>
      <c r="L41" s="1573">
        <v>54500</v>
      </c>
    </row>
    <row r="42" spans="1:14" ht="12.75" customHeight="1" thickBot="1" x14ac:dyDescent="0.25">
      <c r="A42" s="1380" t="s">
        <v>556</v>
      </c>
      <c r="B42" s="1381" t="s">
        <v>711</v>
      </c>
      <c r="C42" s="1674">
        <f>SUM(C36:C41)</f>
        <v>3470521</v>
      </c>
      <c r="D42" s="1674">
        <f t="shared" ref="D42:L42" si="3">SUM(D36:D41)</f>
        <v>261900</v>
      </c>
      <c r="E42" s="1674">
        <f t="shared" si="3"/>
        <v>3799</v>
      </c>
      <c r="F42" s="1674">
        <f t="shared" si="3"/>
        <v>7074</v>
      </c>
      <c r="G42" s="1674">
        <f t="shared" si="3"/>
        <v>0</v>
      </c>
      <c r="H42" s="1674">
        <f t="shared" si="3"/>
        <v>0</v>
      </c>
      <c r="I42" s="1674">
        <f t="shared" si="3"/>
        <v>0</v>
      </c>
      <c r="J42" s="1674">
        <f t="shared" si="3"/>
        <v>0</v>
      </c>
      <c r="K42" s="1674">
        <f t="shared" si="3"/>
        <v>3743294</v>
      </c>
      <c r="L42" s="1674">
        <f t="shared" si="3"/>
        <v>4168100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f>22</f>
        <v>22</v>
      </c>
      <c r="E44" s="1586">
        <f>1000+106045</f>
        <v>107045</v>
      </c>
      <c r="F44" s="1586"/>
      <c r="G44" s="1586"/>
      <c r="H44" s="1586"/>
      <c r="I44" s="1574"/>
      <c r="J44" s="1574"/>
      <c r="K44" s="1678">
        <f>SUM(C44:J44)</f>
        <v>107067</v>
      </c>
      <c r="L44" s="1586">
        <v>200000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f>14935</f>
        <v>14935</v>
      </c>
      <c r="F46" s="1573">
        <f>603+5554</f>
        <v>6157</v>
      </c>
      <c r="G46" s="1573"/>
      <c r="H46" s="1573"/>
      <c r="I46" s="1574"/>
      <c r="J46" s="1574"/>
      <c r="K46" s="1678">
        <f>SUM(C46:J46)</f>
        <v>21092</v>
      </c>
      <c r="L46" s="1573">
        <v>18200</v>
      </c>
    </row>
    <row r="47" spans="1:14" ht="12.75" customHeight="1" thickBot="1" x14ac:dyDescent="0.25">
      <c r="A47" s="1380" t="s">
        <v>557</v>
      </c>
      <c r="B47" s="1381" t="s">
        <v>32</v>
      </c>
      <c r="C47" s="1674">
        <f>SUM(C44:C46)</f>
        <v>0</v>
      </c>
      <c r="D47" s="1674">
        <f t="shared" ref="D47:K47" si="4">SUM(D44:D46)</f>
        <v>22</v>
      </c>
      <c r="E47" s="1674">
        <f t="shared" si="4"/>
        <v>121980</v>
      </c>
      <c r="F47" s="1674">
        <f t="shared" si="4"/>
        <v>6157</v>
      </c>
      <c r="G47" s="1674">
        <f t="shared" si="4"/>
        <v>0</v>
      </c>
      <c r="H47" s="1674">
        <f t="shared" si="4"/>
        <v>0</v>
      </c>
      <c r="I47" s="1674">
        <f t="shared" si="4"/>
        <v>0</v>
      </c>
      <c r="J47" s="1674">
        <f t="shared" si="4"/>
        <v>0</v>
      </c>
      <c r="K47" s="1674">
        <f t="shared" si="4"/>
        <v>128159</v>
      </c>
      <c r="L47" s="1674">
        <f>SUM(L44:L46)</f>
        <v>218200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f>4143+15799+2000+41159+39682+5184</f>
        <v>107967</v>
      </c>
      <c r="F52" s="1579"/>
      <c r="G52" s="1579"/>
      <c r="H52" s="1579"/>
      <c r="I52" s="1579"/>
      <c r="J52" s="1579"/>
      <c r="K52" s="1678">
        <f>SUM(C52:J52)</f>
        <v>107967</v>
      </c>
      <c r="L52" s="1579">
        <v>54000</v>
      </c>
    </row>
    <row r="53" spans="1:14" ht="12.75" customHeight="1" thickBot="1" x14ac:dyDescent="0.25">
      <c r="A53" s="1380" t="s">
        <v>712</v>
      </c>
      <c r="B53" s="1381" t="s">
        <v>33</v>
      </c>
      <c r="C53" s="1674">
        <f>SUM(C49:C52)</f>
        <v>0</v>
      </c>
      <c r="D53" s="1674">
        <f t="shared" ref="D53:L53" si="5">SUM(D49:D52)</f>
        <v>0</v>
      </c>
      <c r="E53" s="1674">
        <f t="shared" si="5"/>
        <v>107967</v>
      </c>
      <c r="F53" s="1674">
        <f t="shared" si="5"/>
        <v>0</v>
      </c>
      <c r="G53" s="1674">
        <f t="shared" si="5"/>
        <v>0</v>
      </c>
      <c r="H53" s="1674">
        <f t="shared" si="5"/>
        <v>0</v>
      </c>
      <c r="I53" s="1674">
        <f t="shared" si="5"/>
        <v>0</v>
      </c>
      <c r="J53" s="1674">
        <f t="shared" si="5"/>
        <v>0</v>
      </c>
      <c r="K53" s="1674">
        <f t="shared" si="5"/>
        <v>107967</v>
      </c>
      <c r="L53" s="1674">
        <f t="shared" si="5"/>
        <v>54000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f>90000</f>
        <v>90000</v>
      </c>
      <c r="F60" s="1573"/>
      <c r="G60" s="1573"/>
      <c r="H60" s="1573"/>
      <c r="I60" s="1574"/>
      <c r="J60" s="1574"/>
      <c r="K60" s="1678">
        <f t="shared" si="7"/>
        <v>90000</v>
      </c>
      <c r="L60" s="1573">
        <v>90000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90000</v>
      </c>
      <c r="F65" s="1674">
        <f t="shared" si="8"/>
        <v>0</v>
      </c>
      <c r="G65" s="1674">
        <f t="shared" si="8"/>
        <v>0</v>
      </c>
      <c r="H65" s="1674">
        <f t="shared" si="8"/>
        <v>0</v>
      </c>
      <c r="I65" s="1674">
        <f t="shared" si="8"/>
        <v>0</v>
      </c>
      <c r="J65" s="1674">
        <f t="shared" si="8"/>
        <v>0</v>
      </c>
      <c r="K65" s="1674">
        <f t="shared" si="8"/>
        <v>90000</v>
      </c>
      <c r="L65" s="1674">
        <f t="shared" si="8"/>
        <v>90000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f>8750+55452</f>
        <v>64202</v>
      </c>
      <c r="F68" s="1573"/>
      <c r="G68" s="1573"/>
      <c r="H68" s="1573"/>
      <c r="I68" s="1574"/>
      <c r="J68" s="1574"/>
      <c r="K68" s="1678">
        <f>SUM(C68:J68)</f>
        <v>64202</v>
      </c>
      <c r="L68" s="1573">
        <v>30000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64202</v>
      </c>
      <c r="F72" s="1674">
        <f t="shared" si="9"/>
        <v>0</v>
      </c>
      <c r="G72" s="1674">
        <f t="shared" si="9"/>
        <v>0</v>
      </c>
      <c r="H72" s="1674">
        <f t="shared" si="9"/>
        <v>0</v>
      </c>
      <c r="I72" s="1674">
        <f t="shared" si="9"/>
        <v>0</v>
      </c>
      <c r="J72" s="1674">
        <f t="shared" si="9"/>
        <v>0</v>
      </c>
      <c r="K72" s="1674">
        <f t="shared" si="9"/>
        <v>64202</v>
      </c>
      <c r="L72" s="1674">
        <f>SUM(L67:L71)</f>
        <v>30000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3470521</v>
      </c>
      <c r="D74" s="1681">
        <f t="shared" ref="D74:K74" si="10">SUM(D42,D47,D53,D57,D65,D72,D73)</f>
        <v>261922</v>
      </c>
      <c r="E74" s="1681">
        <f t="shared" si="10"/>
        <v>387948</v>
      </c>
      <c r="F74" s="1681">
        <f t="shared" si="10"/>
        <v>13231</v>
      </c>
      <c r="G74" s="1681">
        <f t="shared" si="10"/>
        <v>0</v>
      </c>
      <c r="H74" s="1681">
        <f t="shared" si="10"/>
        <v>0</v>
      </c>
      <c r="I74" s="1681">
        <f t="shared" si="10"/>
        <v>0</v>
      </c>
      <c r="J74" s="1681">
        <f t="shared" si="10"/>
        <v>0</v>
      </c>
      <c r="K74" s="1681">
        <f t="shared" si="10"/>
        <v>4133622</v>
      </c>
      <c r="L74" s="1681">
        <f>SUM(L42,L47,L53,L57,L65,L72,L73)</f>
        <v>4560300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f>273982</f>
        <v>273982</v>
      </c>
      <c r="I83" s="1582"/>
      <c r="J83" s="1582"/>
      <c r="K83" s="1672">
        <f t="shared" si="11"/>
        <v>273982</v>
      </c>
      <c r="L83" s="1573">
        <v>400000</v>
      </c>
    </row>
    <row r="84" spans="1:12" ht="13.5" thickBot="1" x14ac:dyDescent="0.25">
      <c r="A84" s="1380" t="s">
        <v>1468</v>
      </c>
      <c r="B84" s="1385">
        <v>4100</v>
      </c>
      <c r="C84" s="1673"/>
      <c r="D84" s="1673"/>
      <c r="E84" s="1674">
        <f>SUM(E78:E83)</f>
        <v>0</v>
      </c>
      <c r="F84" s="1673"/>
      <c r="G84" s="1673"/>
      <c r="H84" s="1674">
        <f>SUM(H78:H83)</f>
        <v>273982</v>
      </c>
      <c r="I84" s="1582"/>
      <c r="J84" s="1582"/>
      <c r="K84" s="1674">
        <f>SUM(K78:K83)</f>
        <v>273982</v>
      </c>
      <c r="L84" s="1674">
        <f>SUM(L78:L83)</f>
        <v>400000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273982</v>
      </c>
      <c r="I102" s="1582"/>
      <c r="J102" s="1582"/>
      <c r="K102" s="1681">
        <f>SUM(K84,K92,K100,K101)</f>
        <v>273982</v>
      </c>
      <c r="L102" s="1681">
        <f>SUM(L84,L92,L100,L101)</f>
        <v>400000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5677646</v>
      </c>
      <c r="D114" s="1674">
        <f t="shared" ref="D114:K114" si="13">SUM(D33,D74,D75,D102,D112,D113)</f>
        <v>723272</v>
      </c>
      <c r="E114" s="1674">
        <f t="shared" si="13"/>
        <v>548724</v>
      </c>
      <c r="F114" s="1674">
        <f t="shared" si="13"/>
        <v>191227</v>
      </c>
      <c r="G114" s="1674">
        <f t="shared" si="13"/>
        <v>140409</v>
      </c>
      <c r="H114" s="1674">
        <f>SUM(H33,H74,H75,H102,H112,H113)</f>
        <v>323119</v>
      </c>
      <c r="I114" s="1674">
        <f t="shared" si="13"/>
        <v>0</v>
      </c>
      <c r="J114" s="1674">
        <f t="shared" si="13"/>
        <v>0</v>
      </c>
      <c r="K114" s="1674">
        <f t="shared" si="13"/>
        <v>7604397</v>
      </c>
      <c r="L114" s="1674">
        <f>SUM(L33,L74,L75,L102,L112,L113)</f>
        <v>8041300</v>
      </c>
    </row>
    <row r="115" spans="1:14" ht="13.5" thickTop="1" x14ac:dyDescent="0.2">
      <c r="A115" s="2286" t="s">
        <v>989</v>
      </c>
      <c r="B115" s="2287"/>
      <c r="C115" s="1675"/>
      <c r="D115" s="1675"/>
      <c r="E115" s="1675"/>
      <c r="F115" s="1675"/>
      <c r="G115" s="1675"/>
      <c r="H115" s="1675"/>
      <c r="I115" s="1675"/>
      <c r="J115" s="1675"/>
      <c r="K115" s="1689">
        <f>'Revenues 9-14'!C268-'Expenditures 15-22'!K114</f>
        <v>671890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240778</v>
      </c>
      <c r="F124" s="1573">
        <v>4775</v>
      </c>
      <c r="G124" s="1573">
        <v>161855</v>
      </c>
      <c r="H124" s="1573"/>
      <c r="I124" s="1574"/>
      <c r="J124" s="1574"/>
      <c r="K124" s="1674">
        <f>SUM(C124:J124)</f>
        <v>407408</v>
      </c>
      <c r="L124" s="1573">
        <v>329800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240778</v>
      </c>
      <c r="F127" s="1674">
        <f t="shared" si="14"/>
        <v>4775</v>
      </c>
      <c r="G127" s="1674">
        <f t="shared" si="14"/>
        <v>161855</v>
      </c>
      <c r="H127" s="1674">
        <f t="shared" si="14"/>
        <v>0</v>
      </c>
      <c r="I127" s="1674">
        <f t="shared" si="14"/>
        <v>0</v>
      </c>
      <c r="J127" s="1674">
        <f t="shared" si="14"/>
        <v>0</v>
      </c>
      <c r="K127" s="1674">
        <f t="shared" si="14"/>
        <v>407408</v>
      </c>
      <c r="L127" s="1674">
        <f t="shared" si="14"/>
        <v>329800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240778</v>
      </c>
      <c r="F129" s="1681">
        <f t="shared" si="15"/>
        <v>4775</v>
      </c>
      <c r="G129" s="1681">
        <f t="shared" si="15"/>
        <v>161855</v>
      </c>
      <c r="H129" s="1681">
        <f t="shared" si="15"/>
        <v>0</v>
      </c>
      <c r="I129" s="1681">
        <f t="shared" si="15"/>
        <v>0</v>
      </c>
      <c r="J129" s="1681">
        <f t="shared" si="15"/>
        <v>0</v>
      </c>
      <c r="K129" s="1681">
        <f t="shared" si="15"/>
        <v>407408</v>
      </c>
      <c r="L129" s="1681">
        <f t="shared" si="15"/>
        <v>329800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240778</v>
      </c>
      <c r="F151" s="1674">
        <f t="shared" si="16"/>
        <v>4775</v>
      </c>
      <c r="G151" s="1674">
        <f t="shared" si="16"/>
        <v>161855</v>
      </c>
      <c r="H151" s="1674">
        <f t="shared" si="16"/>
        <v>0</v>
      </c>
      <c r="I151" s="1674">
        <f t="shared" si="16"/>
        <v>0</v>
      </c>
      <c r="J151" s="1674">
        <f t="shared" si="16"/>
        <v>0</v>
      </c>
      <c r="K151" s="1674">
        <f t="shared" si="16"/>
        <v>407408</v>
      </c>
      <c r="L151" s="1674">
        <f>SUM(L129,L130,L139,L149,L150)</f>
        <v>329800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-93975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238072</f>
        <v>238072</v>
      </c>
      <c r="E217" s="1673"/>
      <c r="F217" s="1673"/>
      <c r="G217" s="1673"/>
      <c r="H217" s="1673"/>
      <c r="I217" s="1673"/>
      <c r="J217" s="1673"/>
      <c r="K217" s="1672">
        <f t="shared" si="19"/>
        <v>238072</v>
      </c>
      <c r="L217" s="1573">
        <v>245000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238072</v>
      </c>
      <c r="E229" s="1673"/>
      <c r="F229" s="1673"/>
      <c r="G229" s="1673"/>
      <c r="H229" s="1673"/>
      <c r="I229" s="1673"/>
      <c r="J229" s="1673"/>
      <c r="K229" s="1674">
        <f>SUM(K215:K228)</f>
        <v>238072</v>
      </c>
      <c r="L229" s="1674">
        <f>SUM(L215:L228)</f>
        <v>245000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f>16861</f>
        <v>16861</v>
      </c>
      <c r="E232" s="1673"/>
      <c r="F232" s="1673"/>
      <c r="G232" s="1673"/>
      <c r="H232" s="1673"/>
      <c r="I232" s="1673"/>
      <c r="J232" s="1673"/>
      <c r="K232" s="1672">
        <f t="shared" ref="K232:K237" si="20">D232</f>
        <v>16861</v>
      </c>
      <c r="L232" s="1573">
        <v>1000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237178</v>
      </c>
      <c r="E234" s="1673"/>
      <c r="F234" s="1673"/>
      <c r="G234" s="1673"/>
      <c r="H234" s="1673"/>
      <c r="I234" s="1673"/>
      <c r="J234" s="1673"/>
      <c r="K234" s="1672">
        <f t="shared" si="20"/>
        <v>237178</v>
      </c>
      <c r="L234" s="1573">
        <v>278500</v>
      </c>
    </row>
    <row r="235" spans="1:12" x14ac:dyDescent="0.2">
      <c r="A235" s="1274" t="s">
        <v>197</v>
      </c>
      <c r="B235" s="503">
        <v>2140</v>
      </c>
      <c r="C235" s="1673"/>
      <c r="D235" s="1573">
        <v>6433</v>
      </c>
      <c r="E235" s="1673"/>
      <c r="F235" s="1673"/>
      <c r="G235" s="1673"/>
      <c r="H235" s="1673"/>
      <c r="I235" s="1673"/>
      <c r="J235" s="1673"/>
      <c r="K235" s="1672">
        <f t="shared" si="20"/>
        <v>6433</v>
      </c>
      <c r="L235" s="1573">
        <v>10000</v>
      </c>
    </row>
    <row r="236" spans="1:12" x14ac:dyDescent="0.2">
      <c r="A236" s="1274" t="s">
        <v>198</v>
      </c>
      <c r="B236" s="503">
        <v>2150</v>
      </c>
      <c r="C236" s="1673"/>
      <c r="D236" s="1573">
        <v>29676</v>
      </c>
      <c r="E236" s="1673"/>
      <c r="F236" s="1673"/>
      <c r="G236" s="1673"/>
      <c r="H236" s="1673"/>
      <c r="I236" s="1673"/>
      <c r="J236" s="1673"/>
      <c r="K236" s="1672">
        <f t="shared" si="20"/>
        <v>29676</v>
      </c>
      <c r="L236" s="1573">
        <v>36000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290148</v>
      </c>
      <c r="E238" s="1673"/>
      <c r="F238" s="1673"/>
      <c r="G238" s="1673"/>
      <c r="H238" s="1673"/>
      <c r="I238" s="1673"/>
      <c r="J238" s="1673"/>
      <c r="K238" s="1674">
        <f>SUM(K232:K237)</f>
        <v>290148</v>
      </c>
      <c r="L238" s="1674">
        <f>SUM(L232:L237)</f>
        <v>325500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146</v>
      </c>
      <c r="E240" s="1673"/>
      <c r="F240" s="1673"/>
      <c r="G240" s="1673"/>
      <c r="H240" s="1673"/>
      <c r="I240" s="1673"/>
      <c r="J240" s="1673"/>
      <c r="K240" s="1678">
        <f>D240</f>
        <v>146</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146</v>
      </c>
      <c r="E243" s="1673"/>
      <c r="F243" s="1673"/>
      <c r="G243" s="1673"/>
      <c r="H243" s="1673"/>
      <c r="I243" s="1673"/>
      <c r="J243" s="1673"/>
      <c r="K243" s="1674">
        <f>SUM(K240:K242)</f>
        <v>146</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290294</v>
      </c>
      <c r="E279" s="1673"/>
      <c r="F279" s="1673"/>
      <c r="G279" s="1673"/>
      <c r="H279" s="1673"/>
      <c r="I279" s="1673"/>
      <c r="J279" s="1673"/>
      <c r="K279" s="1681">
        <f>SUM(K238,K243,K257,K261,K270,K277,K278)</f>
        <v>290294</v>
      </c>
      <c r="L279" s="1681">
        <f>SUM(L238,L243,L257,L261,L270,L277,L278)</f>
        <v>325500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528366</v>
      </c>
      <c r="E295" s="1673"/>
      <c r="F295" s="1673"/>
      <c r="G295" s="1673"/>
      <c r="H295" s="1674">
        <f>H293</f>
        <v>0</v>
      </c>
      <c r="I295" s="1673"/>
      <c r="J295" s="1673"/>
      <c r="K295" s="1674">
        <f>SUM(K229,K279,K280,K285,K293,K294)</f>
        <v>528366</v>
      </c>
      <c r="L295" s="1674">
        <f>SUM(L229,L279,L280,L285,L293,L294)</f>
        <v>570500</v>
      </c>
    </row>
    <row r="296" spans="1:14" ht="13.5" thickTop="1" x14ac:dyDescent="0.2">
      <c r="A296" s="2286" t="s">
        <v>989</v>
      </c>
      <c r="B296" s="2287"/>
      <c r="C296" s="1673"/>
      <c r="D296" s="1675"/>
      <c r="E296" s="1673"/>
      <c r="F296" s="1673"/>
      <c r="G296" s="1673"/>
      <c r="H296" s="1707"/>
      <c r="I296" s="1673"/>
      <c r="J296" s="1673"/>
      <c r="K296" s="1689">
        <f>'Revenues 9-14'!G268-'Expenditures 15-22'!K295</f>
        <v>-128366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4d435f69-8686-490b-bd6d-b153bf22ab50"/>
    <ds:schemaRef ds:uri="http://purl.org/dc/elements/1.1/"/>
    <ds:schemaRef ds:uri="http://www.w3.org/XML/1998/namespace"/>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2020-11-13T15:36:03Z</cp:lastPrinted>
  <dcterms:created xsi:type="dcterms:W3CDTF">2003-10-29T19:06:34Z</dcterms:created>
  <dcterms:modified xsi:type="dcterms:W3CDTF">2021-01-07T22:03:23Z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