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B8CFE63E-A4FD-4F36-86EF-7246CD643C40}" xr6:coauthVersionLast="36" xr6:coauthVersionMax="36" xr10:uidLastSave="{00000000-0000-0000-0000-000000000000}"/>
  <bookViews>
    <workbookView xWindow="0" yWindow="0" windowWidth="23040" windowHeight="106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31'!$A$1:$F$54</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B7883" i="106"/>
  <c r="D7883" i="106" s="1"/>
  <c r="B7882" i="106"/>
  <c r="D7884" i="106"/>
  <c r="D7882"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1" i="127"/>
  <c r="B62"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H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H15" i="184"/>
  <c r="G33" i="108"/>
  <c r="E17" i="184"/>
  <c r="H17" i="184" s="1"/>
  <c r="C342" i="29"/>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D31" i="108"/>
  <c r="E16"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3447" i="106"/>
  <c r="D3447" i="106" s="1"/>
  <c r="E367" i="29" l="1"/>
  <c r="B3635" i="106"/>
  <c r="B7222" i="106"/>
  <c r="D7222" i="106" s="1"/>
  <c r="F76" i="34"/>
  <c r="B7887" i="106" s="1"/>
  <c r="D7887" i="106" s="1"/>
  <c r="N57" i="184"/>
  <c r="N68" i="184" s="1"/>
  <c r="E68" i="184"/>
  <c r="B7220" i="106"/>
  <c r="D7220" i="106" s="1"/>
  <c r="F75" i="34"/>
  <c r="B7886" i="106" s="1"/>
  <c r="D7886" i="106" s="1"/>
  <c r="L16" i="11"/>
  <c r="B2061" i="106" s="1"/>
  <c r="D2061" i="106" s="1"/>
  <c r="L114" i="29"/>
  <c r="H16" i="184"/>
  <c r="H19" i="184" s="1"/>
  <c r="L20" i="184" s="1"/>
  <c r="E19" i="184"/>
  <c r="F41" i="108"/>
  <c r="G43" i="108"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B7834" i="106" l="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6215" i="106" l="1"/>
  <c r="D6215" i="106" s="1"/>
  <c r="J41" i="3"/>
  <c r="F78" i="34"/>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123" i="106" l="1"/>
  <c r="D123" i="106" s="1"/>
  <c r="D41" i="3"/>
  <c r="B2912" i="106"/>
  <c r="D2912" i="106" s="1"/>
  <c r="I41" i="3"/>
  <c r="B3567" i="106"/>
  <c r="D3567" i="106" s="1"/>
  <c r="K41" i="3"/>
  <c r="D51" i="36"/>
  <c r="B6216" i="106"/>
  <c r="D6216" i="106" s="1"/>
  <c r="B212" i="106"/>
  <c r="D212" i="106" s="1"/>
  <c r="H41" i="3"/>
  <c r="F176" i="34"/>
  <c r="B7878" i="106" s="1"/>
  <c r="D7878" i="106" s="1"/>
  <c r="B7835" i="106"/>
  <c r="D7835" i="106" s="1"/>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B170" i="106"/>
  <c r="D170" i="106" s="1"/>
  <c r="F41" i="3"/>
  <c r="B140" i="106"/>
  <c r="D140" i="106" s="1"/>
  <c r="E41" i="3"/>
  <c r="B213" i="106"/>
  <c r="D213" i="106" s="1"/>
  <c r="D49" i="36"/>
  <c r="D52" i="36"/>
  <c r="B3568" i="106"/>
  <c r="D3568" i="106" s="1"/>
  <c r="D50" i="36"/>
  <c r="B2913" i="106"/>
  <c r="D2913" i="106" s="1"/>
  <c r="B124" i="106"/>
  <c r="D124" i="106" s="1"/>
  <c r="D45" i="36"/>
  <c r="D76" i="36"/>
  <c r="B92" i="106"/>
  <c r="D92" i="106" s="1"/>
  <c r="C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D47" i="36"/>
  <c r="B171" i="106"/>
  <c r="D171" i="106" s="1"/>
  <c r="B190" i="106"/>
  <c r="D190" i="106" s="1"/>
  <c r="D48"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<sst xmlns="http://schemas.openxmlformats.org/spreadsheetml/2006/main" count="5143" uniqueCount="2079">
  <si>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</si>
  <si>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</si>
  <si>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</si>
  <si>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</si>
  <si>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</si>
  <si>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</si>
  <si>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</si>
  <si>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</si>
  <si>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</si>
  <si>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</si>
  <si>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</si>
  <si>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</si>
  <si>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</si>
  <si>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</si>
  <si>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</si>
  <si>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</si>
  <si>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</si>
  <si>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</si>
  <si>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</si>
  <si>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</si>
  <si>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</si>
  <si>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</si>
  <si>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</si>
  <si>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</si>
  <si>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</si>
  <si>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</si>
  <si>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</si>
  <si>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</si>
  <si>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</si>
  <si>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</si>
  <si>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</si>
  <si>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</si>
  <si>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</si>
  <si>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</si>
  <si>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</si>
  <si>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</si>
  <si>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</si>
  <si>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</si>
  <si>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</si>
  <si>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</si>
  <si>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</si>
  <si>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</si>
  <si>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</si>
  <si>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</si>
  <si>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</si>
  <si>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</si>
  <si>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</si>
  <si>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</si>
  <si>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</si>
  <si>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</si>
  <si>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</si>
  <si>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</si>
  <si>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</si>
  <si>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</si>
  <si>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</si>
  <si>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</si>
  <si>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</si>
  <si>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</si>
  <si>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</si>
  <si>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</si>
  <si>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</si>
  <si>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</si>
  <si>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</si>
  <si>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</si>
  <si>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</si>
  <si>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</si>
  <si>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</si>
  <si>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</si>
  <si>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</si>
  <si>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</si>
  <si>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</si>
  <si>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</si>
  <si>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</si>
  <si>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</si>
  <si>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</si>
  <si>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</si>
  <si>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</si>
  <si>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</si>
  <si>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</si>
  <si>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</si>
  <si>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</si>
  <si>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</si>
  <si>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</si>
  <si>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</si>
  <si>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</si>
  <si>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</si>
  <si>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</si>
  <si>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</si>
  <si>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</si>
  <si>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</si>
  <si>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</si>
  <si>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</si>
  <si>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</si>
  <si>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</si>
  <si>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</si>
  <si>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</si>
  <si>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</si>
  <si>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</si>
  <si>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</si>
  <si>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</si>
  <si>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</si>
  <si>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</si>
  <si>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</si>
  <si>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</si>
  <si>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</si>
  <si>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</si>
  <si>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</si>
  <si>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</si>
  <si>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</si>
  <si>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</si>
  <si>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</si>
  <si>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</si>
  <si>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</si>
  <si>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</si>
  <si>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</si>
  <si>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</si>
  <si>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</si>
  <si>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</si>
  <si>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</si>
  <si>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</si>
  <si>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</si>
  <si>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</si>
  <si>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</si>
  <si>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</si>
  <si>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</si>
  <si>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</si>
  <si>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</si>
  <si>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</si>
  <si>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</si>
  <si>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</si>
  <si>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</si>
  <si>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</si>
  <si>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</si>
  <si>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</si>
  <si>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</si>
  <si>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</si>
  <si>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</si>
  <si>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</si>
  <si>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</si>
  <si>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</si>
  <si>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</si>
  <si>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</si>
  <si>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</si>
  <si>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</si>
  <si>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</si>
  <si>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</si>
  <si>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</si>
  <si>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</si>
  <si>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</si>
  <si>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</si>
  <si>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</si>
  <si>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</si>
  <si>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</si>
  <si>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</si>
  <si>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</si>
  <si>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</si>
  <si>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</si>
  <si>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</si>
  <si>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</si>
  <si>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</si>
  <si>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</si>
  <si>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</si>
  <si>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</si>
  <si>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</si>
  <si>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</si>
  <si>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</si>
  <si>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</si>
  <si>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</si>
  <si>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</si>
  <si>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</si>
  <si>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</si>
  <si>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</si>
  <si>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</si>
  <si>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</si>
  <si>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</si>
  <si>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</si>
  <si>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</si>
  <si>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</si>
  <si>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</si>
  <si>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</si>
  <si>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</si>
  <si>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</si>
  <si>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</si>
  <si>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</si>
  <si>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</si>
  <si>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</si>
  <si>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</si>
  <si>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</si>
  <si>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</si>
  <si>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</si>
  <si>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</si>
  <si>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</si>
  <si>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</si>
  <si>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</si>
  <si>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</si>
  <si>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</si>
  <si>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</si>
  <si>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</si>
  <si>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</si>
  <si>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</si>
  <si>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</si>
  <si>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</si>
  <si>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</si>
  <si>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</si>
  <si>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</si>
  <si>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</si>
  <si>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</si>
  <si>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</si>
  <si>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</si>
  <si>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</si>
  <si>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</si>
  <si>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</si>
  <si>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</si>
  <si>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</si>
  <si>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</si>
  <si>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</si>
  <si>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</si>
  <si>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</si>
  <si>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</si>
  <si>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</si>
  <si>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</si>
  <si>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</si>
  <si>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</si>
  <si>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</si>
  <si>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</si>
  <si>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</si>
  <si>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</si>
  <si>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</si>
  <si>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</si>
  <si>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</si>
  <si>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</si>
  <si>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</si>
  <si>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</si>
  <si>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</si>
  <si>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</si>
  <si>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</si>
  <si>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</si>
  <si>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</si>
  <si>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</si>
  <si>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</si>
  <si>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</si>
  <si>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</si>
  <si>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</si>
  <si>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</si>
  <si>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</si>
  <si>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</si>
  <si>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</si>
  <si>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</si>
  <si>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</si>
  <si>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</si>
  <si>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</si>
  <si>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</si>
  <si>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</si>
  <si>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</si>
  <si>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</si>
  <si>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</si>
  <si>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</si>
  <si>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</si>
  <si>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</si>
  <si>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</si>
  <si>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</si>
  <si>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</si>
  <si>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</si>
  <si>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</si>
  <si>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</si>
  <si>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</si>
  <si>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</si>
  <si>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</si>
  <si>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</si>
  <si>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</si>
  <si>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</si>
  <si>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</si>
  <si>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</si>
  <si>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</si>
  <si>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</si>
  <si>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</si>
  <si>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</si>
  <si>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</si>
  <si>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</si>
  <si>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</si>
  <si>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</si>
  <si>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</si>
  <si>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</si>
  <si>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</si>
  <si>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</si>
  <si>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</si>
  <si>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</si>
  <si>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</si>
  <si>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</si>
  <si>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</si>
  <si>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</si>
  <si>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</si>
  <si>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</si>
  <si>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</si>
  <si>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</si>
  <si>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</si>
  <si>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</si>
  <si>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</si>
  <si>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</si>
  <si>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</si>
  <si>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</si>
  <si>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</si>
  <si>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</si>
  <si>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</si>
  <si>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</si>
  <si>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</si>
  <si>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</si>
  <si>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</si>
  <si>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</si>
  <si>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</si>
  <si>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</si>
  <si>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</si>
  <si>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</si>
  <si>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</si>
  <si>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</si>
  <si>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</si>
  <si>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</si>
  <si>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</si>
  <si>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</si>
  <si>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</si>
  <si>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</si>
  <si>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</si>
  <si>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</si>
  <si>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</si>
  <si>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</si>
  <si>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</si>
  <si>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</si>
  <si>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</si>
  <si>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</si>
  <si>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</si>
  <si>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</si>
  <si>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</si>
  <si>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</si>
  <si>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</si>
  <si>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</si>
  <si>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</si>
  <si>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</si>
  <si>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</si>
  <si>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</si>
  <si>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</si>
  <si>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</si>
  <si>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</si>
  <si>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</si>
  <si>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</si>
  <si>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</si>
  <si>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</si>
  <si>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</si>
  <si>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</si>
  <si>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</si>
  <si>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</si>
  <si>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</si>
  <si>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</si>
  <si>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</si>
  <si>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</si>
  <si>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</si>
  <si>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</si>
  <si>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</si>
  <si>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</si>
  <si>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</si>
  <si>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</si>
  <si>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</si>
  <si>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</si>
  <si>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</si>
  <si>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</si>
  <si>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</si>
  <si>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</si>
  <si>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</si>
  <si>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</si>
  <si>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</si>
  <si>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</si>
  <si>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</si>
  <si>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</si>
  <si>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</si>
  <si>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</si>
  <si>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</si>
  <si>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</si>
  <si>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</si>
  <si>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</si>
  <si>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</si>
  <si>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</si>
  <si>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</si>
  <si>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</si>
  <si>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</si>
  <si>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</si>
  <si>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</si>
  <si>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</si>
  <si>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</si>
  <si>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</si>
  <si>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</si>
  <si>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</si>
  <si>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</si>
  <si>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</si>
  <si>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</si>
  <si>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</si>
  <si>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</si>
  <si>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</si>
  <si>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</si>
  <si>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</si>
  <si>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</si>
  <si>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</si>
  <si>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</si>
  <si>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</si>
  <si>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</si>
  <si>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</si>
  <si>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</si>
  <si>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</si>
  <si>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</si>
  <si>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</si>
  <si>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</si>
  <si>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</si>
  <si>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</si>
  <si>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</si>
  <si>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</si>
  <si>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</si>
  <si>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</si>
  <si>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</si>
  <si>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</si>
  <si>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</si>
  <si>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</si>
  <si>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</si>
  <si>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</si>
  <si>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</si>
  <si>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</si>
  <si>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</si>
  <si>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</si>
  <si>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</si>
  <si>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</si>
  <si>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</si>
  <si>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</si>
  <si>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</si>
  <si>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</si>
  <si>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</si>
  <si>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</si>
  <si>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</si>
  <si>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</si>
  <si>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</si>
  <si>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</si>
  <si>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</si>
  <si>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</si>
  <si>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</si>
  <si>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</si>
  <si>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</si>
  <si>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</si>
  <si>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</si>
  <si>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</si>
  <si>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</si>
  <si>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</si>
  <si>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</si>
  <si>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</si>
  <si>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</si>
  <si>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</si>
  <si>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</si>
  <si>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</si>
  <si>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</si>
  <si>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</si>
  <si>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</si>
  <si>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</si>
  <si>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</si>
  <si>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</si>
  <si>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</si>
  <si>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</si>
  <si>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</si>
  <si>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</si>
  <si>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</si>
  <si>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</si>
  <si>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</si>
  <si>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</si>
  <si>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</si>
  <si>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</si>
  <si>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</si>
  <si>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</si>
  <si>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</si>
  <si>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</si>
  <si>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</si>
  <si>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</si>
  <si>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</si>
  <si>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</si>
  <si>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</si>
  <si>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</si>
  <si>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</si>
  <si>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</si>
  <si>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</si>
  <si>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</si>
  <si>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</si>
  <si>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</si>
  <si>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</si>
  <si>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</si>
  <si>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</si>
  <si>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</si>
  <si>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</si>
  <si>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</si>
  <si>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</si>
  <si>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</si>
  <si>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</si>
  <si>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</si>
  <si>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</si>
  <si>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</si>
  <si>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</si>
  <si>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</si>
  <si>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</si>
  <si>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</si>
  <si>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</si>
  <si>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</si>
  <si>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</si>
  <si>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</si>
  <si>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</si>
  <si>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</si>
  <si>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</si>
  <si>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</si>
  <si>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</si>
  <si>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</si>
  <si>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</si>
  <si>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</si>
  <si>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</si>
  <si>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</si>
  <si>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</si>
  <si>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</si>
  <si>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</si>
  <si>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</si>
  <si>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</si>
  <si>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</si>
  <si>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</si>
  <si>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</si>
  <si>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</si>
  <si>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</si>
  <si>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</si>
  <si>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</si>
  <si>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</si>
  <si>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</si>
  <si>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</si>
  <si>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</si>
  <si>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</si>
  <si>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</si>
  <si>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</si>
  <si>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</si>
  <si>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</si>
  <si>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</si>
  <si>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</si>
  <si>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</si>
  <si>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</si>
  <si>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</si>
  <si>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</si>
  <si>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</si>
  <si>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</si>
  <si>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</si>
  <si>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</si>
  <si>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</si>
  <si>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</si>
  <si>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</si>
  <si>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</si>
  <si>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</si>
  <si>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</si>
  <si>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</si>
  <si>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</si>
  <si>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</si>
  <si>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</si>
  <si>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</si>
  <si>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</si>
  <si>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</si>
  <si>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</si>
  <si>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</si>
  <si>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</si>
  <si>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</si>
  <si>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</si>
  <si>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</si>
  <si>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</si>
  <si>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</si>
  <si>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</si>
  <si>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</si>
  <si>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</si>
  <si>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</si>
  <si>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</si>
  <si>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</si>
  <si>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</si>
  <si>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</si>
  <si>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</si>
  <si>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</si>
  <si>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</si>
  <si>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</si>
  <si>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</si>
  <si>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</si>
  <si>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</si>
  <si>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</si>
  <si>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</si>
  <si>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</si>
  <si>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</si>
  <si>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</si>
  <si>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</si>
  <si>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</si>
  <si>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</si>
  <si>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</si>
  <si>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</si>
  <si>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</si>
  <si>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</si>
  <si>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</si>
  <si>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</si>
  <si>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</si>
  <si>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</si>
  <si>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</si>
  <si>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</si>
  <si>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</si>
  <si>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</si>
  <si>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</si>
  <si>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</si>
  <si>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</si>
  <si>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</si>
  <si>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</si>
  <si>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</si>
  <si>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</si>
  <si>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</si>
  <si>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</si>
  <si>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</si>
  <si>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</si>
  <si>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</si>
  <si>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</si>
  <si>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</si>
  <si>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</si>
  <si>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</si>
  <si>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</si>
  <si>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</si>
  <si>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</si>
  <si>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</si>
  <si>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</si>
  <si>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</si>
  <si>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</si>
  <si>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</si>
  <si>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</si>
  <si>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</si>
  <si>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</si>
  <si>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</si>
  <si>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</si>
  <si>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</si>
  <si>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</si>
  <si>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</si>
  <si>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</si>
  <si>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</si>
  <si>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</si>
  <si>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</si>
  <si>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</si>
  <si>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</si>
  <si>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</si>
  <si>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</si>
  <si>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</si>
  <si>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</si>
  <si>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</si>
  <si>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</si>
  <si>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</si>
  <si>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</si>
  <si>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</si>
  <si>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</si>
  <si>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</si>
  <si>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</si>
  <si>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</si>
  <si>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</si>
  <si>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</si>
  <si>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</si>
  <si>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</si>
  <si>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</si>
  <si>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</si>
  <si>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</si>
  <si>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</si>
  <si>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</si>
  <si>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</si>
  <si>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</si>
  <si>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</si>
  <si>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</si>
  <si>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</si>
  <si>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</si>
  <si>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</si>
  <si>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</si>
  <si>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</si>
  <si>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</si>
  <si>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</si>
  <si>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</si>
  <si>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</si>
  <si>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</si>
  <si>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</si>
  <si>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</si>
  <si>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</si>
  <si>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</si>
  <si>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</si>
  <si>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</si>
  <si>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</si>
  <si>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</si>
  <si>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</si>
  <si>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</si>
  <si>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</si>
  <si>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</si>
  <si>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</si>
  <si>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</si>
  <si>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</si>
  <si>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</si>
  <si>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</si>
  <si>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</si>
  <si>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</si>
  <si>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</si>
  <si>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</si>
  <si>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</si>
  <si>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</si>
  <si>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</si>
  <si>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</si>
  <si>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</si>
  <si>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</si>
  <si>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</si>
  <si>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</si>
  <si>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</si>
  <si>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</si>
  <si>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</si>
  <si>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</si>
  <si>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</si>
  <si>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</si>
  <si>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</si>
  <si>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</si>
  <si>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</si>
  <si>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</si>
  <si>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</si>
  <si>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</si>
  <si>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</si>
  <si>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</si>
  <si>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</si>
  <si>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</si>
  <si>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</si>
  <si>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</si>
  <si>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</si>
  <si>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</si>
  <si>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</si>
  <si>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</si>
  <si>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</si>
  <si>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</si>
  <si>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</si>
  <si>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</si>
  <si>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</si>
  <si>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</si>
  <si>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</si>
  <si>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</si>
  <si>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</si>
  <si>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</si>
  <si>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</si>
  <si>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</si>
  <si>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</si>
  <si>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</si>
  <si>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</si>
  <si>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</si>
  <si>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</si>
  <si>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</si>
  <si>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</si>
  <si>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</si>
  <si>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</si>
  <si>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</si>
  <si>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</si>
  <si>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</si>
  <si>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</si>
  <si>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</si>
  <si>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</si>
  <si>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</si>
  <si>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</si>
  <si>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</si>
  <si>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</si>
  <si>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</si>
  <si>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</si>
  <si>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</si>
  <si>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</si>
  <si>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</si>
  <si>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</si>
  <si>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</si>
  <si>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</si>
  <si>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</si>
  <si>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</si>
  <si>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</si>
  <si>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</si>
  <si>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</si>
  <si>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</si>
  <si>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</si>
  <si>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</si>
  <si>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</si>
  <si>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</si>
  <si>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</si>
  <si>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</si>
  <si>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</si>
  <si>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</si>
  <si>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</si>
  <si>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</si>
  <si>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</si>
  <si>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</si>
  <si>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</si>
  <si>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</si>
  <si>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</si>
  <si>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</si>
  <si>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</si>
  <si>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</si>
  <si>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</si>
  <si>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</si>
  <si>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</si>
  <si>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</si>
  <si>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</si>
  <si>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</si>
  <si>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</si>
  <si>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</si>
  <si>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</si>
  <si>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</si>
  <si>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</si>
  <si>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</si>
  <si>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</si>
  <si>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</si>
  <si>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</si>
  <si>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</si>
  <si>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</si>
  <si>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</si>
  <si>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</si>
  <si>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</si>
  <si>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</si>
  <si>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</si>
  <si>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</si>
  <si>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</si>
  <si>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</si>
  <si>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</si>
  <si>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</si>
  <si>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</si>
  <si>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</si>
  <si>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</si>
  <si>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</si>
  <si>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</si>
  <si>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</si>
  <si>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</si>
  <si>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</si>
  <si>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</si>
  <si>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</si>
  <si>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</si>
  <si>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</si>
  <si>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</si>
  <si>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</si>
  <si>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</si>
  <si>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</si>
  <si>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</si>
  <si>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</si>
  <si>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</si>
  <si>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</si>
  <si>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</si>
  <si>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</si>
  <si>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</si>
  <si>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</si>
  <si>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</si>
  <si>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</si>
  <si>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</si>
  <si>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</si>
  <si>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</si>
  <si>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</si>
  <si>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</si>
  <si>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</si>
  <si>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</si>
  <si>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</si>
  <si>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</si>
  <si>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</si>
  <si>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</si>
  <si>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</si>
  <si>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</si>
  <si>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</si>
  <si>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</si>
  <si>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</si>
  <si>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</si>
  <si>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</si>
  <si>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</si>
  <si>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</si>
  <si>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</si>
  <si>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</si>
  <si>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</si>
  <si>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</si>
  <si>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</si>
  <si>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</si>
  <si>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</si>
  <si>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</si>
  <si>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</si>
  <si>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</si>
  <si>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</si>
  <si>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</si>
  <si>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</si>
  <si>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</si>
  <si>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</si>
  <si>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</si>
  <si>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</si>
  <si>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</si>
  <si>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</si>
  <si>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</si>
  <si>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</si>
  <si>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</si>
  <si>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</si>
  <si>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</si>
  <si>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</si>
  <si>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</si>
  <si>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</si>
  <si>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</si>
  <si>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</si>
  <si>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</si>
  <si>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</si>
  <si>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</si>
  <si>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</si>
  <si>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</si>
  <si>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</si>
  <si>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</si>
  <si>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</si>
  <si>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</si>
  <si>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</si>
  <si>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</si>
  <si>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</si>
  <si>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</si>
  <si>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</si>
  <si>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</si>
  <si>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</si>
  <si>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</si>
  <si>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</si>
  <si>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</si>
  <si>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</si>
  <si>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</si>
  <si>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</si>
  <si>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</si>
  <si>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</si>
  <si>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</si>
  <si>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</si>
  <si>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</si>
  <si>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</si>
  <si>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</si>
  <si>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</si>
  <si>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</si>
  <si>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</si>
  <si>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</si>
  <si>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</si>
  <si>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</si>
  <si>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</si>
  <si>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</si>
  <si>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</si>
  <si>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</si>
  <si>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</si>
  <si>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</si>
  <si>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</si>
  <si>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</si>
  <si>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</si>
  <si>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</si>
  <si>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</si>
  <si>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</si>
  <si>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</si>
  <si>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</si>
  <si>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</si>
  <si>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</si>
  <si>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</si>
  <si>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</si>
  <si>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</si>
  <si>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</si>
  <si>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</si>
  <si>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</si>
  <si>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</si>
  <si>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</si>
  <si>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</si>
  <si>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</si>
  <si>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</si>
  <si>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</si>
  <si>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</si>
  <si>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</si>
  <si>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</si>
  <si>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</si>
  <si>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</si>
  <si>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</si>
  <si>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</si>
  <si>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</si>
  <si>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</si>
  <si>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</si>
  <si>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</si>
  <si>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</si>
  <si>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</si>
  <si>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</si>
  <si>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</si>
  <si>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</si>
  <si>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</si>
  <si>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</si>
  <si>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</si>
  <si>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</si>
  <si>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</si>
  <si>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</si>
  <si>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</si>
  <si>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</si>
  <si>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</si>
  <si>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</si>
  <si>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</si>
  <si>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</si>
  <si>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</si>
  <si>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</si>
  <si>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</si>
  <si>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</si>
  <si>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</si>
  <si>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</si>
  <si>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</si>
  <si>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</si>
  <si>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</si>
  <si>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</si>
  <si>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</si>
  <si>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</si>
  <si>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</si>
  <si>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</si>
  <si>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</si>
  <si>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</si>
  <si>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</si>
  <si>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</si>
  <si>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</si>
  <si>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</si>
  <si>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</si>
  <si>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</si>
  <si>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</si>
  <si>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</si>
  <si>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</si>
  <si>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</si>
  <si>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</si>
  <si>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</si>
  <si>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</si>
  <si>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</si>
  <si>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</si>
  <si>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</si>
  <si>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</si>
  <si>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</si>
  <si>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</si>
  <si>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</si>
  <si>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</si>
  <si>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</si>
  <si>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</si>
  <si>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</si>
  <si>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</si>
  <si>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</si>
  <si>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</si>
  <si>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</si>
  <si>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</si>
  <si>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</si>
  <si>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</si>
  <si>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</si>
  <si>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</si>
  <si>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</si>
  <si>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</si>
  <si>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</si>
  <si>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</si>
  <si>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</si>
  <si>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</si>
  <si>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</si>
  <si>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</si>
  <si>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</si>
  <si>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</si>
  <si>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</si>
  <si>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</si>
  <si>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</si>
  <si>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</si>
  <si>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</si>
  <si>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</si>
  <si>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</si>
  <si>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</si>
  <si>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</si>
  <si>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</si>
  <si>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</si>
  <si>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</si>
  <si>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</si>
  <si>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</si>
  <si>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</si>
  <si>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</si>
  <si>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</si>
  <si>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</si>
  <si>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</si>
  <si>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</si>
  <si>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</si>
  <si>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</si>
  <si>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</si>
  <si>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</si>
  <si>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</si>
  <si>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</si>
  <si>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</si>
  <si>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</si>
  <si>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</si>
  <si>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</si>
  <si>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</si>
  <si>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</si>
  <si>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</si>
  <si>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</si>
  <si>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</si>
  <si>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</si>
  <si>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</si>
  <si>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</si>
  <si>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</si>
  <si>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</si>
  <si>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</si>
  <si>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</si>
  <si>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</si>
  <si>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</si>
  <si>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</si>
  <si>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</si>
  <si>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</si>
  <si>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</si>
  <si>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</si>
  <si>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</si>
  <si>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</si>
  <si>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</si>
  <si>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</si>
  <si>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</si>
  <si>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</si>
  <si>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</si>
  <si>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</si>
  <si>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</si>
  <si>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</si>
  <si>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</si>
  <si>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</si>
  <si>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</si>
  <si>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</si>
  <si>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</si>
  <si>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</si>
  <si>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</si>
  <si>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</si>
  <si>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</si>
  <si>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</si>
  <si>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</si>
  <si>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</si>
  <si>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</si>
  <si>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</si>
  <si>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</si>
  <si>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</si>
  <si>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</si>
  <si>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</si>
  <si>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</si>
  <si>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</si>
  <si>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</si>
  <si>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</si>
  <si>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</si>
  <si>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</si>
  <si>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</si>
  <si>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</si>
  <si>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</si>
  <si>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</si>
  <si>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</si>
  <si>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</si>
  <si>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</si>
  <si>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</si>
  <si>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</si>
  <si>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</si>
  <si>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</si>
  <si>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</si>
  <si>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</si>
  <si>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</si>
  <si>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</si>
  <si>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</si>
  <si>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</si>
  <si>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</si>
  <si>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</si>
  <si>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</si>
  <si>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</si>
  <si>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</si>
  <si>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</si>
  <si>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</si>
  <si>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</si>
  <si>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</si>
  <si>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</si>
  <si>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</si>
  <si>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</si>
  <si>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</si>
  <si>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</si>
  <si>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</si>
  <si>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</si>
  <si>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</si>
  <si>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</si>
  <si>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</si>
  <si>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</si>
  <si>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</si>
  <si>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</si>
  <si>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</si>
  <si>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</si>
  <si>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</si>
  <si>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</si>
  <si>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</si>
  <si>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</si>
  <si>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</si>
  <si>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</si>
  <si>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</si>
  <si>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</si>
  <si>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</si>
  <si>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</si>
  <si>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</si>
  <si>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</si>
  <si>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</si>
  <si>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</si>
  <si>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</si>
  <si>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</si>
  <si>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</si>
  <si>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</si>
  <si>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</si>
  <si>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</si>
  <si>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</si>
  <si>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</si>
  <si>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</si>
  <si>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</si>
  <si>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</si>
  <si>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</si>
  <si>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</si>
  <si>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</si>
  <si>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</si>
  <si>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</si>
  <si>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</si>
  <si>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</si>
  <si>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</si>
  <si>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</si>
  <si>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</si>
  <si>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</si>
  <si>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</si>
  <si>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</si>
  <si>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</si>
  <si>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</si>
  <si>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</si>
  <si>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</si>
  <si>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</si>
  <si>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</si>
  <si>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</si>
  <si>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</si>
  <si>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</si>
  <si>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</si>
  <si>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</si>
  <si>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</si>
  <si>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</si>
  <si>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</si>
  <si>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</si>
  <si>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</si>
  <si>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</si>
  <si>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</si>
  <si>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</si>
  <si>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</si>
  <si>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</si>
  <si>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</si>
  <si>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</si>
  <si>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</si>
  <si>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</si>
  <si>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</si>
  <si>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</si>
  <si>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</si>
  <si>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</si>
  <si>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</si>
  <si>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</si>
  <si>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</si>
  <si>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</si>
  <si>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</si>
  <si>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</si>
  <si>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</si>
  <si>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</si>
  <si>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</si>
  <si>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</si>
  <si>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</si>
  <si>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</si>
  <si>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</si>
  <si>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</si>
  <si>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</si>
  <si>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</si>
  <si>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</si>
  <si>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</si>
  <si>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</si>
  <si>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</si>
  <si>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</si>
  <si>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</si>
  <si>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</si>
  <si>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</si>
  <si>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</si>
  <si>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</si>
  <si>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</si>
  <si>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</si>
  <si>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</si>
  <si>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</si>
  <si>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</si>
  <si>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</si>
  <si>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</si>
  <si>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</si>
  <si>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</si>
  <si>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</si>
  <si>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</si>
  <si>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</si>
  <si>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</si>
  <si>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</si>
  <si>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</si>
  <si>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</si>
  <si>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</si>
  <si>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</si>
  <si>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</si>
  <si>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</si>
  <si>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</si>
  <si>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</si>
  <si>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</si>
  <si>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</si>
  <si>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</si>
  <si>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</si>
  <si>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</si>
  <si>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</si>
  <si>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</si>
  <si>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</si>
  <si>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</si>
  <si>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</si>
  <si>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</si>
  <si>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</si>
  <si>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</si>
  <si>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</si>
  <si>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</si>
  <si>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</si>
  <si>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</si>
  <si>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</si>
  <si>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</si>
  <si>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</si>
  <si>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</si>
  <si>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</si>
  <si>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</si>
  <si>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</si>
  <si>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</si>
  <si>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</si>
  <si>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</si>
  <si>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</si>
  <si>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</si>
  <si>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</si>
  <si>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</si>
  <si>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</si>
  <si>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</si>
  <si>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</si>
  <si>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</si>
  <si>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</si>
  <si>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</si>
  <si>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</si>
  <si>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</si>
  <si>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</si>
  <si>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</si>
  <si>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</si>
  <si>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</si>
  <si>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</si>
  <si>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</si>
  <si>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</si>
  <si>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</si>
  <si>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</si>
  <si>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</si>
  <si>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</si>
  <si>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</si>
  <si>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</si>
  <si>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</si>
  <si>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</si>
  <si>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</si>
  <si>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</si>
  <si>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</si>
  <si>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</si>
  <si>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</si>
  <si>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</si>
  <si>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</si>
  <si>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</si>
  <si>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</si>
  <si>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</si>
  <si>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</si>
  <si>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</si>
  <si>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</si>
  <si>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</si>
  <si>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</si>
  <si>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</si>
  <si>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</si>
  <si>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</si>
  <si>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</si>
  <si>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</si>
  <si>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</si>
  <si>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</si>
  <si>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</si>
  <si>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</si>
  <si>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</si>
  <si>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</si>
  <si>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</si>
  <si>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</si>
  <si>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</si>
  <si>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</si>
  <si>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</si>
  <si>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</si>
  <si>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</si>
  <si>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</si>
  <si>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</si>
  <si>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</si>
  <si>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</si>
  <si>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</si>
  <si>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</si>
  <si>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</si>
  <si>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</si>
  <si>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</si>
  <si>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</si>
  <si>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</si>
  <si>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</si>
  <si>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</si>
  <si>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</si>
  <si>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</si>
  <si>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</si>
  <si>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</si>
  <si>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</si>
  <si>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</si>
  <si>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</si>
  <si>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</si>
  <si>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</si>
  <si>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</si>
  <si>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</si>
  <si>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</si>
  <si>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</si>
  <si>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</si>
  <si>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</si>
  <si>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</si>
  <si>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</si>
  <si>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</si>
  <si>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</si>
  <si>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</si>
  <si>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</si>
  <si>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</si>
  <si>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</si>
  <si>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</si>
  <si>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</si>
  <si>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</si>
  <si>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</si>
  <si>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</si>
  <si>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</si>
  <si>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</si>
  <si>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</si>
  <si>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</si>
  <si>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</si>
  <si>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</si>
  <si>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</si>
  <si>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</si>
  <si>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</si>
  <si>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</si>
  <si>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</si>
  <si>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</si>
  <si>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</si>
  <si>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</si>
  <si>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</si>
  <si>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</si>
  <si>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</si>
  <si>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</si>
  <si>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</si>
  <si>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</si>
  <si>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</si>
  <si>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</si>
  <si>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</si>
  <si>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</si>
  <si>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</si>
  <si>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</si>
  <si>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</si>
  <si>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</si>
  <si>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</si>
  <si>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</si>
  <si>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</si>
  <si>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</si>
  <si>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</si>
  <si>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</si>
  <si>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</si>
  <si>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</si>
  <si>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</si>
  <si>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</si>
  <si>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</si>
  <si>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</si>
  <si>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</si>
  <si>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</si>
  <si>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</si>
  <si>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</si>
  <si>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</si>
  <si>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</si>
  <si>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</si>
  <si>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</si>
  <si>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</si>
  <si>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</si>
  <si>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</si>
  <si>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</si>
  <si>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</si>
  <si>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</si>
  <si>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</si>
  <si>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</si>
  <si>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</si>
  <si>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</si>
  <si>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</si>
  <si>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</si>
  <si>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</si>
  <si>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</si>
  <si>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</si>
  <si>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</si>
  <si>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</si>
  <si>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</si>
  <si>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</si>
  <si>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</si>
  <si>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</si>
  <si>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</si>
  <si>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</si>
  <si>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</si>
  <si>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</si>
  <si>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</si>
  <si>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</si>
  <si>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</si>
  <si>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</si>
  <si>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</si>
  <si>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</si>
  <si>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</si>
  <si>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</si>
  <si>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</si>
  <si>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</si>
  <si>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</si>
  <si>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</si>
  <si>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</si>
  <si>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</si>
  <si>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</si>
  <si>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</si>
  <si>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</si>
  <si>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</si>
  <si>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</si>
  <si>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</si>
  <si>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</si>
  <si>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</si>
  <si>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</si>
  <si>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</si>
  <si>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</si>
  <si>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</si>
  <si>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</si>
  <si>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</si>
  <si>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</si>
  <si>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</si>
  <si>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</si>
  <si>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</si>
  <si>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</si>
  <si>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</si>
  <si>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</si>
  <si>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</si>
  <si>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</si>
  <si>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</si>
  <si>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</si>
  <si>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</si>
  <si>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</si>
  <si>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</si>
  <si>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</si>
  <si>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</si>
  <si>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</si>
  <si>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</si>
  <si>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</si>
  <si>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</si>
  <si>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</si>
  <si>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</si>
  <si>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</si>
  <si>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</si>
  <si>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</si>
  <si>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</si>
  <si>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</si>
  <si>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</si>
  <si>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</si>
  <si>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</si>
  <si>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</si>
  <si>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</si>
  <si>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</si>
  <si>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</si>
  <si>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</si>
  <si>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</si>
  <si>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</si>
  <si>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</si>
  <si>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</si>
  <si>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</si>
  <si>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</si>
  <si>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</si>
  <si>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</si>
  <si>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</si>
  <si>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</si>
  <si>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</si>
  <si>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</si>
  <si>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</si>
  <si>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</si>
  <si>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</si>
  <si>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</si>
  <si>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</si>
  <si>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</si>
  <si>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</si>
  <si>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</si>
  <si>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</si>
  <si>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</si>
  <si>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</si>
  <si>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</si>
  <si>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</si>
  <si>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</si>
  <si>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</si>
  <si>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</si>
  <si>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</si>
  <si>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</si>
  <si>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</si>
  <si>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</si>
  <si>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</si>
  <si>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</si>
  <si>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</si>
  <si>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</si>
  <si>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</si>
  <si>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</si>
  <si>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</si>
  <si>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</si>
  <si>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</si>
  <si>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</si>
  <si>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</si>
  <si>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</si>
  <si>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</si>
  <si>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</si>
  <si>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</si>
  <si>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</si>
  <si>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</si>
  <si>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</si>
  <si>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</si>
  <si>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</si>
  <si>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</si>
  <si>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</si>
  <si>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</si>
  <si>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</si>
  <si>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</si>
  <si>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</si>
  <si>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</si>
  <si>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</si>
  <si>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</si>
  <si>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</si>
  <si>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</si>
  <si>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</si>
  <si>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</si>
  <si>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</si>
  <si>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</si>
  <si>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</si>
  <si>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</si>
  <si>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</si>
  <si>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</si>
  <si>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</si>
  <si>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</si>
  <si>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</si>
  <si>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</si>
  <si>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</si>
  <si>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</si>
  <si>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</si>
  <si>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</si>
  <si>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</si>
  <si>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</si>
  <si>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</si>
  <si>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</si>
  <si>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</si>
  <si>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</si>
  <si>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</si>
  <si>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</si>
  <si>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</si>
  <si>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</si>
  <si>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</si>
  <si>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</si>
  <si>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</si>
  <si>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</si>
  <si>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</si>
  <si>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</si>
  <si>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</si>
  <si>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</si>
  <si>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</si>
  <si>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</si>
  <si>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</si>
  <si>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</si>
  <si>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</si>
  <si>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</si>
  <si>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</si>
  <si>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</si>
  <si>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</si>
  <si>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</si>
  <si>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</si>
  <si>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</si>
  <si>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</si>
  <si>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</si>
  <si>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</si>
  <si>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</si>
  <si>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</si>
  <si>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</si>
  <si>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</si>
  <si>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</si>
  <si>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</si>
  <si>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</si>
  <si>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</si>
  <si>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</si>
  <si>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</si>
  <si>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</si>
  <si>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</si>
  <si>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</si>
  <si>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</si>
  <si>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</si>
  <si>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</si>
  <si>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</si>
  <si>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</si>
  <si>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</si>
  <si>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</si>
  <si>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</si>
  <si>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</si>
  <si>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</si>
  <si>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</si>
  <si>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</si>
  <si>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</si>
  <si>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</si>
  <si>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</si>
  <si>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</si>
  <si>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</si>
  <si>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</si>
  <si>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</si>
  <si>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</si>
  <si>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</si>
  <si>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</si>
  <si>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</si>
  <si>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</si>
  <si>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</si>
  <si>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</si>
  <si>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</si>
  <si>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</si>
  <si>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</si>
  <si>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</si>
  <si>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</si>
  <si>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</si>
  <si>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</si>
  <si>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</si>
  <si>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</si>
  <si>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</si>
  <si>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</si>
  <si>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</si>
  <si>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</si>
  <si>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</si>
  <si>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</si>
  <si>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</si>
  <si>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</si>
  <si>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</si>
  <si>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</si>
  <si>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</si>
  <si>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</si>
  <si>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</si>
  <si>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</si>
  <si>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</si>
  <si>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</si>
  <si>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</si>
  <si>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</si>
  <si>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</si>
  <si>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</si>
  <si>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</si>
  <si>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</si>
  <si>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</si>
  <si>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</si>
  <si>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</si>
  <si>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</si>
  <si>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</si>
  <si>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</si>
  <si>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</si>
  <si>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</si>
  <si>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</si>
  <si>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</si>
  <si>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</si>
  <si>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</si>
  <si>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</si>
  <si>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</si>
  <si>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</si>
  <si>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</si>
  <si>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</si>
  <si>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</si>
  <si>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</si>
  <si>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</si>
  <si>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</si>
  <si>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</si>
  <si>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</si>
  <si>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</si>
  <si>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</si>
  <si>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</si>
  <si>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</si>
  <si>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</si>
  <si>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</si>
  <si>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</si>
  <si>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</si>
  <si>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</si>
  <si>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</si>
  <si>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</si>
  <si>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</si>
  <si>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</si>
  <si>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</si>
  <si>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</si>
  <si>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</si>
  <si>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</si>
  <si>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</si>
  <si>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</si>
  <si>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</si>
  <si>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</si>
  <si>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</si>
  <si>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</si>
  <si>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</si>
  <si>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</si>
  <si>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</si>
  <si>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</si>
  <si>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</si>
  <si>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</si>
  <si>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</si>
  <si>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</si>
  <si>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</si>
  <si>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</si>
  <si>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</si>
  <si>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</si>
  <si>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</si>
  <si>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</si>
  <si>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</si>
  <si>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</si>
  <si>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</si>
  <si>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</si>
  <si>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</si>
  <si>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</si>
  <si>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</si>
  <si>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</si>
  <si>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</si>
  <si>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</si>
  <si>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</si>
  <si>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</si>
  <si>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</si>
  <si>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</si>
  <si>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</si>
  <si>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</si>
  <si>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</si>
  <si>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</si>
  <si>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</si>
  <si>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</si>
  <si>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</si>
  <si>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</si>
  <si>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</si>
  <si>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</si>
  <si>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</si>
  <si>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</si>
  <si>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</si>
  <si>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</si>
  <si>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</si>
  <si>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</si>
  <si>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</si>
  <si>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</si>
  <si>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</si>
  <si>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</si>
  <si>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</si>
  <si>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</si>
  <si>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</si>
  <si>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</si>
  <si>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</si>
  <si>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</si>
  <si>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</si>
  <si>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</si>
  <si>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</si>
  <si>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</si>
  <si>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</si>
  <si>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</si>
  <si>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</si>
  <si>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</si>
  <si>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</si>
  <si>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</si>
  <si>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</si>
  <si>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</si>
  <si>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</si>
  <si>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</si>
  <si>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</si>
  <si>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</si>
  <si>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</si>
  <si>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</si>
  <si>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</si>
  <si>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</si>
  <si>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</si>
  <si>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</si>
  <si>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</si>
  <si>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</si>
  <si>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</si>
  <si>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</si>
  <si>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</si>
  <si>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</si>
  <si>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</si>
  <si>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</si>
  <si>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</si>
  <si>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</si>
  <si>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</si>
  <si>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</si>
  <si>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</si>
  <si>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</si>
  <si>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</si>
  <si>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</si>
  <si>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</si>
  <si>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</si>
  <si>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</si>
  <si>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</si>
  <si>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</si>
  <si>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</si>
  <si>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</si>
  <si>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</si>
  <si>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</si>
  <si>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</si>
  <si>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</si>
  <si>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</si>
  <si>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</si>
  <si>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</si>
  <si>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</si>
  <si>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</si>
  <si>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</si>
  <si>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</si>
  <si>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</si>
  <si>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</si>
  <si>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</si>
  <si>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</si>
  <si>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</si>
  <si>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</si>
  <si>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</si>
  <si>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</si>
  <si>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</si>
  <si>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</si>
  <si>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</si>
  <si>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</si>
  <si>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</si>
  <si>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</si>
  <si>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</si>
  <si>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</si>
  <si>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</si>
  <si>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</si>
  <si>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</si>
  <si>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</si>
  <si>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</si>
  <si>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</si>
  <si>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</si>
  <si>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</si>
  <si>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</si>
  <si>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</si>
  <si>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</si>
  <si>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</si>
  <si>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</si>
  <si>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</si>
  <si>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</si>
  <si>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</si>
  <si>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</si>
  <si>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</si>
  <si>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</si>
  <si>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</si>
  <si>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</si>
  <si>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</si>
  <si>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</si>
  <si>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</si>
  <si>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</si>
  <si>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</si>
  <si>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</si>
  <si>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</si>
  <si>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</si>
  <si>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</si>
  <si>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</si>
  <si>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</si>
  <si>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</si>
  <si>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</si>
  <si>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</si>
  <si>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</si>
  <si>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</si>
  <si>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</si>
  <si>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</si>
  <si>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</si>
  <si>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</si>
  <si>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</si>
  <si>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</si>
  <si>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</si>
  <si>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</si>
  <si>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</si>
  <si>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</si>
  <si>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</si>
  <si>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</si>
  <si>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</si>
  <si>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</si>
  <si>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</si>
  <si>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</si>
  <si>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</si>
  <si>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</si>
  <si>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</si>
  <si>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</si>
  <si>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</si>
  <si>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</si>
  <si>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</si>
  <si>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</si>
  <si>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</si>
  <si>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</si>
  <si>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</si>
  <si>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</si>
  <si>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</si>
  <si>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</si>
  <si>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</si>
  <si>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</si>
  <si>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</si>
  <si>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</si>
  <si>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</si>
  <si>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</si>
  <si>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</si>
  <si>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</si>
  <si>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</si>
  <si>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</si>
  <si>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</si>
  <si>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</si>
  <si>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</si>
  <si>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</si>
  <si>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</si>
  <si>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</si>
  <si>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</si>
  <si>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</si>
  <si>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</si>
  <si>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</si>
  <si>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</si>
  <si>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</si>
  <si>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</si>
  <si>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</si>
  <si>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</si>
  <si>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</si>
  <si>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</si>
  <si>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</si>
  <si>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</si>
  <si>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</si>
  <si>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</si>
  <si>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</si>
  <si>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</si>
  <si>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</si>
  <si>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</si>
  <si>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</si>
  <si>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</si>
  <si>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</si>
  <si>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</si>
  <si>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</si>
  <si>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</si>
  <si>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</si>
  <si>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</si>
  <si>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</si>
  <si>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</si>
  <si>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</si>
  <si>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</si>
  <si>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</si>
  <si>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</si>
  <si>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</si>
  <si>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</si>
  <si>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</si>
  <si>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</si>
  <si>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</si>
  <si>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</si>
  <si>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</si>
  <si>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</si>
  <si>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</si>
  <si>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</si>
  <si>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</si>
  <si>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</si>
  <si>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</si>
  <si>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</si>
  <si>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</si>
  <si>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</si>
  <si>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</si>
  <si>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</si>
  <si>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</si>
  <si>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</si>
  <si>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</si>
  <si>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</si>
  <si>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</si>
  <si>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</si>
  <si>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</si>
  <si>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</si>
  <si>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</si>
  <si>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</si>
  <si>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</si>
  <si>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</si>
  <si>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</si>
  <si>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</si>
  <si>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</si>
  <si>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</si>
  <si>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</si>
  <si>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</si>
  <si>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Meister, Hilton, Chitwood &amp; Associates, Inc.</t>
  </si>
  <si>
    <t>Ron Hilton</t>
  </si>
  <si>
    <t>809 W. Detweiller Drive, Suite 806</t>
  </si>
  <si>
    <t>Peoria</t>
  </si>
  <si>
    <t>IL</t>
  </si>
  <si>
    <t>(309) 683-0441</t>
  </si>
  <si>
    <t>(309) 692-0492</t>
  </si>
  <si>
    <t>066-004769</t>
  </si>
  <si>
    <t>ron.hilton1@comcast.net</t>
  </si>
  <si>
    <t>x</t>
  </si>
  <si>
    <t>Knox and Warren</t>
  </si>
  <si>
    <t>1135 W. Freemont Street</t>
  </si>
  <si>
    <t xml:space="preserve">Galesburg  </t>
  </si>
  <si>
    <t>jhouston@galesburg205.org</t>
  </si>
  <si>
    <t>Dr. John Asplund</t>
  </si>
  <si>
    <t>jasplund@galesburg205.org</t>
  </si>
  <si>
    <t>309-973-2101</t>
  </si>
  <si>
    <t>309-343-7757</t>
  </si>
  <si>
    <t>23.  These financial statements are issued in a format to comply with regulatory provisions prescribed by the Illinois State Board  of Education, which is a comprehensive basis of accounting other than generally accepted accounting principles.  The effects on the financial statements of the variation between these regulatory practices and accounting principles generally accepted in the United States of America, although not reasonably determinable, are deemed to be material.</t>
  </si>
  <si>
    <t>None</t>
  </si>
  <si>
    <t>Galesburg CUSD No. 205 (1)</t>
  </si>
  <si>
    <t>Participating School Districts (2)</t>
  </si>
  <si>
    <t>(1) As administrative agent, Galesburg CUSD #205 personnel provide various administrative functions for the Vocational Center including payroll processing,</t>
  </si>
  <si>
    <t xml:space="preserve">      human resource function, cash receipt and disbursement functions.</t>
  </si>
  <si>
    <t>(2) Abingdon HS, Avon HS, Knoxville HS, Monmouth-Roseville HS, ROWVA HS , United HS, West Central HS, and Williamsfield HS</t>
  </si>
  <si>
    <t>Page 10, Other Local Revenues 1999: Miscellaneous reimbursement $ 3,627</t>
  </si>
  <si>
    <t>Page 13, CTE - Other  - 4799: CTE Perkins - Secondary 4745 - $ 17,918</t>
  </si>
  <si>
    <t>Galesburg Area vocational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</si>
</sst>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4" fillId="0" borderId="0"/>
  </cellStyleXfs>
  <cellXfs count="262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3" fillId="0" borderId="155" xfId="19" applyFont="1" applyBorder="1" applyAlignment="1" applyProtection="1">
      <alignment horizontal="center" vertical="top" wrapText="1"/>
      <protection locked="0"/>
    </xf>
    <xf numFmtId="0" fontId="2" fillId="0" borderId="155" xfId="19" applyFont="1" applyBorder="1" applyAlignment="1" applyProtection="1">
      <alignment vertical="top"/>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6</xdr:row>
          <xdr:rowOff>15586</xdr:rowOff>
        </xdr:from>
        <xdr:to>
          <xdr:col>1</xdr:col>
          <xdr:colOff>911802</xdr:colOff>
          <xdr:row>10</xdr:row>
          <xdr:rowOff>64077</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D19" sqref="AD19"/>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402</v>
      </c>
      <c r="J1" s="2082"/>
      <c r="K1" s="2082"/>
      <c r="L1" s="2082"/>
      <c r="M1" s="2082"/>
      <c r="N1" s="2082"/>
      <c r="O1" s="2082"/>
      <c r="P1" s="2082"/>
      <c r="Q1" s="2082"/>
      <c r="R1" s="2082"/>
      <c r="S1" s="2082"/>
    </row>
    <row r="2" spans="1:32" ht="12" customHeight="1" x14ac:dyDescent="0.2">
      <c r="A2" s="1831" t="str">
        <f>"Due to ISBE on "</f>
        <v xml:space="preserve">Due to ISBE on </v>
      </c>
      <c r="B2" s="2124">
        <f>+'AFR20'!F4</f>
        <v>44151</v>
      </c>
      <c r="C2" s="2124"/>
      <c r="D2" s="2125"/>
      <c r="I2" s="2083" t="s">
        <v>2003</v>
      </c>
      <c r="J2" s="2082"/>
      <c r="K2" s="2082"/>
      <c r="L2" s="2082"/>
      <c r="M2" s="2082"/>
      <c r="N2" s="2082"/>
      <c r="O2" s="2082"/>
      <c r="P2" s="2082"/>
      <c r="Q2" s="2082"/>
      <c r="R2" s="2082"/>
      <c r="S2" s="2082"/>
    </row>
    <row r="3" spans="1:32" ht="12" customHeight="1" x14ac:dyDescent="0.2">
      <c r="A3" s="1834"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521</v>
      </c>
      <c r="J4" s="2082"/>
      <c r="K4" s="2082"/>
      <c r="L4" s="2082"/>
      <c r="M4" s="2082"/>
      <c r="N4" s="2082"/>
      <c r="O4" s="2082"/>
      <c r="P4" s="2082"/>
      <c r="Q4" s="2082"/>
      <c r="R4" s="2082"/>
      <c r="S4" s="2082"/>
    </row>
    <row r="5" spans="1:32" ht="14.1" customHeight="1" x14ac:dyDescent="0.2">
      <c r="B5" s="101"/>
      <c r="C5" s="26" t="s">
        <v>904</v>
      </c>
      <c r="D5" s="81"/>
      <c r="E5" s="81"/>
      <c r="H5" s="38"/>
      <c r="I5" s="2091" t="s">
        <v>675</v>
      </c>
      <c r="J5" s="2090"/>
      <c r="K5" s="2090"/>
      <c r="L5" s="2090"/>
      <c r="M5" s="2090"/>
      <c r="N5" s="2090"/>
      <c r="O5" s="2090"/>
      <c r="P5" s="2090"/>
      <c r="Q5" s="2090"/>
      <c r="R5" s="2090"/>
      <c r="S5" s="2090"/>
      <c r="AF5" s="1827"/>
    </row>
    <row r="6" spans="1:32" ht="14.1" customHeight="1" x14ac:dyDescent="0.2">
      <c r="B6" s="101" t="s">
        <v>2060</v>
      </c>
      <c r="C6" s="26" t="s">
        <v>905</v>
      </c>
      <c r="D6" s="81"/>
      <c r="E6" s="81"/>
      <c r="I6" s="2089" t="s">
        <v>877</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669</v>
      </c>
      <c r="J9" s="2087"/>
      <c r="K9" s="2087"/>
      <c r="L9" s="2087"/>
      <c r="M9" s="2087"/>
      <c r="N9" s="2087"/>
      <c r="O9" s="2087"/>
      <c r="P9" s="2087"/>
      <c r="Q9" s="2087"/>
      <c r="R9" s="2087"/>
      <c r="S9" s="2088"/>
      <c r="T9" s="2139" t="s">
        <v>530</v>
      </c>
      <c r="U9" s="2140"/>
      <c r="V9" s="2140"/>
      <c r="W9" s="2140"/>
      <c r="X9" s="2140"/>
      <c r="Y9" s="2140"/>
      <c r="Z9" s="2140"/>
      <c r="AA9" s="2141"/>
    </row>
    <row r="10" spans="1:32" ht="13.5" customHeight="1" x14ac:dyDescent="0.2">
      <c r="A10" s="2146" t="s">
        <v>670</v>
      </c>
      <c r="B10" s="2147"/>
      <c r="C10" s="2147"/>
      <c r="D10" s="2147"/>
      <c r="E10" s="2147"/>
      <c r="F10" s="2147"/>
      <c r="G10" s="2147"/>
      <c r="H10" s="2148"/>
      <c r="I10" s="29"/>
      <c r="J10" s="30"/>
      <c r="K10" s="28"/>
      <c r="R10" s="30"/>
      <c r="S10" s="30"/>
      <c r="T10" s="2142"/>
      <c r="U10" s="2090"/>
      <c r="V10" s="2090"/>
      <c r="W10" s="2090"/>
      <c r="X10" s="2090"/>
      <c r="Y10" s="2090"/>
      <c r="Z10" s="2090"/>
      <c r="AA10" s="2096"/>
    </row>
    <row r="11" spans="1:32" ht="14.25" customHeight="1" x14ac:dyDescent="0.2">
      <c r="A11" s="2149" t="s">
        <v>949</v>
      </c>
      <c r="B11" s="2150"/>
      <c r="C11" s="2150"/>
      <c r="D11" s="2150"/>
      <c r="E11" s="2150"/>
      <c r="F11" s="2150"/>
      <c r="G11" s="2150"/>
      <c r="H11" s="2151"/>
      <c r="I11" s="27"/>
      <c r="J11" s="71"/>
      <c r="K11" s="27"/>
      <c r="O11" s="144"/>
      <c r="P11" s="97" t="s">
        <v>199</v>
      </c>
      <c r="Q11" s="30"/>
      <c r="R11" s="28"/>
      <c r="S11" s="27"/>
      <c r="T11" s="2143"/>
      <c r="U11" s="2144"/>
      <c r="V11" s="2144"/>
      <c r="W11" s="2144"/>
      <c r="X11" s="2144"/>
      <c r="Y11" s="2144"/>
      <c r="Z11" s="2144"/>
      <c r="AA11" s="2145"/>
    </row>
    <row r="12" spans="1:32" ht="13.5" customHeight="1" x14ac:dyDescent="0.2">
      <c r="A12" s="82" t="s">
        <v>919</v>
      </c>
      <c r="B12" s="73"/>
      <c r="C12" s="73"/>
      <c r="D12" s="73"/>
      <c r="E12" s="73"/>
      <c r="F12" s="73"/>
      <c r="G12" s="73"/>
      <c r="H12" s="50"/>
      <c r="I12" s="29"/>
      <c r="J12" s="30"/>
      <c r="K12" s="28"/>
      <c r="O12" s="145" t="s">
        <v>2060</v>
      </c>
      <c r="P12" s="97" t="s">
        <v>200</v>
      </c>
      <c r="Q12" s="71"/>
      <c r="R12" s="30"/>
      <c r="S12" s="30"/>
      <c r="T12" s="82" t="s">
        <v>263</v>
      </c>
      <c r="U12" s="48"/>
      <c r="V12" s="48"/>
      <c r="W12" s="48"/>
      <c r="X12" s="48"/>
      <c r="Y12" s="43"/>
      <c r="Z12" s="43"/>
      <c r="AA12" s="44"/>
    </row>
    <row r="13" spans="1:32" ht="13.5" customHeight="1" x14ac:dyDescent="0.2">
      <c r="A13" s="2102">
        <v>33048205041</v>
      </c>
      <c r="B13" s="2103"/>
      <c r="C13" s="2103"/>
      <c r="D13" s="2103"/>
      <c r="E13" s="2103"/>
      <c r="F13" s="2103"/>
      <c r="G13" s="2103"/>
      <c r="H13" s="2104"/>
      <c r="I13" s="31"/>
      <c r="J13" s="30"/>
      <c r="K13" s="28"/>
      <c r="L13" s="30"/>
      <c r="M13" s="30"/>
      <c r="N13" s="30"/>
      <c r="O13" s="30"/>
      <c r="P13" s="30"/>
      <c r="Q13" s="30"/>
      <c r="R13" s="30"/>
      <c r="S13" s="30"/>
      <c r="T13" s="2108" t="s">
        <v>2051</v>
      </c>
      <c r="U13" s="2109"/>
      <c r="V13" s="2109"/>
      <c r="W13" s="2109"/>
      <c r="X13" s="2109"/>
      <c r="Y13" s="2110"/>
      <c r="Z13" s="2110"/>
      <c r="AA13" s="211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5" t="s">
        <v>2061</v>
      </c>
      <c r="B15" s="2106"/>
      <c r="C15" s="2106"/>
      <c r="D15" s="2106"/>
      <c r="E15" s="2106"/>
      <c r="F15" s="2106"/>
      <c r="G15" s="2106"/>
      <c r="H15" s="2107"/>
      <c r="T15" s="2112" t="s">
        <v>2052</v>
      </c>
      <c r="U15" s="2069"/>
      <c r="V15" s="2069"/>
      <c r="W15" s="2069"/>
      <c r="X15" s="2069"/>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5" t="s">
        <v>2078</v>
      </c>
      <c r="B17" s="2076"/>
      <c r="C17" s="2076"/>
      <c r="D17" s="2076"/>
      <c r="E17" s="2076"/>
      <c r="F17" s="2076"/>
      <c r="G17" s="2076"/>
      <c r="H17" s="2101"/>
      <c r="T17" s="2119" t="s">
        <v>2053</v>
      </c>
      <c r="U17" s="2120"/>
      <c r="V17" s="2120"/>
      <c r="W17" s="2120"/>
      <c r="X17" s="2120"/>
      <c r="Y17" s="2120"/>
      <c r="Z17" s="2120"/>
      <c r="AA17" s="2121"/>
    </row>
    <row r="18" spans="1:27" ht="13.5" customHeight="1" x14ac:dyDescent="0.2">
      <c r="A18" s="82" t="s">
        <v>527</v>
      </c>
      <c r="B18" s="73"/>
      <c r="C18" s="69"/>
      <c r="D18" s="73"/>
      <c r="E18" s="73"/>
      <c r="F18" s="73"/>
      <c r="G18" s="73"/>
      <c r="H18" s="53"/>
      <c r="I18" s="2100" t="s">
        <v>671</v>
      </c>
      <c r="J18" s="2051"/>
      <c r="K18" s="2051"/>
      <c r="L18" s="2051"/>
      <c r="M18" s="2051"/>
      <c r="N18" s="2051"/>
      <c r="O18" s="2051"/>
      <c r="P18" s="2051"/>
      <c r="Q18" s="2051"/>
      <c r="R18" s="2051"/>
      <c r="S18" s="2052"/>
      <c r="T18" s="82" t="s">
        <v>706</v>
      </c>
      <c r="U18" s="48"/>
      <c r="V18" s="69"/>
      <c r="W18" s="47"/>
      <c r="X18" s="82" t="s">
        <v>264</v>
      </c>
      <c r="Y18" s="78"/>
      <c r="Z18" s="154" t="s">
        <v>672</v>
      </c>
      <c r="AA18" s="44"/>
    </row>
    <row r="19" spans="1:27" ht="13.5" customHeight="1" x14ac:dyDescent="0.2">
      <c r="A19" s="2105" t="s">
        <v>2062</v>
      </c>
      <c r="B19" s="2061"/>
      <c r="C19" s="2061"/>
      <c r="D19" s="2061"/>
      <c r="E19" s="2061"/>
      <c r="F19" s="2061"/>
      <c r="G19" s="2061"/>
      <c r="H19" s="2041"/>
      <c r="I19" s="30"/>
      <c r="J19" s="96"/>
      <c r="K19" s="40"/>
      <c r="L19" s="38"/>
      <c r="M19" s="109" t="s">
        <v>312</v>
      </c>
      <c r="P19" s="27"/>
      <c r="Q19" s="27"/>
      <c r="R19" s="27"/>
      <c r="S19" s="31"/>
      <c r="T19" s="2105" t="s">
        <v>2054</v>
      </c>
      <c r="U19" s="2040"/>
      <c r="V19" s="2040"/>
      <c r="W19" s="2041"/>
      <c r="X19" s="2117" t="s">
        <v>2055</v>
      </c>
      <c r="Y19" s="2118"/>
      <c r="Z19" s="2115">
        <v>61615</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2063</v>
      </c>
      <c r="B21" s="2040"/>
      <c r="C21" s="2040"/>
      <c r="D21" s="2040"/>
      <c r="E21" s="2040"/>
      <c r="F21" s="2040"/>
      <c r="G21" s="2040"/>
      <c r="H21" s="2041"/>
      <c r="I21" s="2095" t="s">
        <v>673</v>
      </c>
      <c r="J21" s="2090"/>
      <c r="K21" s="2090"/>
      <c r="L21" s="2090"/>
      <c r="M21" s="2090"/>
      <c r="N21" s="2090"/>
      <c r="O21" s="2090"/>
      <c r="P21" s="2090"/>
      <c r="Q21" s="2090"/>
      <c r="R21" s="2090"/>
      <c r="S21" s="2096"/>
      <c r="T21" s="2130" t="s">
        <v>2056</v>
      </c>
      <c r="U21" s="2131"/>
      <c r="V21" s="2131"/>
      <c r="W21" s="2131"/>
      <c r="X21" s="2136" t="s">
        <v>2057</v>
      </c>
      <c r="Y21" s="2137"/>
      <c r="Z21" s="2137"/>
      <c r="AA21" s="2138"/>
    </row>
    <row r="22" spans="1:27" ht="13.5" customHeight="1" x14ac:dyDescent="0.2">
      <c r="A22" s="84" t="s">
        <v>528</v>
      </c>
      <c r="B22" s="56"/>
      <c r="C22" s="56"/>
      <c r="D22" s="56"/>
      <c r="E22" s="56"/>
      <c r="F22" s="56"/>
      <c r="G22" s="56"/>
      <c r="H22" s="57"/>
      <c r="I22" s="2097" t="s">
        <v>1412</v>
      </c>
      <c r="J22" s="2098"/>
      <c r="K22" s="2098"/>
      <c r="L22" s="2098"/>
      <c r="M22" s="2098"/>
      <c r="N22" s="2098"/>
      <c r="O22" s="2098"/>
      <c r="P22" s="2098"/>
      <c r="Q22" s="2098"/>
      <c r="R22" s="2098"/>
      <c r="S22" s="2099"/>
      <c r="T22" s="82" t="s">
        <v>1499</v>
      </c>
      <c r="U22" s="48"/>
      <c r="V22" s="69"/>
      <c r="W22" s="48"/>
      <c r="X22" s="155" t="s">
        <v>1307</v>
      </c>
      <c r="Z22" s="43"/>
      <c r="AA22" s="44"/>
    </row>
    <row r="23" spans="1:27" ht="13.5" customHeight="1" x14ac:dyDescent="0.2">
      <c r="A23" s="2092" t="s">
        <v>2064</v>
      </c>
      <c r="B23" s="2093"/>
      <c r="C23" s="2093"/>
      <c r="D23" s="2093"/>
      <c r="E23" s="2093"/>
      <c r="F23" s="2093"/>
      <c r="G23" s="2093"/>
      <c r="H23" s="2094"/>
      <c r="T23" s="2075" t="s">
        <v>2058</v>
      </c>
      <c r="U23" s="2129"/>
      <c r="V23" s="2129"/>
      <c r="W23" s="2129"/>
      <c r="X23" s="2133">
        <v>44530</v>
      </c>
      <c r="Y23" s="2134"/>
      <c r="Z23" s="2134"/>
      <c r="AA23" s="2135"/>
    </row>
    <row r="24" spans="1:27" ht="14.1" customHeight="1" x14ac:dyDescent="0.2">
      <c r="A24" s="85" t="s">
        <v>672</v>
      </c>
      <c r="B24" s="46"/>
      <c r="C24" s="46"/>
      <c r="D24" s="46"/>
      <c r="E24" s="46"/>
      <c r="F24" s="46"/>
      <c r="G24" s="46"/>
      <c r="H24" s="58"/>
      <c r="J24" s="2062" t="str">
        <f>IF(B5="x",IF(AUDITCHECK!D29="AFR form Incomplete.","",IF(AUDITCHECK!D29="Deficit reduction plan is required.","School District must complete a deficit reduction plan in the 2020-2021 Budget",)),"")</f>
        <v/>
      </c>
      <c r="K24" s="2062"/>
      <c r="L24" s="2062"/>
      <c r="M24" s="2062"/>
      <c r="N24" s="2062"/>
      <c r="O24" s="2062"/>
      <c r="P24" s="2062"/>
      <c r="Q24" s="2062"/>
      <c r="R24" s="2062"/>
      <c r="S24" s="2063"/>
      <c r="T24" s="102" t="s">
        <v>528</v>
      </c>
      <c r="U24" s="103"/>
      <c r="V24" s="103"/>
      <c r="W24" s="103"/>
      <c r="X24" s="104"/>
      <c r="Y24" s="104"/>
      <c r="Z24" s="104"/>
      <c r="AA24" s="105"/>
    </row>
    <row r="25" spans="1:27" ht="14.1" customHeight="1" x14ac:dyDescent="0.2">
      <c r="A25" s="2039">
        <v>61401</v>
      </c>
      <c r="B25" s="2040"/>
      <c r="C25" s="2040"/>
      <c r="D25" s="2040"/>
      <c r="E25" s="2040"/>
      <c r="F25" s="2040"/>
      <c r="G25" s="2040"/>
      <c r="H25" s="2041"/>
      <c r="I25" s="110"/>
      <c r="J25" s="2064"/>
      <c r="K25" s="2064"/>
      <c r="L25" s="2064"/>
      <c r="M25" s="2064"/>
      <c r="N25" s="2064"/>
      <c r="O25" s="2064"/>
      <c r="P25" s="2064"/>
      <c r="Q25" s="2064"/>
      <c r="R25" s="2064"/>
      <c r="S25" s="2065"/>
      <c r="T25" s="2126" t="s">
        <v>2059</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0" t="s">
        <v>1494</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2060</v>
      </c>
      <c r="M29" s="40" t="s">
        <v>99</v>
      </c>
      <c r="N29" s="32" t="s">
        <v>1506</v>
      </c>
      <c r="O29" s="32"/>
      <c r="P29" s="32"/>
      <c r="Q29" s="32"/>
      <c r="R29" s="32"/>
      <c r="S29" s="120"/>
      <c r="T29" s="6"/>
      <c r="U29" s="6"/>
      <c r="V29" s="6"/>
      <c r="W29" s="6"/>
      <c r="X29" s="6"/>
      <c r="Y29" s="6"/>
      <c r="Z29" s="6"/>
      <c r="AA29" s="129"/>
    </row>
    <row r="30" spans="1:27" ht="13.5" customHeight="1" x14ac:dyDescent="0.2">
      <c r="A30" s="149"/>
      <c r="B30" s="133" t="s">
        <v>2060</v>
      </c>
      <c r="C30" s="121" t="s">
        <v>1154</v>
      </c>
      <c r="D30" s="28"/>
      <c r="E30" s="28"/>
      <c r="F30" s="136"/>
      <c r="G30" s="111"/>
      <c r="H30" s="111"/>
      <c r="I30" s="51"/>
      <c r="J30" s="99"/>
      <c r="K30" s="28" t="s">
        <v>572</v>
      </c>
      <c r="L30" s="144" t="s">
        <v>2060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2060</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2060</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5" t="s">
        <v>2065</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528</v>
      </c>
      <c r="B39" s="2046"/>
      <c r="C39" s="69"/>
      <c r="D39" s="66"/>
      <c r="E39" s="66"/>
      <c r="F39" s="76"/>
      <c r="G39" s="66"/>
      <c r="H39" s="53"/>
      <c r="I39" s="2045" t="s">
        <v>528</v>
      </c>
      <c r="J39" s="2046"/>
      <c r="K39" s="2046"/>
      <c r="L39" s="2046"/>
      <c r="M39" s="2046"/>
      <c r="N39" s="64"/>
      <c r="O39" s="69"/>
      <c r="P39" s="69"/>
      <c r="Q39" s="75"/>
      <c r="R39" s="69"/>
      <c r="S39" s="53"/>
      <c r="T39" s="69" t="s">
        <v>528</v>
      </c>
      <c r="U39" s="48"/>
      <c r="V39" s="69"/>
      <c r="W39" s="47"/>
      <c r="X39" s="75"/>
      <c r="Y39" s="43"/>
      <c r="Z39" s="43"/>
      <c r="AA39" s="44"/>
    </row>
    <row r="40" spans="1:27" ht="13.5" customHeight="1" x14ac:dyDescent="0.2">
      <c r="A40" s="2053" t="s">
        <v>2066</v>
      </c>
      <c r="B40" s="2054"/>
      <c r="C40" s="2055"/>
      <c r="D40" s="2055"/>
      <c r="E40" s="2055"/>
      <c r="F40" s="2056"/>
      <c r="G40" s="2056"/>
      <c r="H40" s="2057"/>
      <c r="I40" s="2078"/>
      <c r="J40" s="2079"/>
      <c r="K40" s="2079"/>
      <c r="L40" s="2079"/>
      <c r="M40" s="2079"/>
      <c r="N40" s="2079"/>
      <c r="O40" s="2079"/>
      <c r="P40" s="2079"/>
      <c r="Q40" s="2079"/>
      <c r="R40" s="2079"/>
      <c r="S40" s="2080"/>
      <c r="T40" s="2078"/>
      <c r="U40" s="2132"/>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t="s">
        <v>2067</v>
      </c>
      <c r="B42" s="2059"/>
      <c r="C42" s="2060"/>
      <c r="D42" s="2058" t="s">
        <v>2068</v>
      </c>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33" sqref="B3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5" t="s">
        <v>1056</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1591</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62" colorId="8" zoomScaleNormal="100" workbookViewId="0">
      <selection activeCell="M74" sqref="M7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1158</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0" t="s">
        <v>1616</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2060</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t="s">
        <v>2069</v>
      </c>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1312</v>
      </c>
      <c r="B70" s="2173"/>
      <c r="C70" s="2173"/>
      <c r="D70" s="2173"/>
      <c r="E70" s="2174"/>
      <c r="F70" s="2174"/>
      <c r="G70" s="2174"/>
      <c r="H70" s="2174"/>
      <c r="I70" s="217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1309</v>
      </c>
      <c r="B83" s="2175"/>
      <c r="C83" s="2175"/>
      <c r="D83" s="217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6" t="s">
        <v>1989</v>
      </c>
      <c r="B85" s="2186"/>
      <c r="C85" s="2186"/>
      <c r="D85" s="2187"/>
      <c r="E85" s="1544">
        <v>0</v>
      </c>
      <c r="F85" s="1544">
        <v>0</v>
      </c>
      <c r="G85" s="1544">
        <v>0</v>
      </c>
      <c r="H85" s="1544">
        <v>0</v>
      </c>
      <c r="I85" s="1904">
        <v>0</v>
      </c>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8" t="s">
        <v>1989</v>
      </c>
      <c r="B88" s="2189"/>
      <c r="C88" s="2189"/>
      <c r="D88" s="2190"/>
      <c r="E88" s="1544">
        <v>0</v>
      </c>
      <c r="F88" s="1544">
        <v>0</v>
      </c>
      <c r="G88" s="1544">
        <v>0</v>
      </c>
      <c r="H88" s="1544">
        <v>0</v>
      </c>
      <c r="I88" s="1904">
        <v>0</v>
      </c>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2051</v>
      </c>
      <c r="D114" s="216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1319</v>
      </c>
      <c r="D117" s="2168"/>
      <c r="E117" s="2169"/>
      <c r="F117" s="2169"/>
      <c r="G117" s="2169"/>
      <c r="H117" s="216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L21" sqref="L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495580</v>
      </c>
      <c r="E16" s="1547"/>
      <c r="F16" s="1546">
        <f>SUM('Acct Summary 7-8'!C17,'Acct Summary 7-8'!D17,'Acct Summary 7-8'!F17)</f>
        <v>449013</v>
      </c>
      <c r="G16" s="1547"/>
      <c r="H16" s="1546">
        <f>SUM(D16-F16)</f>
        <v>46567</v>
      </c>
      <c r="I16" s="1548"/>
      <c r="J16" s="1546">
        <f>SUM('Acct Summary 7-8'!C81,'Acct Summary 7-8'!D81,'Acct Summary 7-8'!F81,'Acct Summary 7-8'!I81)</f>
        <v>374412</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1396</v>
      </c>
      <c r="B3" s="2211"/>
      <c r="C3" s="2211"/>
      <c r="D3" s="2211"/>
      <c r="E3" s="2211"/>
      <c r="F3" s="2211"/>
      <c r="G3" s="2211"/>
      <c r="H3" s="2211"/>
      <c r="I3" s="2211"/>
      <c r="J3" s="2211"/>
      <c r="K3" s="2211"/>
      <c r="L3" s="2211"/>
      <c r="M3" s="2211"/>
      <c r="N3" s="2211"/>
      <c r="O3" s="2211"/>
      <c r="P3" s="2211"/>
      <c r="Q3" s="2211"/>
      <c r="R3" s="2211"/>
    </row>
    <row r="4" spans="1:18" x14ac:dyDescent="0.2">
      <c r="A4" s="2212" t="s">
        <v>1537</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Galesburg Area vocational Center</v>
      </c>
      <c r="E7" s="368"/>
      <c r="G7" s="247"/>
      <c r="H7" s="364"/>
      <c r="I7" s="364"/>
      <c r="J7" s="364"/>
      <c r="K7" s="364"/>
      <c r="L7" s="307"/>
      <c r="M7" s="307"/>
      <c r="N7" s="307"/>
      <c r="O7" s="307"/>
      <c r="P7" s="307"/>
    </row>
    <row r="8" spans="1:18" ht="12.75" x14ac:dyDescent="0.2">
      <c r="A8" s="307"/>
      <c r="B8" s="307"/>
      <c r="C8" s="366" t="s">
        <v>1115</v>
      </c>
      <c r="D8" s="369">
        <f>COVER!A13</f>
        <v>33048205041</v>
      </c>
      <c r="E8" s="370"/>
      <c r="G8" s="307"/>
      <c r="H8" s="307"/>
      <c r="I8" s="307"/>
      <c r="J8" s="307"/>
      <c r="K8" s="307"/>
      <c r="L8" s="307"/>
      <c r="M8" s="307"/>
      <c r="N8" s="307"/>
      <c r="O8" s="307"/>
      <c r="P8" s="307"/>
    </row>
    <row r="9" spans="1:18" ht="12.75" x14ac:dyDescent="0.2">
      <c r="A9" s="307"/>
      <c r="B9" s="307"/>
      <c r="C9" s="366" t="s">
        <v>708</v>
      </c>
      <c r="D9" s="371" t="str">
        <f>COVER!A15</f>
        <v>Knox and Warren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374412</v>
      </c>
      <c r="I12" s="380"/>
      <c r="J12" s="380"/>
      <c r="K12" s="1559">
        <f>TRUNC((H12/H13*100000),5)/100000</f>
        <v>0.75550264330000005</v>
      </c>
      <c r="L12" s="381"/>
      <c r="M12" s="337" t="s">
        <v>1134</v>
      </c>
      <c r="N12" s="337"/>
      <c r="O12" s="1562">
        <v>0.35</v>
      </c>
      <c r="P12" s="213"/>
      <c r="Q12" s="213"/>
    </row>
    <row r="13" spans="1:18" s="382" customFormat="1" ht="12.75" x14ac:dyDescent="0.2">
      <c r="A13" s="213"/>
      <c r="B13" s="377"/>
      <c r="C13" s="2208" t="s">
        <v>1313</v>
      </c>
      <c r="D13" s="2209"/>
      <c r="E13" s="213"/>
      <c r="F13" s="383" t="s">
        <v>788</v>
      </c>
      <c r="G13" s="378"/>
      <c r="H13" s="1551">
        <f>SUM('Acct Summary 7-8'!C8+'Acct Summary 7-8'!D8+'Acct Summary 7-8'!F8+'Acct Summary 7-8'!I8)+H14</f>
        <v>495580</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449013</v>
      </c>
      <c r="I17" s="380"/>
      <c r="J17" s="389"/>
      <c r="K17" s="1559">
        <f>TRUNC((H17/H18*100000),5)/100000</f>
        <v>0.9060353525</v>
      </c>
      <c r="L17" s="381"/>
      <c r="M17" s="390" t="s">
        <v>1161</v>
      </c>
      <c r="O17" s="1565" t="str">
        <f>IF(AND(O16="2", J20 &gt; 2),"1",IF(AND(O16 = "1", J20 &gt; 2),"2",IF(AND(O16="1", J20 &gt;1),"1","0")))</f>
        <v>0</v>
      </c>
      <c r="P17" s="213"/>
    </row>
    <row r="18" spans="1:18" s="382" customFormat="1" ht="11.25" x14ac:dyDescent="0.2">
      <c r="A18" s="213"/>
      <c r="B18" s="377"/>
      <c r="C18" s="2208" t="s">
        <v>1306</v>
      </c>
      <c r="D18" s="2209"/>
      <c r="E18" s="213"/>
      <c r="F18" s="391" t="s">
        <v>789</v>
      </c>
      <c r="G18" s="378"/>
      <c r="H18" s="1551">
        <f>SUM('Acct Summary 7-8'!C8+'Acct Summary 7-8'!D8+'Acct Summary 7-8'!F8+'Acct Summary 7-8'!I8)+H19</f>
        <v>495580</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5" t="s">
        <v>1395</v>
      </c>
      <c r="D24" s="2205"/>
      <c r="E24" s="213"/>
      <c r="F24" s="213" t="s">
        <v>442</v>
      </c>
      <c r="G24" s="378"/>
      <c r="H24" s="1551">
        <f>SUM('Assets-Liab 5-6'!C4+'Assets-Liab 5-6'!D4+'Assets-Liab 5-6'!F4+'Assets-Liab 5-6'!I4+'Assets-Liab 5-6'!C5+'Assets-Liab 5-6'!D5+'Assets-Liab 5-6'!F5+'Assets-Liab 5-6'!I5)</f>
        <v>406651</v>
      </c>
      <c r="I24" s="394"/>
      <c r="J24" s="394"/>
      <c r="K24" s="1555">
        <f>TRUNC(((H24/H25*100000)/100000),2)</f>
        <v>326.02999999999997</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1247.2583299999999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8" zoomScaleNormal="98" workbookViewId="0">
      <pane ySplit="2" topLeftCell="A3" activePane="bottomLeft" state="frozen"/>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306"/>
      <c r="D3" s="1307"/>
      <c r="E3" s="1307"/>
      <c r="F3" s="1307"/>
      <c r="G3" s="1307"/>
      <c r="H3" s="1307"/>
      <c r="I3" s="1307"/>
      <c r="J3" s="1307"/>
      <c r="K3" s="1307"/>
      <c r="L3" s="1307"/>
      <c r="M3" s="1308"/>
      <c r="N3" s="1309"/>
    </row>
    <row r="4" spans="1:14" ht="13.5" customHeight="1" x14ac:dyDescent="0.2">
      <c r="A4" s="427" t="s">
        <v>1632</v>
      </c>
      <c r="B4" s="428"/>
      <c r="C4" s="1572">
        <v>406651</v>
      </c>
      <c r="D4" s="1573"/>
      <c r="E4" s="1573"/>
      <c r="F4" s="1573"/>
      <c r="G4" s="1573"/>
      <c r="H4" s="1573"/>
      <c r="I4" s="1573"/>
      <c r="J4" s="1574"/>
      <c r="K4" s="1573"/>
      <c r="L4" s="1573"/>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406651</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c r="N16" s="1592"/>
    </row>
    <row r="17" spans="1:14" s="433" customFormat="1" ht="12.75" customHeight="1" x14ac:dyDescent="0.2">
      <c r="A17" s="431" t="s">
        <v>1386</v>
      </c>
      <c r="B17" s="432">
        <v>230</v>
      </c>
      <c r="C17" s="1582"/>
      <c r="D17" s="1582"/>
      <c r="E17" s="1582"/>
      <c r="F17" s="1582"/>
      <c r="G17" s="1582"/>
      <c r="H17" s="1582"/>
      <c r="I17" s="1582"/>
      <c r="J17" s="1582"/>
      <c r="K17" s="1582"/>
      <c r="L17" s="1582"/>
      <c r="M17" s="1574"/>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97048</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97048</v>
      </c>
      <c r="N23" s="1594">
        <f>SUM(N21:N22)</f>
        <v>0</v>
      </c>
    </row>
    <row r="24" spans="1:14" ht="18" customHeight="1" thickTop="1" x14ac:dyDescent="0.2">
      <c r="A24" s="2219" t="s">
        <v>594</v>
      </c>
      <c r="B24" s="2220"/>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v>273</v>
      </c>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v>31966</v>
      </c>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c r="M33" s="1575"/>
      <c r="N33" s="1576"/>
    </row>
    <row r="34" spans="1:14" ht="13.5" customHeight="1" thickBot="1" x14ac:dyDescent="0.25">
      <c r="A34" s="1427" t="s">
        <v>649</v>
      </c>
      <c r="B34" s="1428"/>
      <c r="C34" s="1600">
        <f>SUM(C25:C33)</f>
        <v>32239</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21" t="s">
        <v>526</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0</v>
      </c>
      <c r="D38" s="1573">
        <v>0</v>
      </c>
      <c r="E38" s="1573">
        <v>0</v>
      </c>
      <c r="F38" s="1573">
        <v>0</v>
      </c>
      <c r="G38" s="1573">
        <v>0</v>
      </c>
      <c r="H38" s="1573">
        <v>0</v>
      </c>
      <c r="I38" s="1573">
        <v>0</v>
      </c>
      <c r="J38" s="1573">
        <v>0</v>
      </c>
      <c r="K38" s="1573">
        <v>0</v>
      </c>
      <c r="L38" s="1586"/>
      <c r="M38" s="1604"/>
      <c r="N38" s="1604"/>
    </row>
    <row r="39" spans="1:14" s="307" customFormat="1" ht="13.5" customHeight="1" x14ac:dyDescent="0.2">
      <c r="A39" s="438" t="s">
        <v>339</v>
      </c>
      <c r="B39" s="432">
        <v>730</v>
      </c>
      <c r="C39" s="1573">
        <f>'Acct Summary 7-8'!C81-C38</f>
        <v>374412</v>
      </c>
      <c r="D39" s="1573">
        <f>'Acct Summary 7-8'!D81-D38</f>
        <v>0</v>
      </c>
      <c r="E39" s="1573">
        <f>'Acct Summary 7-8'!E81-E38</f>
        <v>0</v>
      </c>
      <c r="F39" s="1573">
        <f>'Acct Summary 7-8'!F81-F38</f>
        <v>0</v>
      </c>
      <c r="G39" s="1573">
        <f>'Acct Summary 7-8'!G81-G38</f>
        <v>0</v>
      </c>
      <c r="H39" s="1573">
        <f>'Acct Summary 7-8'!H81-H38</f>
        <v>0</v>
      </c>
      <c r="I39" s="1573">
        <f>'Acct Summary 7-8'!I81-I38</f>
        <v>0</v>
      </c>
      <c r="J39" s="1573">
        <f>'Acct Summary 7-8'!J81-J38</f>
        <v>0</v>
      </c>
      <c r="K39" s="1573">
        <f>'Acct Summary 7-8'!K81-K38</f>
        <v>0</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97048</v>
      </c>
      <c r="N40" s="1604"/>
    </row>
    <row r="41" spans="1:14" ht="13.5" customHeight="1" thickBot="1" x14ac:dyDescent="0.25">
      <c r="A41" s="1426" t="s">
        <v>650</v>
      </c>
      <c r="B41" s="1405"/>
      <c r="C41" s="1594">
        <f>(SUM(C34,C37,C38,C39))</f>
        <v>406651</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97048</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notes are an intergral part of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8" zoomScaleNormal="98"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1165</v>
      </c>
      <c r="B3" s="2244"/>
      <c r="C3" s="1311"/>
      <c r="D3" s="1312"/>
      <c r="E3" s="1312"/>
      <c r="F3" s="1312"/>
      <c r="G3" s="1312"/>
      <c r="H3" s="1312"/>
      <c r="I3" s="1312"/>
      <c r="J3" s="1312"/>
      <c r="K3" s="1313"/>
      <c r="L3" s="446"/>
    </row>
    <row r="4" spans="1:13" ht="15.75" customHeight="1" x14ac:dyDescent="0.2">
      <c r="A4" s="1537" t="s">
        <v>1482</v>
      </c>
      <c r="B4" s="1538">
        <v>1000</v>
      </c>
      <c r="C4" s="1606">
        <f>'Revenues 9-14'!C109</f>
        <v>392698</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84964</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17918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495580</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v>0</v>
      </c>
      <c r="D9" s="1613"/>
      <c r="E9" s="1586"/>
      <c r="F9" s="1586"/>
      <c r="G9" s="1614"/>
      <c r="H9" s="1586"/>
      <c r="I9" s="1609" t="s">
        <v>1159</v>
      </c>
      <c r="J9" s="1583"/>
      <c r="K9" s="1586"/>
      <c r="L9" s="325"/>
    </row>
    <row r="10" spans="1:13" s="452" customFormat="1" ht="13.5" thickBot="1" x14ac:dyDescent="0.25">
      <c r="A10" s="1426" t="s">
        <v>1163</v>
      </c>
      <c r="B10" s="1407"/>
      <c r="C10" s="1594">
        <f>SUM(C8:C9)</f>
        <v>495580</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17" t="s">
        <v>1166</v>
      </c>
      <c r="B11" s="2218"/>
      <c r="C11" s="1602"/>
      <c r="D11" s="1603"/>
      <c r="E11" s="1603"/>
      <c r="F11" s="1603"/>
      <c r="G11" s="1603"/>
      <c r="H11" s="1603"/>
      <c r="I11" s="1603"/>
      <c r="J11" s="1603"/>
      <c r="K11" s="1615"/>
      <c r="L11" s="451"/>
    </row>
    <row r="12" spans="1:13" ht="15.75" customHeight="1" x14ac:dyDescent="0.2">
      <c r="A12" s="1314" t="s">
        <v>453</v>
      </c>
      <c r="B12" s="1316">
        <v>1000</v>
      </c>
      <c r="C12" s="1606">
        <f>'Expenditures 15-22'!K33</f>
        <v>333626</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89830</v>
      </c>
      <c r="D13" s="1607">
        <f>'Expenditures 15-22'!K129</f>
        <v>0</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25557</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449013</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449013</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33" t="s">
        <v>1636</v>
      </c>
      <c r="B20" s="2234"/>
      <c r="C20" s="1622">
        <f>C8-C17</f>
        <v>46567</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45" t="s">
        <v>591</v>
      </c>
      <c r="B21" s="2246"/>
      <c r="C21" s="1602"/>
      <c r="D21" s="1603"/>
      <c r="E21" s="1603"/>
      <c r="F21" s="1603"/>
      <c r="G21" s="1603"/>
      <c r="H21" s="1603"/>
      <c r="I21" s="1603"/>
      <c r="J21" s="1603"/>
      <c r="K21" s="1615"/>
      <c r="L21" s="453"/>
    </row>
    <row r="22" spans="1:12" ht="15.75" customHeight="1" collapsed="1" x14ac:dyDescent="0.2">
      <c r="A22" s="2241" t="s">
        <v>592</v>
      </c>
      <c r="B22" s="2242"/>
      <c r="C22" s="1582"/>
      <c r="D22" s="1582"/>
      <c r="E22" s="1582"/>
      <c r="F22" s="1582"/>
      <c r="G22" s="1582"/>
      <c r="H22" s="1582"/>
      <c r="I22" s="1582"/>
      <c r="J22" s="1582"/>
      <c r="K22" s="1582"/>
      <c r="L22" s="325"/>
    </row>
    <row r="23" spans="1:12" s="433" customFormat="1" ht="15.75" customHeight="1" x14ac:dyDescent="0.2">
      <c r="A23" s="2237" t="s">
        <v>290</v>
      </c>
      <c r="B23" s="2238"/>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9" t="s">
        <v>974</v>
      </c>
      <c r="B32" s="2240"/>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7" t="s">
        <v>371</v>
      </c>
      <c r="B44" s="2248"/>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3" t="s">
        <v>437</v>
      </c>
      <c r="B76" s="2224"/>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5" t="s">
        <v>1167</v>
      </c>
      <c r="B77" s="2226"/>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9" t="s">
        <v>593</v>
      </c>
      <c r="B78" s="2230"/>
      <c r="C78" s="1629">
        <f t="shared" ref="C78:K78" si="9">C20+C77</f>
        <v>46567</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327845</v>
      </c>
      <c r="D79" s="1630"/>
      <c r="E79" s="1630"/>
      <c r="F79" s="1630"/>
      <c r="G79" s="1630"/>
      <c r="H79" s="1630"/>
      <c r="I79" s="1630"/>
      <c r="J79" s="1630"/>
      <c r="K79" s="1630"/>
      <c r="L79" s="325"/>
    </row>
    <row r="80" spans="1:12" x14ac:dyDescent="0.2">
      <c r="A80" s="2235" t="s">
        <v>1772</v>
      </c>
      <c r="B80" s="2236"/>
      <c r="C80" s="1574"/>
      <c r="D80" s="1574"/>
      <c r="E80" s="1574"/>
      <c r="F80" s="1574"/>
      <c r="G80" s="1574"/>
      <c r="H80" s="1574"/>
      <c r="I80" s="1574"/>
      <c r="J80" s="1574"/>
      <c r="K80" s="1574"/>
      <c r="L80" s="325"/>
    </row>
    <row r="81" spans="1:12" ht="13.5" thickBot="1" x14ac:dyDescent="0.25">
      <c r="A81" s="2227" t="str">
        <f>"Fund Balances - June 30, "&amp;'AFR20'!E2</f>
        <v>Fund Balances - June 30, 2020</v>
      </c>
      <c r="B81" s="2228"/>
      <c r="C81" s="1594">
        <f>(SUM(C78:C80))</f>
        <v>374412</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46567</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0.12437368460412594</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notes are an intergral part of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8" zoomScaleNormal="98" zoomScaleSheetLayoutView="75" workbookViewId="0">
      <pane ySplit="2" topLeftCell="A195" activePane="bottomLeft" state="frozen"/>
      <selection pane="bottomLeft" activeCell="C220" sqref="C22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1779</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c r="D5" s="1586"/>
      <c r="E5" s="1573"/>
      <c r="F5" s="1631"/>
      <c r="G5" s="1573"/>
      <c r="H5" s="1573"/>
      <c r="I5" s="1573"/>
      <c r="J5" s="1574"/>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c r="D7" s="1573"/>
      <c r="E7" s="1575"/>
      <c r="F7" s="1574"/>
      <c r="G7" s="1574"/>
      <c r="H7" s="1574"/>
      <c r="I7" s="1575"/>
      <c r="J7" s="1575"/>
      <c r="K7" s="1575"/>
    </row>
    <row r="8" spans="1:12" x14ac:dyDescent="0.2">
      <c r="A8" s="427" t="s">
        <v>410</v>
      </c>
      <c r="B8" s="429">
        <v>1150</v>
      </c>
      <c r="C8" s="1580"/>
      <c r="D8" s="1580"/>
      <c r="E8" s="1582"/>
      <c r="F8" s="1582"/>
      <c r="G8" s="1586"/>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v>381112</v>
      </c>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381112</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3966</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3966</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v>3993</v>
      </c>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3627</v>
      </c>
      <c r="D107" s="1573"/>
      <c r="E107" s="1573"/>
      <c r="F107" s="1573"/>
      <c r="G107" s="1573"/>
      <c r="H107" s="1573"/>
      <c r="I107" s="1573"/>
      <c r="J107" s="1574"/>
      <c r="K107" s="1573"/>
    </row>
    <row r="108" spans="1:12" ht="12.75" customHeight="1" thickBot="1" x14ac:dyDescent="0.25">
      <c r="A108" s="1406" t="s">
        <v>484</v>
      </c>
      <c r="B108" s="1408"/>
      <c r="C108" s="1633">
        <f>SUM(C95:C107)</f>
        <v>7620</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392698</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84964</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84964</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c r="G152" s="1574"/>
      <c r="H152" s="1575"/>
      <c r="I152" s="1575"/>
      <c r="J152" s="1575"/>
      <c r="K152" s="1575"/>
    </row>
    <row r="153" spans="1:11" ht="12.75" customHeight="1" x14ac:dyDescent="0.2">
      <c r="A153" s="427" t="s">
        <v>1048</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1" t="s">
        <v>395</v>
      </c>
      <c r="B169" s="2252"/>
      <c r="C169" s="1658">
        <f t="shared" ref="C169:K169" si="6">SUM(C132,C141,C145,C146:C150,C155,C156:C167,C168)</f>
        <v>84964</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84964</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3" t="s">
        <v>1475</v>
      </c>
      <c r="B172" s="2254"/>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7" t="s">
        <v>1646</v>
      </c>
      <c r="B175" s="225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1645</v>
      </c>
      <c r="B176" s="2262"/>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9" t="s">
        <v>780</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1780</v>
      </c>
      <c r="B182" s="225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v>17918</v>
      </c>
      <c r="D220" s="1573"/>
      <c r="E220" s="1575"/>
      <c r="F220" s="1575"/>
      <c r="G220" s="1573"/>
      <c r="H220" s="1575"/>
      <c r="I220" s="1575"/>
      <c r="J220" s="1575"/>
      <c r="K220" s="1575"/>
    </row>
    <row r="221" spans="1:11" ht="12.75" customHeight="1" thickBot="1" x14ac:dyDescent="0.25">
      <c r="A221" s="1415" t="s">
        <v>1076</v>
      </c>
      <c r="B221" s="1416"/>
      <c r="C221" s="1633">
        <f>SUM(C219:C220)</f>
        <v>17918</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17918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17918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495580</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notes are an intergral part of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02" zoomScaleNormal="102" workbookViewId="0">
      <pane ySplit="2" topLeftCell="A96" activePane="bottomLeft" state="frozen"/>
      <selection pane="bottomLeft" activeCell="K114" sqref="K11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1" t="s">
        <v>294</v>
      </c>
      <c r="B3" s="2272"/>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c r="D5" s="1573"/>
      <c r="E5" s="1573"/>
      <c r="F5" s="1573"/>
      <c r="G5" s="1573"/>
      <c r="H5" s="1573"/>
      <c r="I5" s="1574"/>
      <c r="J5" s="1574"/>
      <c r="K5" s="1672">
        <f>SUM(C5:J5)</f>
        <v>0</v>
      </c>
      <c r="L5" s="1573"/>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c r="D8" s="1573"/>
      <c r="E8" s="1573"/>
      <c r="F8" s="1573"/>
      <c r="G8" s="1573"/>
      <c r="H8" s="1573"/>
      <c r="I8" s="1574"/>
      <c r="J8" s="1574"/>
      <c r="K8" s="1672">
        <f t="shared" si="0"/>
        <v>0</v>
      </c>
      <c r="L8" s="1573"/>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272263</v>
      </c>
      <c r="D13" s="1573">
        <v>28584</v>
      </c>
      <c r="E13" s="1573">
        <v>3653</v>
      </c>
      <c r="F13" s="1573">
        <v>29126</v>
      </c>
      <c r="G13" s="1573"/>
      <c r="H13" s="1573"/>
      <c r="I13" s="1574"/>
      <c r="J13" s="1574"/>
      <c r="K13" s="1672">
        <f t="shared" si="0"/>
        <v>333626</v>
      </c>
      <c r="L13" s="1573">
        <v>432267</v>
      </c>
    </row>
    <row r="14" spans="1:14" x14ac:dyDescent="0.2">
      <c r="A14" s="1274" t="s">
        <v>957</v>
      </c>
      <c r="B14" s="503">
        <v>1500</v>
      </c>
      <c r="C14" s="1573"/>
      <c r="D14" s="1573"/>
      <c r="E14" s="1573"/>
      <c r="F14" s="1573"/>
      <c r="G14" s="1573"/>
      <c r="H14" s="1573"/>
      <c r="I14" s="1574"/>
      <c r="J14" s="1574"/>
      <c r="K14" s="1672">
        <f t="shared" si="0"/>
        <v>0</v>
      </c>
      <c r="L14" s="1573"/>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272263</v>
      </c>
      <c r="D33" s="1674">
        <f t="shared" ref="D33:L33" si="1">SUM(D5:D32)</f>
        <v>28584</v>
      </c>
      <c r="E33" s="1674">
        <f t="shared" si="1"/>
        <v>3653</v>
      </c>
      <c r="F33" s="1674">
        <f t="shared" si="1"/>
        <v>29126</v>
      </c>
      <c r="G33" s="1674">
        <f t="shared" si="1"/>
        <v>0</v>
      </c>
      <c r="H33" s="1674">
        <f t="shared" si="1"/>
        <v>0</v>
      </c>
      <c r="I33" s="1674">
        <f t="shared" si="1"/>
        <v>0</v>
      </c>
      <c r="J33" s="1674">
        <f t="shared" si="1"/>
        <v>0</v>
      </c>
      <c r="K33" s="1674">
        <f t="shared" si="1"/>
        <v>333626</v>
      </c>
      <c r="L33" s="1674">
        <f t="shared" si="1"/>
        <v>432267</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0</v>
      </c>
      <c r="D42" s="1674">
        <f t="shared" ref="D42:L42" si="3">SUM(D36:D41)</f>
        <v>0</v>
      </c>
      <c r="E42" s="1674">
        <f t="shared" si="3"/>
        <v>0</v>
      </c>
      <c r="F42" s="1674">
        <f t="shared" si="3"/>
        <v>0</v>
      </c>
      <c r="G42" s="1674">
        <f t="shared" si="3"/>
        <v>0</v>
      </c>
      <c r="H42" s="1674">
        <f t="shared" si="3"/>
        <v>0</v>
      </c>
      <c r="I42" s="1674">
        <f t="shared" si="3"/>
        <v>0</v>
      </c>
      <c r="J42" s="1674">
        <f t="shared" si="3"/>
        <v>0</v>
      </c>
      <c r="K42" s="1674">
        <f t="shared" si="3"/>
        <v>0</v>
      </c>
      <c r="L42" s="1674">
        <f t="shared" si="3"/>
        <v>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c r="F44" s="1586"/>
      <c r="G44" s="1586"/>
      <c r="H44" s="1586"/>
      <c r="I44" s="1574"/>
      <c r="J44" s="1574"/>
      <c r="K44" s="1678">
        <f>SUM(C44:J44)</f>
        <v>0</v>
      </c>
      <c r="L44" s="1586"/>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0</v>
      </c>
      <c r="E47" s="1674">
        <f t="shared" si="4"/>
        <v>0</v>
      </c>
      <c r="F47" s="1674">
        <f t="shared" si="4"/>
        <v>0</v>
      </c>
      <c r="G47" s="1674">
        <f t="shared" si="4"/>
        <v>0</v>
      </c>
      <c r="H47" s="1674">
        <f t="shared" si="4"/>
        <v>0</v>
      </c>
      <c r="I47" s="1674">
        <f t="shared" si="4"/>
        <v>0</v>
      </c>
      <c r="J47" s="1674">
        <f t="shared" si="4"/>
        <v>0</v>
      </c>
      <c r="K47" s="1674">
        <f t="shared" si="4"/>
        <v>0</v>
      </c>
      <c r="L47" s="1674">
        <f>SUM(L44:L46)</f>
        <v>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c r="F49" s="1586"/>
      <c r="G49" s="1586"/>
      <c r="H49" s="1586"/>
      <c r="I49" s="1574"/>
      <c r="J49" s="1574"/>
      <c r="K49" s="1678">
        <f>SUM(C49:J49)</f>
        <v>0</v>
      </c>
      <c r="L49" s="1586"/>
    </row>
    <row r="50" spans="1:14" x14ac:dyDescent="0.2">
      <c r="A50" s="1274" t="s">
        <v>813</v>
      </c>
      <c r="B50" s="503">
        <v>2320</v>
      </c>
      <c r="C50" s="1573"/>
      <c r="D50" s="1573"/>
      <c r="E50" s="1573"/>
      <c r="F50" s="1573"/>
      <c r="G50" s="1573"/>
      <c r="H50" s="1573"/>
      <c r="I50" s="1574"/>
      <c r="J50" s="1574"/>
      <c r="K50" s="1678">
        <f>SUM(C50:J50)</f>
        <v>0</v>
      </c>
      <c r="L50" s="1573"/>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0</v>
      </c>
      <c r="D53" s="1674">
        <f t="shared" ref="D53:L53" si="5">SUM(D49:D52)</f>
        <v>0</v>
      </c>
      <c r="E53" s="1674">
        <f t="shared" si="5"/>
        <v>0</v>
      </c>
      <c r="F53" s="1674">
        <f t="shared" si="5"/>
        <v>0</v>
      </c>
      <c r="G53" s="1674">
        <f t="shared" si="5"/>
        <v>0</v>
      </c>
      <c r="H53" s="1674">
        <f t="shared" si="5"/>
        <v>0</v>
      </c>
      <c r="I53" s="1674">
        <f t="shared" si="5"/>
        <v>0</v>
      </c>
      <c r="J53" s="1674">
        <f t="shared" si="5"/>
        <v>0</v>
      </c>
      <c r="K53" s="1674">
        <f t="shared" si="5"/>
        <v>0</v>
      </c>
      <c r="L53" s="1674">
        <f t="shared" si="5"/>
        <v>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37259</v>
      </c>
      <c r="D55" s="1586">
        <v>12251</v>
      </c>
      <c r="E55" s="1586">
        <v>142</v>
      </c>
      <c r="F55" s="1586"/>
      <c r="G55" s="1586"/>
      <c r="H55" s="1586">
        <v>210</v>
      </c>
      <c r="I55" s="1574"/>
      <c r="J55" s="1574"/>
      <c r="K55" s="1678">
        <f>SUM(C55:J55)</f>
        <v>49862</v>
      </c>
      <c r="L55" s="1586">
        <v>51722</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37259</v>
      </c>
      <c r="D57" s="1679">
        <f t="shared" ref="D57:K57" si="6">SUM(D55:D56)</f>
        <v>12251</v>
      </c>
      <c r="E57" s="1679">
        <f t="shared" si="6"/>
        <v>142</v>
      </c>
      <c r="F57" s="1679">
        <f t="shared" si="6"/>
        <v>0</v>
      </c>
      <c r="G57" s="1679">
        <f t="shared" si="6"/>
        <v>0</v>
      </c>
      <c r="H57" s="1679">
        <f t="shared" si="6"/>
        <v>210</v>
      </c>
      <c r="I57" s="1679">
        <f t="shared" si="6"/>
        <v>0</v>
      </c>
      <c r="J57" s="1679">
        <f t="shared" si="6"/>
        <v>0</v>
      </c>
      <c r="K57" s="1679">
        <f t="shared" si="6"/>
        <v>49862</v>
      </c>
      <c r="L57" s="1674">
        <f>SUM(L55:L56)</f>
        <v>51722</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v>3900</v>
      </c>
      <c r="F60" s="1573"/>
      <c r="G60" s="1573"/>
      <c r="H60" s="1573"/>
      <c r="I60" s="1574"/>
      <c r="J60" s="1574"/>
      <c r="K60" s="1678">
        <f t="shared" si="7"/>
        <v>3900</v>
      </c>
      <c r="L60" s="1573">
        <v>3900</v>
      </c>
      <c r="M60" s="501"/>
      <c r="N60" s="501"/>
    </row>
    <row r="61" spans="1:14" s="321" customFormat="1" x14ac:dyDescent="0.2">
      <c r="A61" s="1274" t="s">
        <v>195</v>
      </c>
      <c r="B61" s="503">
        <v>2540</v>
      </c>
      <c r="C61" s="1573"/>
      <c r="D61" s="1573"/>
      <c r="E61" s="1573">
        <v>35950</v>
      </c>
      <c r="F61" s="1573"/>
      <c r="G61" s="1573"/>
      <c r="H61" s="1573"/>
      <c r="I61" s="1574"/>
      <c r="J61" s="1574"/>
      <c r="K61" s="1678">
        <f t="shared" si="7"/>
        <v>35950</v>
      </c>
      <c r="L61" s="1573">
        <v>36950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c r="F63" s="1573"/>
      <c r="G63" s="1573"/>
      <c r="H63" s="1573"/>
      <c r="I63" s="1574"/>
      <c r="J63" s="1574"/>
      <c r="K63" s="1678">
        <f t="shared" si="7"/>
        <v>0</v>
      </c>
      <c r="L63" s="1573"/>
    </row>
    <row r="64" spans="1:14" s="501" customFormat="1" x14ac:dyDescent="0.2">
      <c r="A64" s="1279" t="s">
        <v>101</v>
      </c>
      <c r="B64" s="513">
        <v>2570</v>
      </c>
      <c r="C64" s="1586"/>
      <c r="D64" s="1586"/>
      <c r="E64" s="1586">
        <v>118</v>
      </c>
      <c r="F64" s="1586"/>
      <c r="G64" s="1586"/>
      <c r="H64" s="1586"/>
      <c r="I64" s="1574"/>
      <c r="J64" s="1574"/>
      <c r="K64" s="1678">
        <f t="shared" si="7"/>
        <v>118</v>
      </c>
      <c r="L64" s="1586"/>
    </row>
    <row r="65" spans="1:14" s="321" customFormat="1" ht="12.75" customHeight="1" thickBot="1" x14ac:dyDescent="0.25">
      <c r="A65" s="1380" t="s">
        <v>714</v>
      </c>
      <c r="B65" s="1381" t="s">
        <v>35</v>
      </c>
      <c r="C65" s="1674">
        <f>SUM(C59:C64)</f>
        <v>0</v>
      </c>
      <c r="D65" s="1674">
        <f t="shared" ref="D65:L65" si="8">SUM(D59:D64)</f>
        <v>0</v>
      </c>
      <c r="E65" s="1674">
        <f t="shared" si="8"/>
        <v>39968</v>
      </c>
      <c r="F65" s="1674">
        <f t="shared" si="8"/>
        <v>0</v>
      </c>
      <c r="G65" s="1674">
        <f t="shared" si="8"/>
        <v>0</v>
      </c>
      <c r="H65" s="1674">
        <f t="shared" si="8"/>
        <v>0</v>
      </c>
      <c r="I65" s="1674">
        <f t="shared" si="8"/>
        <v>0</v>
      </c>
      <c r="J65" s="1674">
        <f t="shared" si="8"/>
        <v>0</v>
      </c>
      <c r="K65" s="1674">
        <f t="shared" si="8"/>
        <v>39968</v>
      </c>
      <c r="L65" s="1674">
        <f t="shared" si="8"/>
        <v>40850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37259</v>
      </c>
      <c r="D74" s="1681">
        <f t="shared" ref="D74:K74" si="10">SUM(D42,D47,D53,D57,D65,D72,D73)</f>
        <v>12251</v>
      </c>
      <c r="E74" s="1681">
        <f t="shared" si="10"/>
        <v>40110</v>
      </c>
      <c r="F74" s="1681">
        <f t="shared" si="10"/>
        <v>0</v>
      </c>
      <c r="G74" s="1681">
        <f t="shared" si="10"/>
        <v>0</v>
      </c>
      <c r="H74" s="1681">
        <f t="shared" si="10"/>
        <v>210</v>
      </c>
      <c r="I74" s="1681">
        <f t="shared" si="10"/>
        <v>0</v>
      </c>
      <c r="J74" s="1681">
        <f t="shared" si="10"/>
        <v>0</v>
      </c>
      <c r="K74" s="1681">
        <f t="shared" si="10"/>
        <v>89830</v>
      </c>
      <c r="L74" s="1681">
        <f>SUM(L42,L47,L53,L57,L65,L72,L73)</f>
        <v>92572</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v>25557</v>
      </c>
      <c r="I81" s="1582"/>
      <c r="J81" s="1582"/>
      <c r="K81" s="1672">
        <f t="shared" si="11"/>
        <v>25557</v>
      </c>
      <c r="L81" s="1573">
        <v>41165</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25557</v>
      </c>
      <c r="I84" s="1582"/>
      <c r="J84" s="1582"/>
      <c r="K84" s="1674">
        <f>SUM(K78:K83)</f>
        <v>25557</v>
      </c>
      <c r="L84" s="1674">
        <f>SUM(L78:L83)</f>
        <v>41165</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25557</v>
      </c>
      <c r="I102" s="1582"/>
      <c r="J102" s="1582"/>
      <c r="K102" s="1681">
        <f>SUM(K84,K92,K100,K101)</f>
        <v>25557</v>
      </c>
      <c r="L102" s="1681">
        <f>SUM(L84,L92,L100,L101)</f>
        <v>41165</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309522</v>
      </c>
      <c r="D114" s="1674">
        <f t="shared" ref="D114:K114" si="13">SUM(D33,D74,D75,D102,D112,D113)</f>
        <v>40835</v>
      </c>
      <c r="E114" s="1674">
        <f t="shared" si="13"/>
        <v>43763</v>
      </c>
      <c r="F114" s="1674">
        <f t="shared" si="13"/>
        <v>29126</v>
      </c>
      <c r="G114" s="1674">
        <f t="shared" si="13"/>
        <v>0</v>
      </c>
      <c r="H114" s="1674">
        <f>SUM(H33,H74,H75,H102,H112,H113)</f>
        <v>25767</v>
      </c>
      <c r="I114" s="1674">
        <f t="shared" si="13"/>
        <v>0</v>
      </c>
      <c r="J114" s="1674">
        <f t="shared" si="13"/>
        <v>0</v>
      </c>
      <c r="K114" s="1674">
        <f t="shared" si="13"/>
        <v>449013</v>
      </c>
      <c r="L114" s="1674">
        <f>SUM(L33,L74,L75,L102,L112,L113)</f>
        <v>566004</v>
      </c>
    </row>
    <row r="115" spans="1:14" ht="13.5" thickTop="1" x14ac:dyDescent="0.2">
      <c r="A115" s="2263" t="s">
        <v>989</v>
      </c>
      <c r="B115" s="2264"/>
      <c r="C115" s="1675"/>
      <c r="D115" s="1675"/>
      <c r="E115" s="1675"/>
      <c r="F115" s="1675"/>
      <c r="G115" s="1675"/>
      <c r="H115" s="1675"/>
      <c r="I115" s="1675"/>
      <c r="J115" s="1675"/>
      <c r="K115" s="1689">
        <f>'Revenues 9-14'!C268-'Expenditures 15-22'!K114</f>
        <v>46567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8" t="s">
        <v>293</v>
      </c>
      <c r="B117" s="2269"/>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c r="F124" s="1573"/>
      <c r="G124" s="1573"/>
      <c r="H124" s="1573"/>
      <c r="I124" s="1574"/>
      <c r="J124" s="1574"/>
      <c r="K124" s="1674">
        <f>SUM(C124:J124)</f>
        <v>0</v>
      </c>
      <c r="L124" s="1573"/>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0" t="s">
        <v>616</v>
      </c>
      <c r="B151" s="2260"/>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83" t="s">
        <v>1168</v>
      </c>
      <c r="B152" s="2284"/>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8" t="s">
        <v>617</v>
      </c>
      <c r="B154" s="2270"/>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1651</v>
      </c>
      <c r="B170" s="545" t="s">
        <v>31</v>
      </c>
      <c r="C170" s="1673"/>
      <c r="D170" s="1673"/>
      <c r="E170" s="1673"/>
      <c r="F170" s="1673"/>
      <c r="G170" s="1673"/>
      <c r="H170" s="1646"/>
      <c r="I170" s="1673"/>
      <c r="J170" s="1673"/>
      <c r="K170" s="1672">
        <f>SUM(C170:J170)</f>
        <v>0</v>
      </c>
      <c r="L170" s="1646"/>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63" t="s">
        <v>989</v>
      </c>
      <c r="B175" s="2264"/>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c r="F182" s="1573"/>
      <c r="G182" s="1573"/>
      <c r="H182" s="1573"/>
      <c r="I182" s="1574"/>
      <c r="J182" s="1574"/>
      <c r="K182" s="1672">
        <f>SUM(C182:J182)</f>
        <v>0</v>
      </c>
      <c r="L182" s="1573"/>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63" t="s">
        <v>989</v>
      </c>
      <c r="B211" s="2264"/>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5" t="s">
        <v>959</v>
      </c>
      <c r="B213" s="2286"/>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c r="E215" s="1673"/>
      <c r="F215" s="1673"/>
      <c r="G215" s="1673"/>
      <c r="H215" s="1673"/>
      <c r="I215" s="1673"/>
      <c r="J215" s="1673"/>
      <c r="K215" s="1672">
        <f>D215</f>
        <v>0</v>
      </c>
      <c r="L215" s="1573"/>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c r="E223" s="1673"/>
      <c r="F223" s="1673"/>
      <c r="G223" s="1673"/>
      <c r="H223" s="1673"/>
      <c r="I223" s="1673"/>
      <c r="J223" s="1673"/>
      <c r="K223" s="1672">
        <f t="shared" si="19"/>
        <v>0</v>
      </c>
      <c r="L223" s="1573"/>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c r="E246" s="1673"/>
      <c r="F246" s="1673"/>
      <c r="G246" s="1673"/>
      <c r="H246" s="1673"/>
      <c r="I246" s="1673"/>
      <c r="J246" s="1673"/>
      <c r="K246" s="1678">
        <f t="shared" ref="K246:K256" si="21">D246</f>
        <v>0</v>
      </c>
      <c r="L246" s="1573"/>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c r="E259" s="1673"/>
      <c r="F259" s="1673"/>
      <c r="G259" s="1673"/>
      <c r="H259" s="1673"/>
      <c r="I259" s="1673"/>
      <c r="J259" s="1673"/>
      <c r="K259" s="1678">
        <f>D259</f>
        <v>0</v>
      </c>
      <c r="L259" s="1586"/>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c r="E266" s="1673"/>
      <c r="F266" s="1673"/>
      <c r="G266" s="1673"/>
      <c r="H266" s="1673"/>
      <c r="I266" s="1673"/>
      <c r="J266" s="1673"/>
      <c r="K266" s="1678">
        <f t="shared" si="22"/>
        <v>0</v>
      </c>
      <c r="L266" s="1573"/>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1" t="s">
        <v>502</v>
      </c>
      <c r="B295" s="2282"/>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63" t="s">
        <v>989</v>
      </c>
      <c r="B296" s="2264"/>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3" t="s">
        <v>142</v>
      </c>
      <c r="B298" s="2267"/>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8" t="s">
        <v>275</v>
      </c>
      <c r="B312" s="2279"/>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4" t="s">
        <v>989</v>
      </c>
      <c r="B313" s="2275"/>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7" t="s">
        <v>148</v>
      </c>
      <c r="B315" s="2288"/>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9" t="s">
        <v>892</v>
      </c>
      <c r="B317" s="2288"/>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6" t="s">
        <v>989</v>
      </c>
      <c r="B343" s="2277"/>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6" t="s">
        <v>960</v>
      </c>
      <c r="B345" s="2267"/>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3" t="s">
        <v>989</v>
      </c>
      <c r="B368" s="2264"/>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notes are an intergral part of the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26" sqref="B2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625</v>
      </c>
      <c r="B1" s="2310"/>
      <c r="C1" s="585"/>
    </row>
    <row r="2" spans="1:7" ht="33.75" x14ac:dyDescent="0.2">
      <c r="A2" s="2317" t="s">
        <v>1779</v>
      </c>
      <c r="B2" s="2318"/>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9" t="s">
        <v>1104</v>
      </c>
      <c r="B3" s="2320"/>
      <c r="C3" s="2313"/>
      <c r="D3" s="2314"/>
      <c r="E3" s="2314"/>
      <c r="F3" s="2315"/>
    </row>
    <row r="4" spans="1:7" ht="12.75" customHeight="1" thickBot="1" x14ac:dyDescent="0.25">
      <c r="A4" s="2307" t="s">
        <v>626</v>
      </c>
      <c r="B4" s="2308"/>
      <c r="C4" s="1656"/>
      <c r="D4" s="1656"/>
      <c r="E4" s="1656"/>
      <c r="F4" s="1732">
        <f>SUM(C4+D4)-E4</f>
        <v>0</v>
      </c>
    </row>
    <row r="5" spans="1:7" ht="15.75" customHeight="1" thickTop="1" x14ac:dyDescent="0.2">
      <c r="A5" s="2311" t="s">
        <v>1101</v>
      </c>
      <c r="B5" s="2306"/>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3" t="s">
        <v>627</v>
      </c>
      <c r="B15" s="2304"/>
      <c r="C15" s="1732">
        <f>SUM(C6:C14)</f>
        <v>0</v>
      </c>
      <c r="D15" s="1732">
        <f>SUM(D6:D14)</f>
        <v>0</v>
      </c>
      <c r="E15" s="1732">
        <f>SUM(E6:E14)</f>
        <v>0</v>
      </c>
      <c r="F15" s="1732">
        <f>SUM(F6:F14)</f>
        <v>0</v>
      </c>
      <c r="G15" s="473"/>
    </row>
    <row r="16" spans="1:7" s="197" customFormat="1" ht="15.75" customHeight="1" thickTop="1" x14ac:dyDescent="0.2">
      <c r="A16" s="2316" t="s">
        <v>1102</v>
      </c>
      <c r="B16" s="2306"/>
      <c r="C16" s="2300"/>
      <c r="D16" s="2301"/>
      <c r="E16" s="2301"/>
      <c r="F16" s="2302"/>
    </row>
    <row r="17" spans="1:11" ht="12.75" customHeight="1" thickBot="1" x14ac:dyDescent="0.25">
      <c r="A17" s="2298" t="s">
        <v>64</v>
      </c>
      <c r="B17" s="2299"/>
      <c r="C17" s="1733"/>
      <c r="D17" s="1664"/>
      <c r="E17" s="1733"/>
      <c r="F17" s="1732">
        <f>SUM(C17+D17)-E17</f>
        <v>0</v>
      </c>
    </row>
    <row r="18" spans="1:11" ht="12.75" customHeight="1" thickTop="1" thickBot="1" x14ac:dyDescent="0.25">
      <c r="A18" s="2298" t="s">
        <v>6</v>
      </c>
      <c r="B18" s="2299"/>
      <c r="C18" s="1733"/>
      <c r="D18" s="1664"/>
      <c r="E18" s="1733"/>
      <c r="F18" s="1732">
        <f>SUM(C18+D18)-E18</f>
        <v>0</v>
      </c>
    </row>
    <row r="19" spans="1:11" ht="12.75" customHeight="1" thickTop="1" thickBot="1" x14ac:dyDescent="0.25">
      <c r="A19" s="2298" t="s">
        <v>385</v>
      </c>
      <c r="B19" s="2299"/>
      <c r="C19" s="1733"/>
      <c r="D19" s="1664"/>
      <c r="E19" s="1733"/>
      <c r="F19" s="1732">
        <f>SUM(C19+D19)-E19</f>
        <v>0</v>
      </c>
    </row>
    <row r="20" spans="1:11" ht="12.75" customHeight="1" thickTop="1" thickBot="1" x14ac:dyDescent="0.25">
      <c r="A20" s="2298" t="s">
        <v>445</v>
      </c>
      <c r="B20" s="2299"/>
      <c r="C20" s="1733"/>
      <c r="D20" s="1664"/>
      <c r="E20" s="1733"/>
      <c r="F20" s="1732">
        <f>SUM(C20+D20)-E20</f>
        <v>0</v>
      </c>
    </row>
    <row r="21" spans="1:11" ht="14.25" thickTop="1" thickBot="1" x14ac:dyDescent="0.25">
      <c r="A21" s="2303" t="s">
        <v>628</v>
      </c>
      <c r="B21" s="2304"/>
      <c r="C21" s="1732">
        <f>SUM(C17:C20)</f>
        <v>0</v>
      </c>
      <c r="D21" s="1732">
        <f>SUM(D17:D20)</f>
        <v>0</v>
      </c>
      <c r="E21" s="1732">
        <f>SUM(E17:E20)</f>
        <v>0</v>
      </c>
      <c r="F21" s="1732">
        <f>SUM(F17:F20)</f>
        <v>0</v>
      </c>
      <c r="G21" s="473"/>
    </row>
    <row r="22" spans="1:11" ht="15.75" customHeight="1" thickTop="1" x14ac:dyDescent="0.2">
      <c r="A22" s="2305" t="s">
        <v>1103</v>
      </c>
      <c r="B22" s="2306"/>
      <c r="C22" s="2300"/>
      <c r="D22" s="2301"/>
      <c r="E22" s="2301"/>
      <c r="F22" s="2302"/>
    </row>
    <row r="23" spans="1:11" ht="13.5" thickBot="1" x14ac:dyDescent="0.25">
      <c r="A23" s="2307" t="s">
        <v>629</v>
      </c>
      <c r="B23" s="2308"/>
      <c r="C23" s="1656"/>
      <c r="D23" s="1656"/>
      <c r="E23" s="1656"/>
      <c r="F23" s="1732">
        <f>SUM(C23+D23)-E23</f>
        <v>0</v>
      </c>
      <c r="G23" s="473"/>
    </row>
    <row r="24" spans="1:11" ht="15.75" customHeight="1" thickTop="1" x14ac:dyDescent="0.2">
      <c r="A24" s="2305" t="s">
        <v>2006</v>
      </c>
      <c r="B24" s="2306"/>
      <c r="C24" s="2300"/>
      <c r="D24" s="2301"/>
      <c r="E24" s="2301"/>
      <c r="F24" s="2302"/>
    </row>
    <row r="25" spans="1:11" ht="13.5" thickBot="1" x14ac:dyDescent="0.25">
      <c r="A25" s="2307" t="s">
        <v>2007</v>
      </c>
      <c r="B25" s="2308"/>
      <c r="C25" s="1656"/>
      <c r="D25" s="1656"/>
      <c r="E25" s="1656"/>
      <c r="F25" s="1732">
        <f>SUM(C25+D25)-E25</f>
        <v>0</v>
      </c>
      <c r="G25" s="473"/>
    </row>
    <row r="26" spans="1:11" ht="15.75" customHeight="1" thickTop="1" x14ac:dyDescent="0.2">
      <c r="A26" s="2311" t="s">
        <v>652</v>
      </c>
      <c r="B26" s="2306"/>
      <c r="C26" s="589"/>
      <c r="D26" s="589"/>
      <c r="E26" s="589"/>
      <c r="F26" s="590"/>
    </row>
    <row r="27" spans="1:11" ht="13.5" thickBot="1" x14ac:dyDescent="0.25">
      <c r="A27" s="2303" t="s">
        <v>1061</v>
      </c>
      <c r="B27" s="2304"/>
      <c r="C27" s="1664"/>
      <c r="D27" s="1664"/>
      <c r="E27" s="1664"/>
      <c r="F27" s="1732">
        <f>SUM(C27+D27)-E27</f>
        <v>0</v>
      </c>
      <c r="G27" s="473"/>
    </row>
    <row r="28" spans="1:11" ht="7.5" customHeight="1" thickTop="1" x14ac:dyDescent="0.2">
      <c r="A28" s="489"/>
    </row>
    <row r="29" spans="1:11" ht="23.25" customHeight="1" x14ac:dyDescent="0.2">
      <c r="A29" s="2309" t="s">
        <v>578</v>
      </c>
      <c r="B29" s="2310"/>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2" t="s">
        <v>580</v>
      </c>
      <c r="C52" s="2293"/>
      <c r="D52" s="2293"/>
      <c r="E52" s="603" t="s">
        <v>840</v>
      </c>
      <c r="F52" s="2294"/>
      <c r="G52" s="2295"/>
      <c r="H52" s="596"/>
      <c r="I52" s="596"/>
      <c r="J52" s="600"/>
    </row>
    <row r="53" spans="1:11" ht="11.25" customHeight="1" x14ac:dyDescent="0.2">
      <c r="A53" s="604" t="s">
        <v>907</v>
      </c>
      <c r="B53" s="605" t="s">
        <v>945</v>
      </c>
      <c r="C53" s="600"/>
      <c r="D53" s="597"/>
      <c r="E53" s="603" t="s">
        <v>494</v>
      </c>
      <c r="F53" s="2296"/>
      <c r="G53" s="2297"/>
      <c r="H53" s="596"/>
      <c r="I53" s="596"/>
      <c r="J53" s="600"/>
    </row>
    <row r="54" spans="1:11" ht="11.25" customHeight="1" x14ac:dyDescent="0.2">
      <c r="A54" s="606" t="s">
        <v>908</v>
      </c>
      <c r="B54" s="601" t="s">
        <v>946</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9" colorId="8" zoomScale="110" zoomScaleNormal="110" workbookViewId="0">
      <selection activeCell="G25" sqref="G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851</v>
      </c>
      <c r="B1" s="2322"/>
      <c r="C1" s="2322"/>
      <c r="D1" s="2322"/>
      <c r="E1" s="2322"/>
      <c r="F1" s="2322"/>
      <c r="G1" s="2323"/>
      <c r="H1" s="1298"/>
      <c r="I1" s="614"/>
      <c r="J1" s="400"/>
    </row>
    <row r="2" spans="1:11" ht="26.25" x14ac:dyDescent="0.2">
      <c r="A2" s="2340" t="s">
        <v>1658</v>
      </c>
      <c r="B2" s="2341"/>
      <c r="C2" s="2341"/>
      <c r="D2" s="2341"/>
      <c r="E2" s="2342"/>
      <c r="F2" s="615" t="s">
        <v>898</v>
      </c>
      <c r="G2" s="616" t="s">
        <v>1655</v>
      </c>
      <c r="H2" s="616" t="s">
        <v>407</v>
      </c>
      <c r="I2" s="616" t="s">
        <v>1148</v>
      </c>
      <c r="J2" s="616" t="s">
        <v>1789</v>
      </c>
      <c r="K2" s="616" t="s">
        <v>137</v>
      </c>
    </row>
    <row r="3" spans="1:11" x14ac:dyDescent="0.2">
      <c r="A3" s="2343" t="str">
        <f>"Cash Basis Fund Balance as of July 1, "&amp;'AFR20'!E2-1</f>
        <v>Cash Basis Fund Balance as of July 1, 2019</v>
      </c>
      <c r="B3" s="2344"/>
      <c r="C3" s="2344"/>
      <c r="D3" s="2344"/>
      <c r="E3" s="2345"/>
      <c r="F3" s="617"/>
      <c r="G3" s="1744"/>
      <c r="H3" s="1744"/>
      <c r="I3" s="1744"/>
      <c r="J3" s="1745"/>
      <c r="K3" s="1745"/>
    </row>
    <row r="4" spans="1:11" x14ac:dyDescent="0.2">
      <c r="A4" s="2346" t="s">
        <v>366</v>
      </c>
      <c r="B4" s="2347"/>
      <c r="C4" s="2347"/>
      <c r="D4" s="2347"/>
      <c r="E4" s="2293"/>
      <c r="F4" s="620"/>
      <c r="G4" s="1746"/>
      <c r="H4" s="1747"/>
      <c r="I4" s="1746"/>
      <c r="J4" s="1748"/>
      <c r="K4" s="1748"/>
    </row>
    <row r="5" spans="1:11" x14ac:dyDescent="0.2">
      <c r="A5" s="2324" t="s">
        <v>1060</v>
      </c>
      <c r="B5" s="2325"/>
      <c r="C5" s="2325"/>
      <c r="D5" s="2325"/>
      <c r="E5" s="2326"/>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4" t="s">
        <v>1790</v>
      </c>
      <c r="B10" s="2325"/>
      <c r="C10" s="2325"/>
      <c r="D10" s="2325"/>
      <c r="E10" s="2327"/>
      <c r="F10" s="633" t="s">
        <v>857</v>
      </c>
      <c r="G10" s="1753"/>
      <c r="H10" s="1754"/>
      <c r="I10" s="1744"/>
      <c r="J10" s="1745"/>
      <c r="K10" s="1745"/>
    </row>
    <row r="11" spans="1:11" x14ac:dyDescent="0.2">
      <c r="A11" s="2324" t="s">
        <v>159</v>
      </c>
      <c r="B11" s="2325"/>
      <c r="C11" s="2325"/>
      <c r="D11" s="2325"/>
      <c r="E11" s="2326"/>
      <c r="F11" s="622" t="s">
        <v>847</v>
      </c>
      <c r="G11" s="1749"/>
      <c r="H11" s="1744"/>
      <c r="I11" s="1744"/>
      <c r="J11" s="1745"/>
      <c r="K11" s="1751"/>
    </row>
    <row r="12" spans="1:11" ht="13.5" thickBot="1" x14ac:dyDescent="0.25">
      <c r="A12" s="2351" t="s">
        <v>899</v>
      </c>
      <c r="B12" s="2352"/>
      <c r="C12" s="2352"/>
      <c r="D12" s="2352"/>
      <c r="E12" s="2353"/>
      <c r="F12" s="1433"/>
      <c r="G12" s="1755">
        <f>SUM(G5:G11)</f>
        <v>0</v>
      </c>
      <c r="H12" s="1755">
        <f>SUM(H5:H11)</f>
        <v>0</v>
      </c>
      <c r="I12" s="1755">
        <f>SUM(I5:I11)</f>
        <v>0</v>
      </c>
      <c r="J12" s="1755">
        <f>SUM(J5:J11)</f>
        <v>0</v>
      </c>
      <c r="K12" s="1755">
        <f>SUM(K5:K11)</f>
        <v>0</v>
      </c>
    </row>
    <row r="13" spans="1:11" ht="13.5" thickTop="1" x14ac:dyDescent="0.2">
      <c r="A13" s="2348" t="s">
        <v>367</v>
      </c>
      <c r="B13" s="2349"/>
      <c r="C13" s="2349"/>
      <c r="D13" s="2349"/>
      <c r="E13" s="2350"/>
      <c r="F13" s="634"/>
      <c r="G13" s="1756"/>
      <c r="H13" s="1757"/>
      <c r="I13" s="1758"/>
      <c r="J13" s="1758"/>
      <c r="K13" s="1758"/>
    </row>
    <row r="14" spans="1:11" x14ac:dyDescent="0.2">
      <c r="A14" s="2331" t="s">
        <v>453</v>
      </c>
      <c r="B14" s="2331"/>
      <c r="C14" s="2331"/>
      <c r="D14" s="2331"/>
      <c r="E14" s="2332"/>
      <c r="F14" s="635" t="s">
        <v>849</v>
      </c>
      <c r="G14" s="1753"/>
      <c r="H14" s="1744"/>
      <c r="I14" s="1749"/>
      <c r="J14" s="1751"/>
      <c r="K14" s="1745"/>
    </row>
    <row r="15" spans="1:11" x14ac:dyDescent="0.2">
      <c r="A15" s="2325" t="s">
        <v>4</v>
      </c>
      <c r="B15" s="2325"/>
      <c r="C15" s="2325"/>
      <c r="D15" s="2325"/>
      <c r="E15" s="2326"/>
      <c r="F15" s="635" t="s">
        <v>850</v>
      </c>
      <c r="G15" s="1749"/>
      <c r="H15" s="1744"/>
      <c r="I15" s="1744"/>
      <c r="J15" s="1745"/>
      <c r="K15" s="1745"/>
    </row>
    <row r="16" spans="1:11" x14ac:dyDescent="0.2">
      <c r="A16" s="2325" t="s">
        <v>295</v>
      </c>
      <c r="B16" s="2325"/>
      <c r="C16" s="2325"/>
      <c r="D16" s="2325"/>
      <c r="E16" s="2326"/>
      <c r="F16" s="635" t="s">
        <v>917</v>
      </c>
      <c r="G16" s="1750"/>
      <c r="H16" s="1746"/>
      <c r="I16" s="1746"/>
      <c r="J16" s="1748"/>
      <c r="K16" s="1748"/>
    </row>
    <row r="17" spans="1:15" x14ac:dyDescent="0.2">
      <c r="A17" s="2358" t="s">
        <v>929</v>
      </c>
      <c r="B17" s="2358"/>
      <c r="C17" s="2358"/>
      <c r="D17" s="2358"/>
      <c r="E17" s="2359"/>
      <c r="F17" s="636"/>
      <c r="G17" s="1759"/>
      <c r="H17" s="1760"/>
      <c r="I17" s="1760"/>
      <c r="J17" s="1761"/>
      <c r="K17" s="1762"/>
    </row>
    <row r="18" spans="1:15" x14ac:dyDescent="0.2">
      <c r="A18" s="2335" t="s">
        <v>365</v>
      </c>
      <c r="B18" s="2336"/>
      <c r="C18" s="2336"/>
      <c r="D18" s="2336"/>
      <c r="E18" s="2337"/>
      <c r="F18" s="635" t="s">
        <v>926</v>
      </c>
      <c r="G18" s="1753"/>
      <c r="H18" s="1753"/>
      <c r="I18" s="1753"/>
      <c r="J18" s="1745"/>
      <c r="K18" s="1763"/>
    </row>
    <row r="19" spans="1:15" ht="21.75" customHeight="1" x14ac:dyDescent="0.2">
      <c r="A19" s="2333" t="s">
        <v>1786</v>
      </c>
      <c r="B19" s="2333"/>
      <c r="C19" s="2333"/>
      <c r="D19" s="2333"/>
      <c r="E19" s="2334"/>
      <c r="F19" s="635" t="s">
        <v>927</v>
      </c>
      <c r="G19" s="1753"/>
      <c r="H19" s="1753"/>
      <c r="I19" s="1753"/>
      <c r="J19" s="1745"/>
      <c r="K19" s="1763"/>
    </row>
    <row r="20" spans="1:15" x14ac:dyDescent="0.2">
      <c r="A20" s="2335" t="s">
        <v>1791</v>
      </c>
      <c r="B20" s="2336"/>
      <c r="C20" s="2336"/>
      <c r="D20" s="2336"/>
      <c r="E20" s="2337"/>
      <c r="F20" s="635" t="s">
        <v>928</v>
      </c>
      <c r="G20" s="1753"/>
      <c r="H20" s="1753"/>
      <c r="I20" s="1753"/>
      <c r="J20" s="1745"/>
      <c r="K20" s="1763"/>
    </row>
    <row r="21" spans="1:15" ht="13.5" thickBot="1" x14ac:dyDescent="0.25">
      <c r="A21" s="2354" t="s">
        <v>633</v>
      </c>
      <c r="B21" s="2354"/>
      <c r="C21" s="2354"/>
      <c r="D21" s="2354"/>
      <c r="E21" s="2354"/>
      <c r="F21" s="1434"/>
      <c r="G21" s="1760"/>
      <c r="H21" s="1764"/>
      <c r="I21" s="1764"/>
      <c r="J21" s="1765">
        <f>SUM(J18:J20)</f>
        <v>0</v>
      </c>
      <c r="K21" s="1761"/>
    </row>
    <row r="22" spans="1:15" ht="13.5" thickTop="1" x14ac:dyDescent="0.2">
      <c r="A22" s="2325" t="s">
        <v>1792</v>
      </c>
      <c r="B22" s="2325"/>
      <c r="C22" s="2325"/>
      <c r="D22" s="2325"/>
      <c r="E22" s="2326"/>
      <c r="F22" s="635" t="s">
        <v>857</v>
      </c>
      <c r="G22" s="1753"/>
      <c r="H22" s="1744"/>
      <c r="I22" s="1744"/>
      <c r="J22" s="1766"/>
      <c r="K22" s="1745"/>
    </row>
    <row r="23" spans="1:15" ht="13.5" thickBot="1" x14ac:dyDescent="0.25">
      <c r="A23" s="2355" t="s">
        <v>900</v>
      </c>
      <c r="B23" s="2354"/>
      <c r="C23" s="2354"/>
      <c r="D23" s="2354"/>
      <c r="E23" s="2354"/>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56" t="str">
        <f>"Ending Cash Basis Fund Balance as of June 30, "&amp;'AFR20'!E2</f>
        <v>Ending Cash Basis Fund Balance as of June 30, 2020</v>
      </c>
      <c r="B24" s="2357"/>
      <c r="C24" s="2357"/>
      <c r="D24" s="2357"/>
      <c r="E24" s="2357"/>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8"/>
      <c r="I31" s="2329"/>
      <c r="J31" s="2329"/>
      <c r="K31" s="2329"/>
    </row>
    <row r="32" spans="1:15" x14ac:dyDescent="0.2">
      <c r="A32" s="649"/>
      <c r="B32" s="232"/>
      <c r="C32" s="232"/>
      <c r="D32" s="232"/>
      <c r="E32" s="645"/>
      <c r="F32" s="651" t="s">
        <v>537</v>
      </c>
      <c r="G32" s="618"/>
      <c r="H32" s="2330"/>
      <c r="I32" s="2329"/>
      <c r="J32" s="2329"/>
      <c r="K32" s="2329"/>
    </row>
    <row r="33" spans="1:11" ht="1.5" customHeight="1" x14ac:dyDescent="0.2">
      <c r="A33" s="652" t="s">
        <v>1159</v>
      </c>
      <c r="B33" s="341"/>
      <c r="C33" s="341"/>
      <c r="D33" s="341"/>
      <c r="E33" s="341"/>
      <c r="F33" s="341"/>
      <c r="G33" s="653"/>
      <c r="H33" s="2330"/>
      <c r="I33" s="2329"/>
      <c r="J33" s="2329"/>
      <c r="K33" s="2329"/>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5" t="s">
        <v>538</v>
      </c>
      <c r="B41" s="2338"/>
      <c r="C41" s="2338"/>
      <c r="D41" s="2338"/>
      <c r="E41" s="2338"/>
      <c r="F41" s="233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5" sqref="I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1875</v>
      </c>
      <c r="B1" s="2363"/>
      <c r="C1" s="2364"/>
      <c r="D1" s="666"/>
      <c r="E1" s="667"/>
      <c r="F1" s="667"/>
      <c r="G1" s="668"/>
      <c r="H1" s="669"/>
      <c r="I1" s="670"/>
      <c r="J1" s="2360"/>
      <c r="K1" s="2361"/>
      <c r="L1" s="236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c r="D8" s="1771"/>
      <c r="E8" s="1771"/>
      <c r="F8" s="1765">
        <f>(C8+D8)-E8</f>
        <v>0</v>
      </c>
      <c r="G8" s="681">
        <v>50</v>
      </c>
      <c r="H8" s="619"/>
      <c r="I8" s="619"/>
      <c r="J8" s="619"/>
      <c r="K8" s="1442">
        <f>(H8+I8)-J8</f>
        <v>0</v>
      </c>
      <c r="L8" s="1442">
        <f>F8-K8</f>
        <v>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48679</v>
      </c>
      <c r="D12" s="1771"/>
      <c r="E12" s="1771"/>
      <c r="F12" s="1765">
        <f>(C12+D12)-E12</f>
        <v>48679</v>
      </c>
      <c r="G12" s="681">
        <v>10</v>
      </c>
      <c r="H12" s="619">
        <v>8930</v>
      </c>
      <c r="I12" s="619">
        <v>4868</v>
      </c>
      <c r="J12" s="619"/>
      <c r="K12" s="1442">
        <f>(H12+I12)-J12</f>
        <v>13798</v>
      </c>
      <c r="L12" s="1442">
        <f>F12-K12</f>
        <v>34881</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v>48369</v>
      </c>
      <c r="D14" s="1745"/>
      <c r="E14" s="1745"/>
      <c r="F14" s="1765">
        <f>(C14+D14)-E14</f>
        <v>48369</v>
      </c>
      <c r="G14" s="681">
        <v>3</v>
      </c>
      <c r="H14" s="619">
        <v>26047</v>
      </c>
      <c r="I14" s="619">
        <v>11627</v>
      </c>
      <c r="J14" s="619"/>
      <c r="K14" s="1442">
        <f>(H14+I14)-J14</f>
        <v>37674</v>
      </c>
      <c r="L14" s="1442">
        <f>F14-K14</f>
        <v>10695</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97048</v>
      </c>
      <c r="D16" s="1765">
        <f>SUM(D3,D5:D6,D8:D10,D12:D15)</f>
        <v>0</v>
      </c>
      <c r="E16" s="1765">
        <f>SUM(E3,E5:E6,E8:E10,E12:E15)</f>
        <v>0</v>
      </c>
      <c r="F16" s="1765">
        <f>SUM(F3,F5:F6,F8:F10,F12:F15)</f>
        <v>97048</v>
      </c>
      <c r="G16" s="681"/>
      <c r="H16" s="1435">
        <f>SUM(H3,H6,H8:H10,H12:H14,)</f>
        <v>34977</v>
      </c>
      <c r="I16" s="1435">
        <f>SUM(I3,I6,I8:I10,I12:I14,)</f>
        <v>16495</v>
      </c>
      <c r="J16" s="1435">
        <f>SUM(J3,J6,J8:J10,J12:J14,)</f>
        <v>0</v>
      </c>
      <c r="K16" s="1435">
        <f>(H16+I16)-J16</f>
        <v>51472</v>
      </c>
      <c r="L16" s="1435">
        <f>F16-K16</f>
        <v>45576</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16495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F76" sqref="F7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1095</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449013</v>
      </c>
      <c r="G8" s="701"/>
    </row>
    <row r="9" spans="1:9" x14ac:dyDescent="0.2">
      <c r="A9" s="705" t="s">
        <v>457</v>
      </c>
      <c r="B9" s="706" t="s">
        <v>1848</v>
      </c>
      <c r="C9" s="707"/>
      <c r="D9" s="705" t="s">
        <v>498</v>
      </c>
      <c r="E9" s="704"/>
      <c r="F9" s="1775">
        <f>'Expenditures 15-22'!K151</f>
        <v>0</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0</v>
      </c>
      <c r="G11" s="708"/>
    </row>
    <row r="12" spans="1:9" x14ac:dyDescent="0.2">
      <c r="A12" s="705" t="s">
        <v>459</v>
      </c>
      <c r="B12" s="706" t="s">
        <v>1851</v>
      </c>
      <c r="C12" s="707"/>
      <c r="D12" s="705" t="s">
        <v>498</v>
      </c>
      <c r="E12" s="704"/>
      <c r="F12" s="1775">
        <f>'Expenditures 15-22'!K295</f>
        <v>0</v>
      </c>
      <c r="G12" s="708"/>
    </row>
    <row r="13" spans="1:9" x14ac:dyDescent="0.2">
      <c r="A13" s="705" t="s">
        <v>106</v>
      </c>
      <c r="B13" s="706" t="s">
        <v>1852</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449013</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25557</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25557</v>
      </c>
      <c r="G77" s="701"/>
    </row>
    <row r="78" spans="1:9" s="728" customFormat="1" ht="12" customHeight="1" thickTop="1" thickBot="1" x14ac:dyDescent="0.25">
      <c r="A78" s="1450"/>
      <c r="B78" s="1448"/>
      <c r="C78" s="1445"/>
      <c r="D78" s="1449" t="s">
        <v>2012</v>
      </c>
      <c r="E78" s="1447"/>
      <c r="F78" s="1788">
        <f>(F14-F77)</f>
        <v>423456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2013</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5" t="s">
        <v>1096</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84964</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17918</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c r="G172" s="760"/>
    </row>
    <row r="173" spans="1:7" x14ac:dyDescent="0.2">
      <c r="A173" s="1529" t="s">
        <v>659</v>
      </c>
      <c r="B173" s="1530" t="s">
        <v>1885</v>
      </c>
      <c r="C173" s="1531">
        <v>3300</v>
      </c>
      <c r="D173" s="1532" t="s">
        <v>1888</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102882</v>
      </c>
    </row>
    <row r="176" spans="1:7" ht="12" customHeight="1" x14ac:dyDescent="0.2">
      <c r="A176" s="1443"/>
      <c r="B176" s="1453"/>
      <c r="C176" s="1454"/>
      <c r="D176" s="1455" t="s">
        <v>2014</v>
      </c>
      <c r="E176" s="1456"/>
      <c r="F176" s="1793">
        <f>'PCTC-OEPP 27-28'!F78-F175</f>
        <v>320574</v>
      </c>
    </row>
    <row r="177" spans="1:9" ht="12" customHeight="1" x14ac:dyDescent="0.2">
      <c r="A177" s="1443"/>
      <c r="B177" s="1453"/>
      <c r="C177" s="1454"/>
      <c r="D177" s="1455" t="s">
        <v>1794</v>
      </c>
      <c r="E177" s="1456"/>
      <c r="F177" s="1793">
        <f>'Cap Outlay Deprec 26'!I18</f>
        <v>16495</v>
      </c>
    </row>
    <row r="178" spans="1:9" ht="12" customHeight="1" x14ac:dyDescent="0.2">
      <c r="A178" s="1443"/>
      <c r="B178" s="1453"/>
      <c r="C178" s="1454"/>
      <c r="D178" s="1455" t="s">
        <v>2015</v>
      </c>
      <c r="E178" s="1456"/>
      <c r="F178" s="1793">
        <f>F176+F177</f>
        <v>337069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2017</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7" zoomScaleNormal="100" workbookViewId="0">
      <selection activeCell="C20" sqref="C20"/>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9" t="s">
        <v>1795</v>
      </c>
      <c r="B4" s="2380"/>
      <c r="C4" s="2380"/>
      <c r="D4" s="2380"/>
      <c r="E4" s="2380"/>
      <c r="F4" s="2381"/>
    </row>
    <row r="5" spans="1:6" x14ac:dyDescent="0.25">
      <c r="A5" s="2382"/>
      <c r="B5" s="2383"/>
      <c r="C5" s="2383"/>
      <c r="D5" s="2383"/>
      <c r="E5" s="2383"/>
      <c r="F5" s="2384"/>
    </row>
    <row r="6" spans="1:6" ht="18.75" x14ac:dyDescent="0.25">
      <c r="A6" s="1867" t="s">
        <v>1796</v>
      </c>
      <c r="B6" s="1868"/>
      <c r="C6" s="1869"/>
      <c r="D6" s="1869"/>
      <c r="E6" s="1869"/>
      <c r="F6" s="1870"/>
    </row>
    <row r="7" spans="1:6" ht="47.25" customHeight="1" x14ac:dyDescent="0.25">
      <c r="A7" s="2385" t="s">
        <v>1985</v>
      </c>
      <c r="B7" s="2386"/>
      <c r="C7" s="2386"/>
      <c r="D7" s="2386"/>
      <c r="E7" s="2386"/>
      <c r="F7" s="2387"/>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8" t="s">
        <v>1981</v>
      </c>
      <c r="B10" s="2389"/>
      <c r="C10" s="2389"/>
      <c r="D10" s="2389"/>
      <c r="E10" s="2389"/>
      <c r="F10" s="2390"/>
    </row>
    <row r="11" spans="1:6" ht="33" customHeight="1" x14ac:dyDescent="0.25">
      <c r="A11" s="2385" t="s">
        <v>1986</v>
      </c>
      <c r="B11" s="2386"/>
      <c r="C11" s="2386"/>
      <c r="D11" s="2386"/>
      <c r="E11" s="2386"/>
      <c r="F11" s="2387"/>
    </row>
    <row r="12" spans="1:6" ht="15" customHeight="1" x14ac:dyDescent="0.25">
      <c r="A12" s="1873" t="s">
        <v>1982</v>
      </c>
      <c r="B12" s="1874"/>
      <c r="C12" s="1875"/>
      <c r="D12" s="1875"/>
      <c r="E12" s="1875"/>
      <c r="F12" s="1876"/>
    </row>
    <row r="13" spans="1:6" ht="17.25" customHeight="1" x14ac:dyDescent="0.25">
      <c r="A13" s="2385" t="s">
        <v>1983</v>
      </c>
      <c r="B13" s="2386"/>
      <c r="C13" s="2386"/>
      <c r="D13" s="2386"/>
      <c r="E13" s="2386"/>
      <c r="F13" s="2387"/>
    </row>
    <row r="14" spans="1:6" ht="15" customHeight="1" x14ac:dyDescent="0.25">
      <c r="A14" s="1873" t="s">
        <v>1800</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1914"/>
      <c r="B18" s="1908"/>
      <c r="C18" s="1915"/>
      <c r="D18" s="1886"/>
      <c r="E18" s="1906">
        <f t="shared" ref="E18:E81" si="0">IF(D18&lt;25000,D18,"25,000")</f>
        <v>0</v>
      </c>
      <c r="F18" s="1906" t="str">
        <f t="shared" ref="F18:F81" si="1">IF(D18&gt;=25000,(D18-E18),"0")</f>
        <v>0</v>
      </c>
      <c r="G18" s="1887"/>
    </row>
    <row r="19" spans="1:7" x14ac:dyDescent="0.25">
      <c r="A19" s="2037" t="s">
        <v>2070</v>
      </c>
      <c r="B19" s="1908">
        <v>101000600</v>
      </c>
      <c r="C19" s="2038" t="s">
        <v>2070</v>
      </c>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&amp;LPage 29&amp;RPage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J5" sqref="J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1660</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333626</v>
      </c>
      <c r="F19" s="1802"/>
      <c r="G19" s="1804">
        <f>'Expenditures 15-22'!K33-SUM('Expenditures 15-22'!G33,'Expenditures 15-22'!I33)+'Expenditures 15-22'!D229</f>
        <v>333626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0</v>
      </c>
      <c r="F21" s="1805"/>
      <c r="G21" s="1808">
        <f>'Expenditures 15-22'!K42-SUM('Expenditures 15-22'!G42,'Expenditures 15-22'!I42)+'Expenditures 15-22'!K120-SUM('Expenditures 15-22'!G120,'Expenditures 15-22'!I120)+'Expenditures 15-22'!K180-SUM('Expenditures 15-22'!G180,'Expenditures 15-22'!I180)+'Expenditures 15-22'!D238</f>
        <v>0</v>
      </c>
      <c r="H21" s="817"/>
      <c r="I21" s="157"/>
    </row>
    <row r="22" spans="1:9" s="542" customFormat="1" ht="12" customHeight="1" x14ac:dyDescent="0.2">
      <c r="A22" s="824" t="s">
        <v>560</v>
      </c>
      <c r="B22" s="825"/>
      <c r="C22" s="823">
        <v>2200</v>
      </c>
      <c r="D22" s="1805"/>
      <c r="E22" s="1807">
        <f>'Expenditures 15-22'!K47-SUM('Expenditures 15-22'!G47,'Expenditures 15-22'!I47)+'Expenditures 15-22'!D243</f>
        <v>0</v>
      </c>
      <c r="F22" s="1805"/>
      <c r="G22" s="1808">
        <f>'Expenditures 15-22'!K47-SUM('Expenditures 15-22'!G47,'Expenditures 15-22'!I47)+'Expenditures 15-22'!D243</f>
        <v>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0</v>
      </c>
      <c r="F23" s="1805"/>
      <c r="G23" s="1807">
        <f>'Expenditures 15-22'!K53-SUM('Expenditures 15-22'!G53,'Expenditures 15-22'!I53)+'Expenditures 15-22'!D257+'Expenditures 15-22'!K330-SUM('Expenditures 15-22'!G330,'Expenditures 15-22'!I330)</f>
        <v>0</v>
      </c>
      <c r="H23" s="817"/>
      <c r="I23" s="157"/>
    </row>
    <row r="24" spans="1:9" s="542" customFormat="1" ht="12" customHeight="1" x14ac:dyDescent="0.2">
      <c r="A24" s="824" t="s">
        <v>562</v>
      </c>
      <c r="B24" s="825"/>
      <c r="C24" s="823">
        <v>2400</v>
      </c>
      <c r="D24" s="1805"/>
      <c r="E24" s="1807">
        <f>'Expenditures 15-22'!K57-SUM('Expenditures 15-22'!G57,'Expenditures 15-22'!I57)+'Expenditures 15-22'!D261</f>
        <v>49862</v>
      </c>
      <c r="F24" s="1805"/>
      <c r="G24" s="1808">
        <f>'Expenditures 15-22'!K57-SUM('Expenditures 15-22'!G57,'Expenditures 15-22'!I57)+'Expenditures 15-22'!D261</f>
        <v>49862</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3900</v>
      </c>
      <c r="E27" s="1807">
        <f>E8</f>
        <v>0</v>
      </c>
      <c r="F27" s="1807">
        <f>'Expenditures 15-22'!K60-SUM('Expenditures 15-22'!G60,'Expenditures 15-22'!I60)+'Expenditures 15-22'!D264-E8</f>
        <v>3900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35950</v>
      </c>
      <c r="F28" s="1809">
        <f>'Expenditures 15-22'!K61-SUM('Expenditures 15-22'!G61,'Expenditures 15-22'!I61)+'Expenditures 15-22'!K124-SUM('Expenditures 15-22'!G124,'Expenditures 15-22'!I124)+'Expenditures 15-22'!D266-E9</f>
        <v>35950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0</v>
      </c>
      <c r="F29" s="1805"/>
      <c r="G29" s="180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118</v>
      </c>
      <c r="E31" s="1807">
        <f>E12</f>
        <v>0</v>
      </c>
      <c r="F31" s="1807">
        <f>'Expenditures 15-22'!K64-SUM('Expenditures 15-22'!G64,'Expenditures 15-22'!I64)+'Expenditures 15-22'!D269-E12</f>
        <v>118</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4018</v>
      </c>
      <c r="E41" s="1809">
        <f>SUM(E19:E40)</f>
        <v>419438</v>
      </c>
      <c r="F41" s="1809">
        <f>SUM(F19:F39)</f>
        <v>39968</v>
      </c>
      <c r="G41" s="1809">
        <f>SUM(G19:G40)</f>
        <v>383488</v>
      </c>
    </row>
    <row r="42" spans="1:7" x14ac:dyDescent="0.2">
      <c r="A42" s="817"/>
      <c r="B42" s="157"/>
      <c r="C42" s="831"/>
      <c r="D42" s="2394" t="s">
        <v>519</v>
      </c>
      <c r="E42" s="2395"/>
      <c r="F42" s="832" t="s">
        <v>520</v>
      </c>
      <c r="G42" s="833"/>
    </row>
    <row r="43" spans="1:7" ht="12" customHeight="1" x14ac:dyDescent="0.2">
      <c r="A43" s="817"/>
      <c r="B43" s="157"/>
      <c r="C43" s="831"/>
      <c r="D43" s="1458" t="s">
        <v>470</v>
      </c>
      <c r="E43" s="1810">
        <f>D41</f>
        <v>4018</v>
      </c>
      <c r="F43" s="1458" t="s">
        <v>470</v>
      </c>
      <c r="G43" s="1810">
        <f>F41</f>
        <v>39968</v>
      </c>
    </row>
    <row r="44" spans="1:7" ht="12" customHeight="1" x14ac:dyDescent="0.2">
      <c r="A44" s="817"/>
      <c r="B44" s="157"/>
      <c r="C44" s="831"/>
      <c r="D44" s="1458" t="s">
        <v>471</v>
      </c>
      <c r="E44" s="1810">
        <f>E41</f>
        <v>419438</v>
      </c>
      <c r="F44" s="1458" t="s">
        <v>471</v>
      </c>
      <c r="G44" s="1810">
        <f>G41</f>
        <v>383488</v>
      </c>
    </row>
    <row r="45" spans="1:7" ht="12" customHeight="1" x14ac:dyDescent="0.2">
      <c r="A45" s="817"/>
      <c r="B45" s="157"/>
      <c r="C45" s="157"/>
      <c r="D45" s="1459" t="s">
        <v>999</v>
      </c>
      <c r="E45" s="1811">
        <f>(E43/E44)</f>
        <v>9.5794849298346842E-3</v>
      </c>
      <c r="F45" s="1459" t="s">
        <v>999</v>
      </c>
      <c r="G45" s="1811">
        <f>(G43/G44)</f>
        <v>0.10422229639519359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C53" sqref="C5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3" t="s">
        <v>1363</v>
      </c>
      <c r="B1" s="2413"/>
      <c r="C1" s="2413"/>
      <c r="D1" s="2413"/>
      <c r="E1" s="2413"/>
      <c r="F1" s="2413"/>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4" t="s">
        <v>1529</v>
      </c>
      <c r="B5" s="2415"/>
      <c r="C5" s="2416"/>
      <c r="D5" s="2416"/>
      <c r="E5" s="2416"/>
      <c r="F5" s="2416"/>
      <c r="G5" s="1507"/>
      <c r="L5" s="1507"/>
      <c r="M5" s="1855"/>
      <c r="N5" s="1855"/>
      <c r="O5" s="1855"/>
    </row>
    <row r="6" spans="1:15" ht="12" customHeight="1" x14ac:dyDescent="0.25">
      <c r="A6" s="1480"/>
      <c r="B6" s="1481"/>
      <c r="C6" s="2417" t="str">
        <f>COVER!A17</f>
        <v>Galesburg Area vocational Center</v>
      </c>
      <c r="D6" s="2417"/>
      <c r="E6" s="2417"/>
      <c r="F6" s="1482"/>
      <c r="G6" s="1507"/>
      <c r="L6" s="1507"/>
      <c r="M6" s="1855"/>
      <c r="N6" s="1855"/>
      <c r="O6" s="1855"/>
    </row>
    <row r="7" spans="1:15" ht="11.25" customHeight="1" thickBot="1" x14ac:dyDescent="0.3">
      <c r="A7" s="1480"/>
      <c r="B7" s="1481"/>
      <c r="C7" s="2418">
        <f>COVER!A13</f>
        <v>33048205041</v>
      </c>
      <c r="D7" s="2418"/>
      <c r="E7" s="2418"/>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2060</v>
      </c>
      <c r="D25" s="1495" t="s">
        <v>2060</v>
      </c>
      <c r="E25" s="1498"/>
      <c r="F25" s="1497" t="s">
        <v>2071</v>
      </c>
      <c r="G25" s="1507"/>
      <c r="H25" s="1507">
        <f t="shared" si="0"/>
        <v>5</v>
      </c>
      <c r="I25" s="1507">
        <f t="shared" si="1"/>
        <v>5</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2060</v>
      </c>
      <c r="D31" s="1495" t="s">
        <v>2060</v>
      </c>
      <c r="E31" s="1498"/>
      <c r="F31" s="1497" t="s">
        <v>2072</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1376</v>
      </c>
      <c r="B35" s="1501"/>
      <c r="C35" s="2419"/>
      <c r="D35" s="2419"/>
      <c r="E35" s="2419"/>
      <c r="F35" s="2420"/>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05"/>
      <c r="B38" s="2406"/>
      <c r="C38" s="2406"/>
      <c r="D38" s="2406"/>
      <c r="E38" s="2406"/>
      <c r="F38" s="2407"/>
    </row>
    <row r="39" spans="1:15" ht="4.5" hidden="1" customHeight="1" x14ac:dyDescent="0.2">
      <c r="A39" s="1502"/>
      <c r="B39" s="1502"/>
      <c r="C39" s="1502"/>
      <c r="D39" s="1502"/>
      <c r="E39" s="1502"/>
      <c r="F39" s="1502"/>
    </row>
    <row r="40" spans="1:15" s="1499" customFormat="1" ht="12" customHeight="1" x14ac:dyDescent="0.25">
      <c r="A40" s="1503" t="s">
        <v>1375</v>
      </c>
      <c r="B40" s="1504"/>
      <c r="C40" s="2408"/>
      <c r="D40" s="2408"/>
      <c r="E40" s="2408"/>
      <c r="F40" s="2409"/>
      <c r="H40" s="1508"/>
      <c r="I40" s="1508"/>
      <c r="J40" s="1508"/>
      <c r="K40" s="1508"/>
    </row>
    <row r="41" spans="1:15" s="1499" customFormat="1" ht="12" customHeight="1" x14ac:dyDescent="0.25">
      <c r="A41" s="2410" t="s">
        <v>2073</v>
      </c>
      <c r="B41" s="2411"/>
      <c r="C41" s="2411"/>
      <c r="D41" s="2411"/>
      <c r="E41" s="2411"/>
      <c r="F41" s="2412"/>
      <c r="H41" s="1508"/>
      <c r="I41" s="1508"/>
      <c r="J41" s="1508"/>
      <c r="K41" s="1508"/>
    </row>
    <row r="42" spans="1:15" s="1499" customFormat="1" ht="12" customHeight="1" x14ac:dyDescent="0.25">
      <c r="A42" s="2410" t="s">
        <v>2074</v>
      </c>
      <c r="B42" s="2411"/>
      <c r="C42" s="2411"/>
      <c r="D42" s="2411"/>
      <c r="E42" s="2411"/>
      <c r="F42" s="2412"/>
      <c r="H42" s="1508"/>
      <c r="I42" s="1508"/>
      <c r="J42" s="1508"/>
      <c r="K42" s="1508"/>
    </row>
    <row r="43" spans="1:15" s="1499" customFormat="1" ht="15" x14ac:dyDescent="0.25">
      <c r="A43" s="2399" t="s">
        <v>2075</v>
      </c>
      <c r="B43" s="2400"/>
      <c r="C43" s="2400"/>
      <c r="D43" s="2400"/>
      <c r="E43" s="2400"/>
      <c r="F43" s="2401"/>
      <c r="H43" s="1508"/>
      <c r="I43" s="1508"/>
      <c r="J43" s="1508"/>
      <c r="K43" s="1508"/>
    </row>
    <row r="44" spans="1:15" s="1499" customFormat="1" ht="12" hidden="1" customHeight="1" x14ac:dyDescent="0.25">
      <c r="A44" s="2399"/>
      <c r="B44" s="2400"/>
      <c r="C44" s="2400"/>
      <c r="D44" s="2400"/>
      <c r="E44" s="2400"/>
      <c r="F44" s="240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Header>&amp;LPage 31&amp;RPage 31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3" customWidth="1"/>
    <col min="2" max="2" width="3" style="1923" customWidth="1"/>
    <col min="3" max="3" width="48.5703125" style="1923" customWidth="1"/>
    <col min="4" max="4" width="7.42578125" style="1923" customWidth="1"/>
    <col min="5" max="5" width="11.28515625" style="1923" customWidth="1"/>
    <col min="6" max="6" width="10.85546875" style="1923" customWidth="1"/>
    <col min="7" max="8" width="9.140625" style="1923"/>
    <col min="9" max="9" width="11.140625" style="1923" customWidth="1"/>
    <col min="10" max="10" width="10.85546875" style="1923" customWidth="1"/>
    <col min="11" max="11" width="9.140625" style="1923"/>
    <col min="12" max="12" width="14.140625" style="1923" customWidth="1"/>
    <col min="13" max="13" width="9.140625" style="1923"/>
    <col min="14" max="14" width="18.7109375" style="1923" customWidth="1"/>
    <col min="15" max="16384" width="9.140625" style="1923"/>
  </cols>
  <sheetData>
    <row r="1" spans="1:14" x14ac:dyDescent="0.2">
      <c r="A1" s="1981"/>
      <c r="B1" s="1982"/>
      <c r="C1" s="1982"/>
      <c r="D1" s="1982"/>
      <c r="E1" s="1982"/>
      <c r="F1" s="1982"/>
      <c r="G1" s="1997" t="s">
        <v>402</v>
      </c>
      <c r="H1" s="1998"/>
      <c r="I1" s="1982"/>
      <c r="J1" s="1982"/>
      <c r="K1" s="1982"/>
      <c r="L1" s="1982"/>
      <c r="M1" s="1982"/>
      <c r="N1" s="1983"/>
    </row>
    <row r="2" spans="1:14" x14ac:dyDescent="0.2">
      <c r="A2" s="1999"/>
      <c r="B2" s="838"/>
      <c r="C2" s="838"/>
      <c r="D2" s="838"/>
      <c r="E2" s="838"/>
      <c r="F2" s="838"/>
      <c r="G2" s="1925" t="s">
        <v>2002</v>
      </c>
      <c r="H2" s="1922"/>
      <c r="I2" s="838"/>
      <c r="J2" s="838"/>
      <c r="K2" s="838"/>
      <c r="L2" s="838"/>
      <c r="M2" s="838"/>
      <c r="N2" s="2000"/>
    </row>
    <row r="3" spans="1:14" x14ac:dyDescent="0.2">
      <c r="A3" s="1999"/>
      <c r="B3" s="838"/>
      <c r="C3" s="838"/>
      <c r="D3" s="838"/>
      <c r="E3" s="838"/>
      <c r="F3" s="838"/>
      <c r="G3" s="1925" t="s">
        <v>403</v>
      </c>
      <c r="H3" s="838"/>
      <c r="I3" s="838"/>
      <c r="J3" s="838"/>
      <c r="K3" s="838"/>
      <c r="L3" s="838"/>
      <c r="M3" s="838"/>
      <c r="N3" s="2000"/>
    </row>
    <row r="4" spans="1:14" x14ac:dyDescent="0.2">
      <c r="A4" s="1999"/>
      <c r="B4" s="838"/>
      <c r="C4" s="838"/>
      <c r="D4" s="838"/>
      <c r="E4" s="838"/>
      <c r="F4" s="838"/>
      <c r="G4" s="1925" t="s">
        <v>863</v>
      </c>
      <c r="H4" s="838"/>
      <c r="I4" s="838"/>
      <c r="J4" s="838"/>
      <c r="K4" s="838"/>
      <c r="L4" s="838"/>
      <c r="M4" s="838"/>
      <c r="N4" s="2000"/>
    </row>
    <row r="5" spans="1:14" x14ac:dyDescent="0.2">
      <c r="A5" s="1999"/>
      <c r="B5" s="838"/>
      <c r="C5" s="838"/>
      <c r="D5" s="838"/>
      <c r="E5" s="838"/>
      <c r="F5" s="1925"/>
      <c r="G5" s="1925"/>
      <c r="H5" s="838"/>
      <c r="I5" s="838"/>
      <c r="J5" s="838"/>
      <c r="K5" s="838"/>
      <c r="L5" s="838"/>
      <c r="M5" s="838"/>
      <c r="N5" s="2000"/>
    </row>
    <row r="6" spans="1:14" x14ac:dyDescent="0.2">
      <c r="A6" s="2001" t="s">
        <v>667</v>
      </c>
      <c r="B6" s="1377"/>
      <c r="C6" s="1377"/>
      <c r="D6" s="1377"/>
      <c r="E6" s="1378"/>
      <c r="F6" s="1924"/>
      <c r="G6" s="1925"/>
      <c r="H6" s="838"/>
      <c r="I6" s="1926" t="s">
        <v>1021</v>
      </c>
      <c r="J6" s="2439" t="str">
        <f>COVER!A17</f>
        <v>Galesburg Area vocational Center</v>
      </c>
      <c r="K6" s="2439"/>
      <c r="L6" s="2453"/>
      <c r="M6" s="838"/>
      <c r="N6" s="2000"/>
    </row>
    <row r="7" spans="1:14" x14ac:dyDescent="0.2">
      <c r="A7" s="2454" t="s">
        <v>864</v>
      </c>
      <c r="B7" s="2455"/>
      <c r="C7" s="2455"/>
      <c r="D7" s="2455"/>
      <c r="E7" s="2456"/>
      <c r="F7" s="839"/>
      <c r="G7" s="838"/>
      <c r="H7" s="838"/>
      <c r="I7" s="1926" t="s">
        <v>369</v>
      </c>
      <c r="J7" s="2441">
        <f>COVER!A13</f>
        <v>33048205041</v>
      </c>
      <c r="K7" s="2441"/>
      <c r="L7" s="2441"/>
      <c r="M7" s="838"/>
      <c r="N7" s="2000"/>
    </row>
    <row r="8" spans="1:14" x14ac:dyDescent="0.2">
      <c r="A8" s="2002"/>
      <c r="B8" s="1927"/>
      <c r="C8" s="1927"/>
      <c r="D8" s="1927"/>
      <c r="E8" s="1928"/>
      <c r="F8" s="1929"/>
      <c r="G8" s="1912"/>
      <c r="H8" s="1912"/>
      <c r="I8" s="1912"/>
      <c r="J8" s="1912"/>
      <c r="K8" s="1912"/>
      <c r="L8" s="1912"/>
      <c r="M8" s="838"/>
      <c r="N8" s="2000"/>
    </row>
    <row r="9" spans="1:14" x14ac:dyDescent="0.2">
      <c r="A9" s="2003"/>
      <c r="B9" s="840"/>
      <c r="C9" s="840"/>
      <c r="D9" s="841"/>
      <c r="E9" s="1930" t="s">
        <v>2018</v>
      </c>
      <c r="F9" s="1857"/>
      <c r="G9" s="1857"/>
      <c r="H9" s="1857"/>
      <c r="I9" s="1931" t="s">
        <v>2019</v>
      </c>
      <c r="J9" s="1857"/>
      <c r="K9" s="1857"/>
      <c r="L9" s="1858"/>
      <c r="M9" s="838"/>
      <c r="N9" s="2000"/>
    </row>
    <row r="10" spans="1:14" x14ac:dyDescent="0.2">
      <c r="A10" s="2004"/>
      <c r="B10" s="1932"/>
      <c r="C10" s="1933"/>
      <c r="D10" s="1934"/>
      <c r="E10" s="1935" t="s">
        <v>422</v>
      </c>
      <c r="F10" s="1936" t="s">
        <v>423</v>
      </c>
      <c r="G10" s="1937" t="s">
        <v>429</v>
      </c>
      <c r="H10" s="1938"/>
      <c r="I10" s="1936" t="s">
        <v>422</v>
      </c>
      <c r="J10" s="1936" t="s">
        <v>423</v>
      </c>
      <c r="K10" s="1937" t="s">
        <v>429</v>
      </c>
      <c r="L10" s="1936"/>
      <c r="M10" s="838"/>
      <c r="N10" s="2000"/>
    </row>
    <row r="11" spans="1:14" ht="51" x14ac:dyDescent="0.2">
      <c r="A11" s="2457" t="s">
        <v>478</v>
      </c>
      <c r="B11" s="2458"/>
      <c r="C11" s="2459"/>
      <c r="D11" s="1939" t="s">
        <v>866</v>
      </c>
      <c r="E11" s="1939" t="s">
        <v>64</v>
      </c>
      <c r="F11" s="1939" t="s">
        <v>6</v>
      </c>
      <c r="G11" s="1940" t="s">
        <v>2020</v>
      </c>
      <c r="H11" s="1941" t="s">
        <v>155</v>
      </c>
      <c r="I11" s="1939" t="s">
        <v>64</v>
      </c>
      <c r="J11" s="1939" t="s">
        <v>6</v>
      </c>
      <c r="K11" s="1940" t="s">
        <v>2001</v>
      </c>
      <c r="L11" s="1941" t="s">
        <v>155</v>
      </c>
      <c r="M11" s="838"/>
      <c r="N11" s="2000"/>
    </row>
    <row r="12" spans="1:14" x14ac:dyDescent="0.2">
      <c r="A12" s="2005">
        <v>1</v>
      </c>
      <c r="B12" s="1942" t="s">
        <v>813</v>
      </c>
      <c r="C12" s="842"/>
      <c r="D12" s="1943">
        <v>2320</v>
      </c>
      <c r="E12" s="1946">
        <f>'Expenditures 15-22'!K50</f>
        <v>0</v>
      </c>
      <c r="F12" s="1944"/>
      <c r="G12" s="1970">
        <f>G68</f>
        <v>0</v>
      </c>
      <c r="H12" s="1946">
        <f t="shared" ref="H12:H18" si="0">SUM(E12:G12)</f>
        <v>0</v>
      </c>
      <c r="I12" s="1945"/>
      <c r="J12" s="1944"/>
      <c r="K12" s="1945"/>
      <c r="L12" s="1946">
        <f t="shared" ref="L12:L18" si="1">SUM(I12:K12)</f>
        <v>0</v>
      </c>
      <c r="M12" s="838"/>
      <c r="N12" s="2000"/>
    </row>
    <row r="13" spans="1:14" x14ac:dyDescent="0.2">
      <c r="A13" s="2005">
        <v>2</v>
      </c>
      <c r="B13" s="1942" t="s">
        <v>42</v>
      </c>
      <c r="C13" s="842"/>
      <c r="D13" s="1943">
        <v>2330</v>
      </c>
      <c r="E13" s="1946">
        <f>'Expenditures 15-22'!K51</f>
        <v>0</v>
      </c>
      <c r="F13" s="1944"/>
      <c r="G13" s="1970">
        <f>H68</f>
        <v>0</v>
      </c>
      <c r="H13" s="1946">
        <f t="shared" si="0"/>
        <v>0</v>
      </c>
      <c r="I13" s="1945"/>
      <c r="J13" s="1944"/>
      <c r="K13" s="1945"/>
      <c r="L13" s="1946">
        <f t="shared" si="1"/>
        <v>0</v>
      </c>
      <c r="M13" s="838"/>
      <c r="N13" s="2000"/>
    </row>
    <row r="14" spans="1:14" x14ac:dyDescent="0.2">
      <c r="A14" s="2005">
        <v>3</v>
      </c>
      <c r="B14" s="1942" t="s">
        <v>43</v>
      </c>
      <c r="C14" s="842"/>
      <c r="D14" s="1947">
        <v>2490</v>
      </c>
      <c r="E14" s="1946">
        <f>'Expenditures 15-22'!K56</f>
        <v>0</v>
      </c>
      <c r="F14" s="1944"/>
      <c r="G14" s="1970">
        <f>I68</f>
        <v>0</v>
      </c>
      <c r="H14" s="1946">
        <f t="shared" si="0"/>
        <v>0</v>
      </c>
      <c r="I14" s="1945"/>
      <c r="J14" s="1944"/>
      <c r="K14" s="1945"/>
      <c r="L14" s="1946">
        <f t="shared" si="1"/>
        <v>0</v>
      </c>
      <c r="M14" s="838"/>
      <c r="N14" s="2000"/>
    </row>
    <row r="15" spans="1:14" x14ac:dyDescent="0.2">
      <c r="A15" s="2005">
        <v>4</v>
      </c>
      <c r="B15" s="1942" t="s">
        <v>1059</v>
      </c>
      <c r="C15" s="842"/>
      <c r="D15" s="1943">
        <v>2510</v>
      </c>
      <c r="E15" s="1946">
        <f>'Expenditures 15-22'!K59</f>
        <v>0</v>
      </c>
      <c r="F15" s="1946">
        <f>'Expenditures 15-22'!K122</f>
        <v>0</v>
      </c>
      <c r="G15" s="1970">
        <f>J68</f>
        <v>0</v>
      </c>
      <c r="H15" s="1946">
        <f t="shared" si="0"/>
        <v>0</v>
      </c>
      <c r="I15" s="1945"/>
      <c r="J15" s="1945"/>
      <c r="K15" s="1945"/>
      <c r="L15" s="1946">
        <f t="shared" si="1"/>
        <v>0</v>
      </c>
      <c r="M15" s="838"/>
      <c r="N15" s="2000"/>
    </row>
    <row r="16" spans="1:14" x14ac:dyDescent="0.2">
      <c r="A16" s="2005">
        <v>5</v>
      </c>
      <c r="B16" s="1942" t="s">
        <v>101</v>
      </c>
      <c r="C16" s="842"/>
      <c r="D16" s="1943">
        <v>2570</v>
      </c>
      <c r="E16" s="1946">
        <f>'Expenditures 15-22'!K64</f>
        <v>118</v>
      </c>
      <c r="F16" s="1944"/>
      <c r="G16" s="1970">
        <f>K68</f>
        <v>0</v>
      </c>
      <c r="H16" s="1946">
        <f t="shared" si="0"/>
        <v>118</v>
      </c>
      <c r="I16" s="1945"/>
      <c r="J16" s="1944"/>
      <c r="K16" s="1945"/>
      <c r="L16" s="1946">
        <f t="shared" si="1"/>
        <v>0</v>
      </c>
      <c r="M16" s="838"/>
      <c r="N16" s="2000"/>
    </row>
    <row r="17" spans="1:14" x14ac:dyDescent="0.2">
      <c r="A17" s="2005">
        <v>6</v>
      </c>
      <c r="B17" s="1942" t="s">
        <v>1051</v>
      </c>
      <c r="C17" s="842"/>
      <c r="D17" s="1943">
        <v>2610</v>
      </c>
      <c r="E17" s="1946">
        <f>'Expenditures 15-22'!K67</f>
        <v>0</v>
      </c>
      <c r="F17" s="1944"/>
      <c r="G17" s="1970">
        <f>L68</f>
        <v>0</v>
      </c>
      <c r="H17" s="1946">
        <f t="shared" si="0"/>
        <v>0</v>
      </c>
      <c r="I17" s="1945"/>
      <c r="J17" s="1944"/>
      <c r="K17" s="1945"/>
      <c r="L17" s="1946">
        <f t="shared" si="1"/>
        <v>0</v>
      </c>
      <c r="M17" s="838"/>
      <c r="N17" s="2000"/>
    </row>
    <row r="18" spans="1:14" ht="26.25" customHeight="1" x14ac:dyDescent="0.2">
      <c r="A18" s="2006">
        <v>7</v>
      </c>
      <c r="B18" s="2460" t="s">
        <v>7</v>
      </c>
      <c r="C18" s="2461"/>
      <c r="D18" s="2462"/>
      <c r="E18" s="1948"/>
      <c r="F18" s="1948"/>
      <c r="G18" s="1945"/>
      <c r="H18" s="1949">
        <f t="shared" si="0"/>
        <v>0</v>
      </c>
      <c r="I18" s="1945"/>
      <c r="J18" s="1945"/>
      <c r="K18" s="1945"/>
      <c r="L18" s="1946">
        <f t="shared" si="1"/>
        <v>0</v>
      </c>
      <c r="M18" s="838"/>
      <c r="N18" s="2000"/>
    </row>
    <row r="19" spans="1:14" ht="13.5" thickBot="1" x14ac:dyDescent="0.25">
      <c r="A19" s="2005">
        <v>8</v>
      </c>
      <c r="B19" s="1950" t="s">
        <v>1151</v>
      </c>
      <c r="C19" s="838"/>
      <c r="D19" s="1951"/>
      <c r="E19" s="1952">
        <f t="shared" ref="E19:L19" si="2">SUM(E12:E17)-E18</f>
        <v>118</v>
      </c>
      <c r="F19" s="1952">
        <f t="shared" si="2"/>
        <v>0</v>
      </c>
      <c r="G19" s="1952">
        <f t="shared" ref="G19" si="3">SUM(G12:G17)-G18</f>
        <v>0</v>
      </c>
      <c r="H19" s="1952">
        <f t="shared" si="2"/>
        <v>118</v>
      </c>
      <c r="I19" s="1952">
        <f t="shared" si="2"/>
        <v>0</v>
      </c>
      <c r="J19" s="1952">
        <f t="shared" si="2"/>
        <v>0</v>
      </c>
      <c r="K19" s="1952">
        <f t="shared" si="2"/>
        <v>0</v>
      </c>
      <c r="L19" s="1952">
        <f t="shared" si="2"/>
        <v>0</v>
      </c>
      <c r="M19" s="838"/>
      <c r="N19" s="2000"/>
    </row>
    <row r="20" spans="1:14" ht="13.5" thickTop="1" x14ac:dyDescent="0.2">
      <c r="A20" s="2005">
        <v>9</v>
      </c>
      <c r="B20" s="2463" t="s">
        <v>2021</v>
      </c>
      <c r="C20" s="2463"/>
      <c r="D20" s="2464"/>
      <c r="E20" s="1953"/>
      <c r="F20" s="1953"/>
      <c r="G20" s="1953"/>
      <c r="H20" s="1953"/>
      <c r="I20" s="1953"/>
      <c r="J20" s="1953"/>
      <c r="K20" s="1953"/>
      <c r="L20" s="1954" t="str">
        <f>IF(AND(H19&gt;0,L19&gt;0),(((L19-H19)/H19)),"Enter Budget Data")</f>
        <v>Enter Budget Data</v>
      </c>
      <c r="M20" s="838"/>
      <c r="N20" s="2000"/>
    </row>
    <row r="21" spans="1:14" x14ac:dyDescent="0.2">
      <c r="A21" s="2007" t="s">
        <v>194</v>
      </c>
      <c r="B21" s="2008" t="s">
        <v>2046</v>
      </c>
      <c r="C21" s="838"/>
      <c r="D21" s="1955"/>
      <c r="E21" s="1956"/>
      <c r="F21" s="1957"/>
      <c r="G21" s="1957"/>
      <c r="H21" s="1957"/>
      <c r="I21" s="1957"/>
      <c r="J21" s="1957"/>
      <c r="K21" s="1957"/>
      <c r="L21" s="1958"/>
      <c r="M21" s="838"/>
      <c r="N21" s="2000"/>
    </row>
    <row r="22" spans="1:14" x14ac:dyDescent="0.2">
      <c r="A22" s="1999"/>
      <c r="B22" s="2009"/>
      <c r="C22" s="838"/>
      <c r="D22" s="838"/>
      <c r="E22" s="838"/>
      <c r="F22" s="838"/>
      <c r="G22" s="838"/>
      <c r="H22" s="838"/>
      <c r="I22" s="838"/>
      <c r="J22" s="838"/>
      <c r="K22" s="838"/>
      <c r="L22" s="838"/>
      <c r="M22" s="838"/>
      <c r="N22" s="2000"/>
    </row>
    <row r="23" spans="1:14" x14ac:dyDescent="0.2">
      <c r="A23" s="2010" t="s">
        <v>132</v>
      </c>
      <c r="B23" s="2009"/>
      <c r="C23" s="838"/>
      <c r="D23" s="838"/>
      <c r="E23" s="838"/>
      <c r="F23" s="838"/>
      <c r="G23" s="838"/>
      <c r="H23" s="838"/>
      <c r="I23" s="838"/>
      <c r="J23" s="838"/>
      <c r="K23" s="838"/>
      <c r="L23" s="838"/>
      <c r="M23" s="838"/>
      <c r="N23" s="2000"/>
    </row>
    <row r="24" spans="1:14" x14ac:dyDescent="0.2">
      <c r="A24" s="2011" t="s">
        <v>2022</v>
      </c>
      <c r="B24" s="2012"/>
      <c r="C24" s="2013"/>
      <c r="D24" s="2013"/>
      <c r="E24" s="2013"/>
      <c r="F24" s="2013"/>
      <c r="G24" s="2013"/>
      <c r="H24" s="2013"/>
      <c r="I24" s="2013"/>
      <c r="J24" s="2013"/>
      <c r="K24" s="2013"/>
      <c r="L24" s="838"/>
      <c r="M24" s="838"/>
      <c r="N24" s="2000"/>
    </row>
    <row r="25" spans="1:14" x14ac:dyDescent="0.2">
      <c r="A25" s="2011" t="s">
        <v>2023</v>
      </c>
      <c r="B25" s="2012"/>
      <c r="C25" s="2013"/>
      <c r="D25" s="2013"/>
      <c r="E25" s="2013"/>
      <c r="F25" s="2013"/>
      <c r="G25" s="2013"/>
      <c r="H25" s="2013"/>
      <c r="I25" s="2013"/>
      <c r="J25" s="2013"/>
      <c r="K25" s="2013"/>
      <c r="L25" s="838"/>
      <c r="M25" s="838"/>
      <c r="N25" s="2000"/>
    </row>
    <row r="26" spans="1:14" x14ac:dyDescent="0.2">
      <c r="A26" s="2014"/>
      <c r="B26" s="2009"/>
      <c r="C26" s="838"/>
      <c r="D26" s="838"/>
      <c r="E26" s="838"/>
      <c r="F26" s="838"/>
      <c r="G26" s="838"/>
      <c r="H26" s="838"/>
      <c r="I26" s="838"/>
      <c r="J26" s="838"/>
      <c r="K26" s="838"/>
      <c r="L26" s="838"/>
      <c r="M26" s="838"/>
      <c r="N26" s="2000"/>
    </row>
    <row r="27" spans="1:14" x14ac:dyDescent="0.2">
      <c r="A27" s="1999"/>
      <c r="B27" s="2009"/>
      <c r="C27" s="2465"/>
      <c r="D27" s="2465"/>
      <c r="E27" s="843"/>
      <c r="F27" s="2466"/>
      <c r="G27" s="2466"/>
      <c r="H27" s="2466"/>
      <c r="I27" s="838"/>
      <c r="J27" s="838"/>
      <c r="K27" s="838"/>
      <c r="L27" s="838"/>
      <c r="M27" s="838"/>
      <c r="N27" s="2000"/>
    </row>
    <row r="28" spans="1:14" x14ac:dyDescent="0.2">
      <c r="A28" s="1999"/>
      <c r="B28" s="2009"/>
      <c r="C28" s="1959" t="s">
        <v>1026</v>
      </c>
      <c r="D28" s="844"/>
      <c r="E28" s="1960"/>
      <c r="F28" s="2467" t="s">
        <v>1492</v>
      </c>
      <c r="G28" s="2467"/>
      <c r="H28" s="2467"/>
      <c r="I28" s="838"/>
      <c r="J28" s="838"/>
      <c r="K28" s="838"/>
      <c r="L28" s="838"/>
      <c r="M28" s="838"/>
      <c r="N28" s="2000"/>
    </row>
    <row r="29" spans="1:14" x14ac:dyDescent="0.2">
      <c r="A29" s="1999"/>
      <c r="B29" s="2009"/>
      <c r="C29" s="2468"/>
      <c r="D29" s="2468"/>
      <c r="E29" s="845"/>
      <c r="F29" s="2468"/>
      <c r="G29" s="2468"/>
      <c r="H29" s="2468"/>
      <c r="I29" s="838"/>
      <c r="J29" s="838"/>
      <c r="K29" s="838"/>
      <c r="L29" s="838"/>
      <c r="M29" s="838"/>
      <c r="N29" s="2000"/>
    </row>
    <row r="30" spans="1:14" x14ac:dyDescent="0.2">
      <c r="A30" s="1999"/>
      <c r="B30" s="2009"/>
      <c r="C30" s="1962" t="s">
        <v>1544</v>
      </c>
      <c r="D30" s="838"/>
      <c r="E30" s="1961"/>
      <c r="F30" s="2452" t="s">
        <v>1493</v>
      </c>
      <c r="G30" s="2452"/>
      <c r="H30" s="2452"/>
      <c r="I30" s="838"/>
      <c r="J30" s="838"/>
      <c r="K30" s="838"/>
      <c r="L30" s="838"/>
      <c r="M30" s="838"/>
      <c r="N30" s="2000"/>
    </row>
    <row r="31" spans="1:14" x14ac:dyDescent="0.2">
      <c r="A31" s="1999"/>
      <c r="B31" s="2009"/>
      <c r="C31" s="2015"/>
      <c r="D31" s="838"/>
      <c r="E31" s="1955"/>
      <c r="F31" s="1956"/>
      <c r="G31" s="1956"/>
      <c r="H31" s="1956"/>
      <c r="I31" s="838"/>
      <c r="J31" s="838"/>
      <c r="K31" s="838"/>
      <c r="L31" s="838"/>
      <c r="M31" s="838"/>
      <c r="N31" s="2000"/>
    </row>
    <row r="32" spans="1:14" x14ac:dyDescent="0.2">
      <c r="A32" s="1999"/>
      <c r="B32" s="2016" t="s">
        <v>1027</v>
      </c>
      <c r="C32" s="838"/>
      <c r="D32" s="838"/>
      <c r="E32" s="838"/>
      <c r="F32" s="838"/>
      <c r="G32" s="838"/>
      <c r="H32" s="838"/>
      <c r="I32" s="838"/>
      <c r="J32" s="838"/>
      <c r="K32" s="838"/>
      <c r="L32" s="838"/>
      <c r="M32" s="838"/>
      <c r="N32" s="2000"/>
    </row>
    <row r="33" spans="1:14" x14ac:dyDescent="0.2">
      <c r="A33" s="1999"/>
      <c r="B33" s="2017"/>
      <c r="C33" s="838"/>
      <c r="D33" s="838"/>
      <c r="E33" s="838"/>
      <c r="F33" s="838"/>
      <c r="G33" s="838"/>
      <c r="H33" s="838"/>
      <c r="I33" s="838"/>
      <c r="J33" s="838"/>
      <c r="K33" s="838"/>
      <c r="L33" s="838"/>
      <c r="M33" s="838"/>
      <c r="N33" s="2000"/>
    </row>
    <row r="34" spans="1:14" x14ac:dyDescent="0.2">
      <c r="A34" s="1999"/>
      <c r="B34" s="846"/>
      <c r="C34" s="2429" t="s">
        <v>2024</v>
      </c>
      <c r="D34" s="2430"/>
      <c r="E34" s="2430"/>
      <c r="F34" s="2430"/>
      <c r="G34" s="2430"/>
      <c r="H34" s="2430"/>
      <c r="I34" s="2430"/>
      <c r="J34" s="2430"/>
      <c r="K34" s="2018"/>
      <c r="L34" s="838"/>
      <c r="M34" s="838"/>
      <c r="N34" s="2000"/>
    </row>
    <row r="35" spans="1:14" x14ac:dyDescent="0.2">
      <c r="A35" s="1999"/>
      <c r="B35" s="838"/>
      <c r="C35" s="2430"/>
      <c r="D35" s="2430"/>
      <c r="E35" s="2430"/>
      <c r="F35" s="2430"/>
      <c r="G35" s="2430"/>
      <c r="H35" s="2430"/>
      <c r="I35" s="2430"/>
      <c r="J35" s="2430"/>
      <c r="K35" s="2018"/>
      <c r="L35" s="838"/>
      <c r="M35" s="838"/>
      <c r="N35" s="2000"/>
    </row>
    <row r="36" spans="1:14" x14ac:dyDescent="0.2">
      <c r="A36" s="1999"/>
      <c r="B36" s="838"/>
      <c r="C36" s="2019"/>
      <c r="D36" s="838"/>
      <c r="E36" s="838"/>
      <c r="F36" s="838"/>
      <c r="G36" s="838"/>
      <c r="H36" s="838"/>
      <c r="I36" s="838"/>
      <c r="J36" s="838"/>
      <c r="K36" s="838"/>
      <c r="L36" s="838"/>
      <c r="M36" s="838"/>
      <c r="N36" s="2000"/>
    </row>
    <row r="37" spans="1:14" x14ac:dyDescent="0.2">
      <c r="A37" s="1999"/>
      <c r="B37" s="846"/>
      <c r="C37" s="2429" t="s">
        <v>2025</v>
      </c>
      <c r="D37" s="2430"/>
      <c r="E37" s="2430"/>
      <c r="F37" s="2430"/>
      <c r="G37" s="2430"/>
      <c r="H37" s="2430"/>
      <c r="I37" s="2430"/>
      <c r="J37" s="2430"/>
      <c r="K37" s="2018"/>
      <c r="L37" s="2020"/>
      <c r="M37" s="838"/>
      <c r="N37" s="2000"/>
    </row>
    <row r="38" spans="1:14" x14ac:dyDescent="0.2">
      <c r="A38" s="1999"/>
      <c r="B38" s="838"/>
      <c r="C38" s="2430"/>
      <c r="D38" s="2430"/>
      <c r="E38" s="2430"/>
      <c r="F38" s="2430"/>
      <c r="G38" s="2430"/>
      <c r="H38" s="2430"/>
      <c r="I38" s="2430"/>
      <c r="J38" s="2430"/>
      <c r="K38" s="2018"/>
      <c r="L38" s="2020"/>
      <c r="M38" s="838"/>
      <c r="N38" s="2000"/>
    </row>
    <row r="39" spans="1:14" x14ac:dyDescent="0.2">
      <c r="A39" s="1999"/>
      <c r="B39" s="838"/>
      <c r="C39" s="2019"/>
      <c r="D39" s="838"/>
      <c r="E39" s="1963"/>
      <c r="F39" s="1964"/>
      <c r="G39" s="1964"/>
      <c r="H39" s="1963"/>
      <c r="I39" s="838"/>
      <c r="J39" s="838"/>
      <c r="K39" s="838"/>
      <c r="L39" s="838"/>
      <c r="M39" s="838"/>
      <c r="N39" s="2000"/>
    </row>
    <row r="40" spans="1:14" x14ac:dyDescent="0.2">
      <c r="A40" s="1999"/>
      <c r="B40" s="846"/>
      <c r="C40" s="2431" t="s">
        <v>2026</v>
      </c>
      <c r="D40" s="2432"/>
      <c r="E40" s="2432"/>
      <c r="F40" s="2432"/>
      <c r="G40" s="2432"/>
      <c r="H40" s="2432"/>
      <c r="I40" s="2432"/>
      <c r="J40" s="2432"/>
      <c r="K40" s="1965"/>
      <c r="L40" s="838"/>
      <c r="M40" s="838"/>
      <c r="N40" s="2000"/>
    </row>
    <row r="41" spans="1:14" x14ac:dyDescent="0.2">
      <c r="A41" s="1999"/>
      <c r="B41" s="838"/>
      <c r="C41" s="2021"/>
      <c r="D41" s="2021"/>
      <c r="E41" s="2021"/>
      <c r="F41" s="2021"/>
      <c r="G41" s="2021"/>
      <c r="H41" s="2021"/>
      <c r="I41" s="2021"/>
      <c r="J41" s="2021"/>
      <c r="K41" s="2021"/>
      <c r="L41" s="838"/>
      <c r="M41" s="838"/>
      <c r="N41" s="2000"/>
    </row>
    <row r="42" spans="1:14" ht="13.5" thickBot="1" x14ac:dyDescent="0.25">
      <c r="A42" s="2022"/>
      <c r="B42" s="2023"/>
      <c r="C42" s="2023"/>
      <c r="D42" s="2023"/>
      <c r="E42" s="2023"/>
      <c r="F42" s="2023"/>
      <c r="G42" s="2023"/>
      <c r="H42" s="2023"/>
      <c r="I42" s="2023"/>
      <c r="J42" s="2023"/>
      <c r="K42" s="2023"/>
      <c r="L42" s="2023"/>
      <c r="M42" s="2023"/>
      <c r="N42" s="2024"/>
    </row>
    <row r="43" spans="1:14" ht="27" thickBot="1" x14ac:dyDescent="0.45">
      <c r="A43" s="2433" t="s">
        <v>2027</v>
      </c>
      <c r="B43" s="2434"/>
      <c r="C43" s="2434"/>
      <c r="D43" s="2434"/>
      <c r="E43" s="2434"/>
      <c r="F43" s="2434"/>
      <c r="G43" s="2434"/>
      <c r="H43" s="2434"/>
      <c r="I43" s="2434"/>
      <c r="J43" s="2434"/>
      <c r="K43" s="2434"/>
      <c r="L43" s="2434"/>
      <c r="M43" s="2434"/>
      <c r="N43" s="2435"/>
    </row>
    <row r="44" spans="1:14" x14ac:dyDescent="0.2">
      <c r="A44" s="1984"/>
      <c r="B44" s="1985"/>
      <c r="C44" s="1985"/>
      <c r="D44" s="1985"/>
      <c r="E44" s="1985"/>
      <c r="F44" s="1985"/>
      <c r="G44" s="1985"/>
      <c r="H44" s="1985"/>
      <c r="I44" s="1985"/>
      <c r="J44" s="1985"/>
      <c r="K44" s="1985"/>
      <c r="L44" s="1985"/>
      <c r="M44" s="1985"/>
      <c r="N44" s="1986"/>
    </row>
    <row r="45" spans="1:14" x14ac:dyDescent="0.2">
      <c r="A45" s="1984" t="s">
        <v>2028</v>
      </c>
      <c r="B45" s="1985"/>
      <c r="C45" s="1985"/>
      <c r="D45" s="1985"/>
      <c r="E45" s="1985"/>
      <c r="F45" s="1985"/>
      <c r="G45" s="1985"/>
      <c r="H45" s="1985"/>
      <c r="I45" s="1985"/>
      <c r="J45" s="1985"/>
      <c r="K45" s="1985"/>
      <c r="L45" s="1985"/>
      <c r="M45" s="1985"/>
      <c r="N45" s="1986"/>
    </row>
    <row r="46" spans="1:14" x14ac:dyDescent="0.2">
      <c r="A46" s="2436" t="s">
        <v>2029</v>
      </c>
      <c r="B46" s="2437"/>
      <c r="C46" s="2437"/>
      <c r="D46" s="2437"/>
      <c r="E46" s="2437"/>
      <c r="F46" s="2437"/>
      <c r="G46" s="2437"/>
      <c r="H46" s="2437"/>
      <c r="I46" s="2437"/>
      <c r="J46" s="2437"/>
      <c r="K46" s="2437"/>
      <c r="L46" s="2437"/>
      <c r="M46" s="2437"/>
      <c r="N46" s="2438"/>
    </row>
    <row r="47" spans="1:14" x14ac:dyDescent="0.2">
      <c r="A47" s="2436"/>
      <c r="B47" s="2437"/>
      <c r="C47" s="2437"/>
      <c r="D47" s="2437"/>
      <c r="E47" s="2437"/>
      <c r="F47" s="2437"/>
      <c r="G47" s="2437"/>
      <c r="H47" s="2437"/>
      <c r="I47" s="2437"/>
      <c r="J47" s="2437"/>
      <c r="K47" s="2437"/>
      <c r="L47" s="2437"/>
      <c r="M47" s="2437"/>
      <c r="N47" s="2438"/>
    </row>
    <row r="48" spans="1:14" x14ac:dyDescent="0.2">
      <c r="A48" s="1987"/>
      <c r="B48" s="1985"/>
      <c r="C48" s="1985"/>
      <c r="D48" s="1988"/>
      <c r="E48" s="1988"/>
      <c r="F48" s="1988"/>
      <c r="G48" s="1988"/>
      <c r="H48" s="1988"/>
      <c r="I48" s="1988"/>
      <c r="J48" s="1988"/>
      <c r="K48" s="1988"/>
      <c r="L48" s="1988"/>
      <c r="M48" s="1988"/>
      <c r="N48" s="1989"/>
    </row>
    <row r="49" spans="1:14" s="2029" customFormat="1" ht="15.75" x14ac:dyDescent="0.25">
      <c r="A49" s="2030" t="s">
        <v>2045</v>
      </c>
      <c r="B49" s="2026"/>
      <c r="C49" s="2026"/>
      <c r="D49" s="2027"/>
      <c r="E49" s="2027"/>
      <c r="F49" s="2027"/>
      <c r="G49" s="2027"/>
      <c r="H49" s="2027"/>
      <c r="I49" s="2027"/>
      <c r="J49" s="2027"/>
      <c r="K49" s="2027"/>
      <c r="L49" s="2027"/>
      <c r="M49" s="2027"/>
      <c r="N49" s="2028"/>
    </row>
    <row r="50" spans="1:14" ht="15" x14ac:dyDescent="0.25">
      <c r="A50" s="2030" t="s">
        <v>2044</v>
      </c>
      <c r="B50" s="1985"/>
      <c r="C50" s="1985"/>
      <c r="D50" s="1985"/>
      <c r="E50" s="1985"/>
      <c r="F50" s="1985"/>
      <c r="G50" s="1985"/>
      <c r="H50" s="1985"/>
      <c r="I50" s="1985"/>
      <c r="J50" s="1985"/>
      <c r="K50" s="1985"/>
      <c r="L50" s="1985"/>
      <c r="M50" s="1985"/>
      <c r="N50" s="1986"/>
    </row>
    <row r="51" spans="1:14" x14ac:dyDescent="0.2">
      <c r="A51" s="1984"/>
      <c r="B51" s="1985"/>
      <c r="C51" s="1985"/>
      <c r="D51" s="1985"/>
      <c r="E51" s="1985"/>
      <c r="F51" s="1985"/>
      <c r="G51" s="1985"/>
      <c r="H51" s="1985"/>
      <c r="I51" s="1985"/>
      <c r="J51" s="1985"/>
      <c r="K51" s="1985"/>
      <c r="L51" s="1985"/>
      <c r="M51" s="1985"/>
      <c r="N51" s="1986"/>
    </row>
    <row r="52" spans="1:14" x14ac:dyDescent="0.2">
      <c r="A52" s="1984"/>
      <c r="B52" s="1985"/>
      <c r="C52" s="1985"/>
      <c r="D52" s="1985"/>
      <c r="E52" s="1985"/>
      <c r="F52" s="1985"/>
      <c r="G52" s="1985"/>
      <c r="H52" s="1985"/>
      <c r="I52" s="1985"/>
      <c r="J52" s="1985"/>
      <c r="K52" s="1926" t="s">
        <v>1021</v>
      </c>
      <c r="L52" s="2439" t="str">
        <f>J6</f>
        <v>Galesburg Area vocational Center</v>
      </c>
      <c r="M52" s="2439"/>
      <c r="N52" s="2440"/>
    </row>
    <row r="53" spans="1:14" x14ac:dyDescent="0.2">
      <c r="A53" s="1984"/>
      <c r="B53" s="1985"/>
      <c r="C53" s="1985"/>
      <c r="D53" s="1985"/>
      <c r="E53" s="1985"/>
      <c r="F53" s="1985"/>
      <c r="G53" s="1985"/>
      <c r="H53" s="1985"/>
      <c r="I53" s="1985"/>
      <c r="J53" s="1985"/>
      <c r="K53" s="1926" t="s">
        <v>369</v>
      </c>
      <c r="L53" s="2441">
        <f>J7</f>
        <v>33048205041</v>
      </c>
      <c r="M53" s="2441"/>
      <c r="N53" s="2442"/>
    </row>
    <row r="54" spans="1:14" ht="13.5" thickBot="1" x14ac:dyDescent="0.25">
      <c r="A54" s="1984"/>
      <c r="B54" s="1985"/>
      <c r="C54" s="1985"/>
      <c r="D54" s="1985"/>
      <c r="E54" s="1985"/>
      <c r="F54" s="1985"/>
      <c r="G54" s="1985"/>
      <c r="H54" s="1985"/>
      <c r="I54" s="1985"/>
      <c r="J54" s="1985"/>
      <c r="K54" s="1985"/>
      <c r="L54" s="1985"/>
      <c r="M54" s="1985"/>
      <c r="N54" s="1986"/>
    </row>
    <row r="55" spans="1:14" x14ac:dyDescent="0.2">
      <c r="A55" s="2443"/>
      <c r="B55" s="2444"/>
      <c r="C55" s="2444"/>
      <c r="D55" s="1972"/>
      <c r="E55" s="1972"/>
      <c r="F55" s="1972"/>
      <c r="G55" s="2445" t="s">
        <v>2030</v>
      </c>
      <c r="H55" s="2445"/>
      <c r="I55" s="2445"/>
      <c r="J55" s="2445"/>
      <c r="K55" s="2445"/>
      <c r="L55" s="2445"/>
      <c r="M55" s="2445"/>
      <c r="N55" s="2446"/>
    </row>
    <row r="56" spans="1:14" ht="63.75" x14ac:dyDescent="0.2">
      <c r="A56" s="2447" t="s">
        <v>2031</v>
      </c>
      <c r="B56" s="2448"/>
      <c r="C56" s="2449"/>
      <c r="D56" s="1966" t="s">
        <v>2032</v>
      </c>
      <c r="E56" s="1966" t="s">
        <v>2033</v>
      </c>
      <c r="F56" s="1973"/>
      <c r="G56" s="1966" t="s">
        <v>2034</v>
      </c>
      <c r="H56" s="1966" t="s">
        <v>2035</v>
      </c>
      <c r="I56" s="1966" t="s">
        <v>2036</v>
      </c>
      <c r="J56" s="1966" t="s">
        <v>2037</v>
      </c>
      <c r="K56" s="1966" t="s">
        <v>2038</v>
      </c>
      <c r="L56" s="1966" t="s">
        <v>2039</v>
      </c>
      <c r="M56" s="1966" t="s">
        <v>2040</v>
      </c>
      <c r="N56" s="1967" t="s">
        <v>2047</v>
      </c>
    </row>
    <row r="57" spans="1:14" ht="24.75" customHeight="1" x14ac:dyDescent="0.2">
      <c r="A57" s="2450" t="s">
        <v>296</v>
      </c>
      <c r="B57" s="2451"/>
      <c r="C57" s="2451"/>
      <c r="D57" s="1968">
        <v>2361</v>
      </c>
      <c r="E57" s="1978">
        <f>'Expenditures 15-22'!K319</f>
        <v>0</v>
      </c>
      <c r="F57" s="1974"/>
      <c r="G57" s="2031"/>
      <c r="H57" s="2032"/>
      <c r="I57" s="2032"/>
      <c r="J57" s="2032"/>
      <c r="K57" s="2032"/>
      <c r="L57" s="2032"/>
      <c r="M57" s="2032"/>
      <c r="N57" s="1977">
        <f>IF((SUM(G57:M57))=E57,SUM(G57:M57),"Column N does not agree with Column E")</f>
        <v>0</v>
      </c>
    </row>
    <row r="58" spans="1:14" ht="24" customHeight="1" x14ac:dyDescent="0.2">
      <c r="A58" s="2427" t="s">
        <v>2041</v>
      </c>
      <c r="B58" s="2428"/>
      <c r="C58" s="2428"/>
      <c r="D58" s="1969">
        <v>2362</v>
      </c>
      <c r="E58" s="1979">
        <f>'Expenditures 15-22'!K320</f>
        <v>0</v>
      </c>
      <c r="F58" s="1974"/>
      <c r="G58" s="2033"/>
      <c r="H58" s="2034"/>
      <c r="I58" s="2034"/>
      <c r="J58" s="2034"/>
      <c r="K58" s="2034"/>
      <c r="L58" s="2034"/>
      <c r="M58" s="2034"/>
      <c r="N58" s="1977">
        <f>IF((SUM(G58:M58))=E58,SUM(G58:M58),"Column N does not agree with Column E")</f>
        <v>0</v>
      </c>
    </row>
    <row r="59" spans="1:14" ht="24.75" customHeight="1" x14ac:dyDescent="0.2">
      <c r="A59" s="2421" t="s">
        <v>297</v>
      </c>
      <c r="B59" s="2422"/>
      <c r="C59" s="2422"/>
      <c r="D59" s="1969">
        <v>2363</v>
      </c>
      <c r="E59" s="1979">
        <f>'Expenditures 15-22'!K321</f>
        <v>0</v>
      </c>
      <c r="F59" s="1974"/>
      <c r="G59" s="2033"/>
      <c r="H59" s="2034"/>
      <c r="I59" s="2034"/>
      <c r="J59" s="2034"/>
      <c r="K59" s="2034"/>
      <c r="L59" s="2034"/>
      <c r="M59" s="2034"/>
      <c r="N59" s="1977">
        <f>IF((SUM(G59:M59))=E59,SUM(G59:M59),"Column N does not agree with Column E")</f>
        <v>0</v>
      </c>
    </row>
    <row r="60" spans="1:14" ht="24" customHeight="1" x14ac:dyDescent="0.2">
      <c r="A60" s="2421" t="s">
        <v>236</v>
      </c>
      <c r="B60" s="2422"/>
      <c r="C60" s="2422"/>
      <c r="D60" s="1969">
        <v>2364</v>
      </c>
      <c r="E60" s="1979">
        <f>'Expenditures 15-22'!K322</f>
        <v>0</v>
      </c>
      <c r="F60" s="1974"/>
      <c r="G60" s="2033"/>
      <c r="H60" s="2034"/>
      <c r="I60" s="2034"/>
      <c r="J60" s="2034"/>
      <c r="K60" s="2034"/>
      <c r="L60" s="2034"/>
      <c r="M60" s="2034"/>
      <c r="N60" s="1977">
        <f t="shared" ref="N60:N67" si="4">IF((SUM(G60:M60))=E60,SUM(G60:M60),"Column N does not agree with Column E")</f>
        <v>0</v>
      </c>
    </row>
    <row r="61" spans="1:14" ht="24.75" customHeight="1" x14ac:dyDescent="0.2">
      <c r="A61" s="2421" t="s">
        <v>697</v>
      </c>
      <c r="B61" s="2422"/>
      <c r="C61" s="2422"/>
      <c r="D61" s="1969">
        <v>2365</v>
      </c>
      <c r="E61" s="1979">
        <f>'Expenditures 15-22'!K323</f>
        <v>0</v>
      </c>
      <c r="F61" s="1974"/>
      <c r="G61" s="2033"/>
      <c r="H61" s="2034"/>
      <c r="I61" s="2034"/>
      <c r="J61" s="2034"/>
      <c r="K61" s="2034"/>
      <c r="L61" s="2034"/>
      <c r="M61" s="2034"/>
      <c r="N61" s="1977">
        <f t="shared" si="4"/>
        <v>0</v>
      </c>
    </row>
    <row r="62" spans="1:14" ht="24" customHeight="1" x14ac:dyDescent="0.2">
      <c r="A62" s="2421" t="s">
        <v>237</v>
      </c>
      <c r="B62" s="2422"/>
      <c r="C62" s="2422"/>
      <c r="D62" s="1969">
        <v>2366</v>
      </c>
      <c r="E62" s="1979">
        <f>'Expenditures 15-22'!K324</f>
        <v>0</v>
      </c>
      <c r="F62" s="1974"/>
      <c r="G62" s="2033"/>
      <c r="H62" s="2034"/>
      <c r="I62" s="2034"/>
      <c r="J62" s="2034"/>
      <c r="K62" s="2034"/>
      <c r="L62" s="2034"/>
      <c r="M62" s="2034"/>
      <c r="N62" s="1977">
        <f t="shared" si="4"/>
        <v>0</v>
      </c>
    </row>
    <row r="63" spans="1:14" ht="24" customHeight="1" x14ac:dyDescent="0.2">
      <c r="A63" s="2427" t="s">
        <v>1022</v>
      </c>
      <c r="B63" s="2428"/>
      <c r="C63" s="2428"/>
      <c r="D63" s="1969">
        <v>2367</v>
      </c>
      <c r="E63" s="1979">
        <f>'Expenditures 15-22'!K325</f>
        <v>0</v>
      </c>
      <c r="F63" s="1974"/>
      <c r="G63" s="2033"/>
      <c r="H63" s="2034"/>
      <c r="I63" s="2034"/>
      <c r="J63" s="2034"/>
      <c r="K63" s="2034"/>
      <c r="L63" s="2034"/>
      <c r="M63" s="2034"/>
      <c r="N63" s="1977">
        <f t="shared" si="4"/>
        <v>0</v>
      </c>
    </row>
    <row r="64" spans="1:14" ht="24" customHeight="1" x14ac:dyDescent="0.2">
      <c r="A64" s="2421" t="s">
        <v>1023</v>
      </c>
      <c r="B64" s="2422"/>
      <c r="C64" s="2422"/>
      <c r="D64" s="1969">
        <v>2368</v>
      </c>
      <c r="E64" s="1979">
        <f>'Expenditures 15-22'!K326</f>
        <v>0</v>
      </c>
      <c r="F64" s="1974"/>
      <c r="G64" s="2033"/>
      <c r="H64" s="2034"/>
      <c r="I64" s="2034"/>
      <c r="J64" s="2034"/>
      <c r="K64" s="2034"/>
      <c r="L64" s="2034"/>
      <c r="M64" s="2034"/>
      <c r="N64" s="1977">
        <f t="shared" si="4"/>
        <v>0</v>
      </c>
    </row>
    <row r="65" spans="1:14" ht="24" customHeight="1" x14ac:dyDescent="0.2">
      <c r="A65" s="2421" t="s">
        <v>965</v>
      </c>
      <c r="B65" s="2422"/>
      <c r="C65" s="2422"/>
      <c r="D65" s="1969">
        <v>2369</v>
      </c>
      <c r="E65" s="1979">
        <f>'Expenditures 15-22'!K327</f>
        <v>0</v>
      </c>
      <c r="F65" s="1974"/>
      <c r="G65" s="2033"/>
      <c r="H65" s="2034"/>
      <c r="I65" s="2034"/>
      <c r="J65" s="2034"/>
      <c r="K65" s="2034"/>
      <c r="L65" s="2034"/>
      <c r="M65" s="2034"/>
      <c r="N65" s="1977">
        <f t="shared" si="4"/>
        <v>0</v>
      </c>
    </row>
    <row r="66" spans="1:14" ht="24" customHeight="1" x14ac:dyDescent="0.2">
      <c r="A66" s="2421" t="s">
        <v>469</v>
      </c>
      <c r="B66" s="2422"/>
      <c r="C66" s="2422"/>
      <c r="D66" s="1969">
        <v>2371</v>
      </c>
      <c r="E66" s="1979">
        <f>'Expenditures 15-22'!K328</f>
        <v>0</v>
      </c>
      <c r="F66" s="1974"/>
      <c r="G66" s="2033"/>
      <c r="H66" s="2034"/>
      <c r="I66" s="2034"/>
      <c r="J66" s="2034"/>
      <c r="K66" s="2034"/>
      <c r="L66" s="2034"/>
      <c r="M66" s="2034"/>
      <c r="N66" s="1977">
        <f t="shared" si="4"/>
        <v>0</v>
      </c>
    </row>
    <row r="67" spans="1:14" ht="24.75" customHeight="1" x14ac:dyDescent="0.2">
      <c r="A67" s="2423" t="s">
        <v>2042</v>
      </c>
      <c r="B67" s="2424"/>
      <c r="C67" s="2424"/>
      <c r="D67" s="1971">
        <v>2372</v>
      </c>
      <c r="E67" s="1980">
        <f>'Expenditures 15-22'!K329</f>
        <v>0</v>
      </c>
      <c r="F67" s="1974"/>
      <c r="G67" s="2035"/>
      <c r="H67" s="2036"/>
      <c r="I67" s="2036"/>
      <c r="J67" s="2036"/>
      <c r="K67" s="2036"/>
      <c r="L67" s="2036"/>
      <c r="M67" s="2036"/>
      <c r="N67" s="1977">
        <f t="shared" si="4"/>
        <v>0</v>
      </c>
    </row>
    <row r="68" spans="1:14" x14ac:dyDescent="0.2">
      <c r="A68" s="2425" t="s">
        <v>1151</v>
      </c>
      <c r="B68" s="2426"/>
      <c r="C68" s="2426"/>
      <c r="D68" s="1972"/>
      <c r="E68" s="1976">
        <f>SUM(E57:E67)</f>
        <v>0</v>
      </c>
      <c r="F68" s="1975"/>
      <c r="G68" s="1976">
        <f t="shared" ref="G68:N68" si="5">SUM(G57:G67)</f>
        <v>0</v>
      </c>
      <c r="H68" s="1976">
        <f t="shared" si="5"/>
        <v>0</v>
      </c>
      <c r="I68" s="1976">
        <f t="shared" si="5"/>
        <v>0</v>
      </c>
      <c r="J68" s="1976">
        <f t="shared" si="5"/>
        <v>0</v>
      </c>
      <c r="K68" s="1976">
        <f t="shared" si="5"/>
        <v>0</v>
      </c>
      <c r="L68" s="1976">
        <f t="shared" si="5"/>
        <v>0</v>
      </c>
      <c r="M68" s="1976">
        <f t="shared" si="5"/>
        <v>0</v>
      </c>
      <c r="N68" s="1990">
        <f t="shared" si="5"/>
        <v>0</v>
      </c>
    </row>
    <row r="69" spans="1:14" x14ac:dyDescent="0.2">
      <c r="A69" s="1991"/>
      <c r="B69" s="1992"/>
      <c r="C69" s="1992"/>
      <c r="D69" s="1992"/>
      <c r="E69" s="1992"/>
      <c r="F69" s="1992"/>
      <c r="G69" s="1992"/>
      <c r="H69" s="1992"/>
      <c r="I69" s="1992"/>
      <c r="J69" s="1992"/>
      <c r="K69" s="1992"/>
      <c r="L69" s="1992"/>
      <c r="M69" s="1992"/>
      <c r="N69" s="1993"/>
    </row>
    <row r="70" spans="1:14" ht="15.75" x14ac:dyDescent="0.25">
      <c r="A70" s="2025" t="s">
        <v>2043</v>
      </c>
      <c r="B70" s="1992"/>
      <c r="C70" s="1992"/>
      <c r="D70" s="1992"/>
      <c r="E70" s="1992"/>
      <c r="F70" s="1992"/>
      <c r="G70" s="1992"/>
      <c r="H70" s="1992"/>
      <c r="I70" s="1992"/>
      <c r="J70" s="1992"/>
      <c r="K70" s="1992"/>
      <c r="L70" s="1992"/>
      <c r="M70" s="1992"/>
      <c r="N70" s="1993"/>
    </row>
    <row r="71" spans="1:14" x14ac:dyDescent="0.2">
      <c r="A71" s="1991"/>
      <c r="B71" s="1992"/>
      <c r="C71" s="1992"/>
      <c r="D71" s="1992"/>
      <c r="E71" s="1992"/>
      <c r="F71" s="1992"/>
      <c r="G71" s="1992"/>
      <c r="H71" s="1992"/>
      <c r="I71" s="1992"/>
      <c r="J71" s="1992"/>
      <c r="K71" s="1992"/>
      <c r="L71" s="1992"/>
      <c r="M71" s="1992"/>
      <c r="N71" s="1993"/>
    </row>
    <row r="72" spans="1:14" x14ac:dyDescent="0.2">
      <c r="A72" s="1991"/>
      <c r="B72" s="1992"/>
      <c r="C72" s="1992"/>
      <c r="D72" s="1992"/>
      <c r="E72" s="1992"/>
      <c r="F72" s="1992"/>
      <c r="G72" s="1992"/>
      <c r="H72" s="1992"/>
      <c r="I72" s="1992"/>
      <c r="J72" s="1992"/>
      <c r="K72" s="1992"/>
      <c r="L72" s="1992"/>
      <c r="M72" s="1992"/>
      <c r="N72" s="1993"/>
    </row>
    <row r="73" spans="1:14" x14ac:dyDescent="0.2">
      <c r="A73" s="1991"/>
      <c r="B73" s="1992"/>
      <c r="C73" s="1992"/>
      <c r="D73" s="1992"/>
      <c r="E73" s="1992"/>
      <c r="F73" s="1992"/>
      <c r="G73" s="1992"/>
      <c r="H73" s="1992"/>
      <c r="I73" s="1992"/>
      <c r="J73" s="1992"/>
      <c r="K73" s="1992"/>
      <c r="L73" s="1992"/>
      <c r="M73" s="1992"/>
      <c r="N73" s="1993"/>
    </row>
    <row r="74" spans="1:14" x14ac:dyDescent="0.2">
      <c r="A74" s="1991"/>
      <c r="B74" s="1992"/>
      <c r="C74" s="1992"/>
      <c r="D74" s="1992"/>
      <c r="E74" s="1992"/>
      <c r="F74" s="1992"/>
      <c r="G74" s="1992"/>
      <c r="H74" s="1992"/>
      <c r="I74" s="1992"/>
      <c r="J74" s="1992"/>
      <c r="K74" s="1992"/>
      <c r="L74" s="1992"/>
      <c r="M74" s="1992"/>
      <c r="N74" s="1993"/>
    </row>
    <row r="75" spans="1:14" x14ac:dyDescent="0.2">
      <c r="A75" s="1991"/>
      <c r="B75" s="1992"/>
      <c r="C75" s="1992"/>
      <c r="D75" s="1992"/>
      <c r="E75" s="1992"/>
      <c r="F75" s="1992"/>
      <c r="G75" s="1992"/>
      <c r="H75" s="1992"/>
      <c r="I75" s="1992"/>
      <c r="J75" s="1992"/>
      <c r="K75" s="1992"/>
      <c r="L75" s="1992"/>
      <c r="M75" s="1992"/>
      <c r="N75" s="1993"/>
    </row>
    <row r="76" spans="1:14" x14ac:dyDescent="0.2">
      <c r="A76" s="1991"/>
      <c r="B76" s="1992"/>
      <c r="C76" s="1992"/>
      <c r="D76" s="1992"/>
      <c r="E76" s="1992"/>
      <c r="F76" s="1992"/>
      <c r="G76" s="1992"/>
      <c r="H76" s="1992"/>
      <c r="I76" s="1992"/>
      <c r="J76" s="1992"/>
      <c r="K76" s="1992"/>
      <c r="L76" s="1992"/>
      <c r="M76" s="1992"/>
      <c r="N76" s="1993"/>
    </row>
    <row r="77" spans="1:14" x14ac:dyDescent="0.2">
      <c r="A77" s="1991"/>
      <c r="B77" s="1992"/>
      <c r="C77" s="1992"/>
      <c r="D77" s="1992"/>
      <c r="E77" s="1992"/>
      <c r="F77" s="1992"/>
      <c r="G77" s="1992"/>
      <c r="H77" s="1992"/>
      <c r="I77" s="1992"/>
      <c r="J77" s="1992"/>
      <c r="K77" s="1992"/>
      <c r="L77" s="1992"/>
      <c r="M77" s="1992"/>
      <c r="N77" s="1993"/>
    </row>
    <row r="78" spans="1:14" x14ac:dyDescent="0.2">
      <c r="A78" s="1991"/>
      <c r="B78" s="1992"/>
      <c r="C78" s="1992"/>
      <c r="D78" s="1992"/>
      <c r="E78" s="1992"/>
      <c r="F78" s="1992"/>
      <c r="G78" s="1992"/>
      <c r="H78" s="1992"/>
      <c r="I78" s="1992"/>
      <c r="J78" s="1992"/>
      <c r="K78" s="1992"/>
      <c r="L78" s="1992"/>
      <c r="M78" s="1992"/>
      <c r="N78" s="1993"/>
    </row>
    <row r="79" spans="1:14" x14ac:dyDescent="0.2">
      <c r="A79" s="1991"/>
      <c r="B79" s="1992"/>
      <c r="C79" s="1992"/>
      <c r="D79" s="1992"/>
      <c r="E79" s="1992"/>
      <c r="F79" s="1992"/>
      <c r="G79" s="1992"/>
      <c r="H79" s="1992"/>
      <c r="I79" s="1992"/>
      <c r="J79" s="1992"/>
      <c r="K79" s="1992"/>
      <c r="L79" s="1992"/>
      <c r="M79" s="1992"/>
      <c r="N79" s="1993"/>
    </row>
    <row r="80" spans="1:14" x14ac:dyDescent="0.2">
      <c r="A80" s="1991"/>
      <c r="B80" s="1992"/>
      <c r="C80" s="1992"/>
      <c r="D80" s="1992"/>
      <c r="E80" s="1992"/>
      <c r="F80" s="1992"/>
      <c r="G80" s="1992"/>
      <c r="H80" s="1992"/>
      <c r="I80" s="1992"/>
      <c r="J80" s="1992"/>
      <c r="K80" s="1992"/>
      <c r="L80" s="1992"/>
      <c r="M80" s="1992"/>
      <c r="N80" s="1993"/>
    </row>
    <row r="81" spans="1:14" x14ac:dyDescent="0.2">
      <c r="A81" s="1991"/>
      <c r="B81" s="1992"/>
      <c r="C81" s="1992"/>
      <c r="D81" s="1992"/>
      <c r="E81" s="1992"/>
      <c r="F81" s="1992"/>
      <c r="G81" s="1992"/>
      <c r="H81" s="1992"/>
      <c r="I81" s="1992"/>
      <c r="J81" s="1992"/>
      <c r="K81" s="1992"/>
      <c r="L81" s="1992"/>
      <c r="M81" s="1992"/>
      <c r="N81" s="1993"/>
    </row>
    <row r="82" spans="1:14" x14ac:dyDescent="0.2">
      <c r="A82" s="1991"/>
      <c r="B82" s="1992"/>
      <c r="C82" s="1992"/>
      <c r="D82" s="1992"/>
      <c r="E82" s="1992"/>
      <c r="F82" s="1992"/>
      <c r="G82" s="1992"/>
      <c r="H82" s="1992"/>
      <c r="I82" s="1992"/>
      <c r="J82" s="1992"/>
      <c r="K82" s="1992"/>
      <c r="L82" s="1992"/>
      <c r="M82" s="1992"/>
      <c r="N82" s="1993"/>
    </row>
    <row r="83" spans="1:14" ht="13.5" thickBot="1" x14ac:dyDescent="0.25">
      <c r="A83" s="1994"/>
      <c r="B83" s="1995"/>
      <c r="C83" s="1995"/>
      <c r="D83" s="1995"/>
      <c r="E83" s="1995"/>
      <c r="F83" s="1995"/>
      <c r="G83" s="1995"/>
      <c r="H83" s="1995"/>
      <c r="I83" s="1995"/>
      <c r="J83" s="1995"/>
      <c r="K83" s="1995"/>
      <c r="L83" s="1995"/>
      <c r="M83" s="1995"/>
      <c r="N83" s="1996"/>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&amp;LPage &amp;P&amp;RPage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2"/>
  <sheetViews>
    <sheetView showGridLines="0" zoomScale="110" zoomScaleNormal="110" workbookViewId="0">
      <selection activeCell="B7" sqref="B7"/>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2076</v>
      </c>
    </row>
    <row r="6" spans="1:2" x14ac:dyDescent="0.2">
      <c r="A6" s="847">
        <v>2</v>
      </c>
      <c r="B6" s="307" t="s">
        <v>2077</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c r="B61" s="253" t="str">
        <f>COVER!A17</f>
        <v>Galesburg Area vocational Center</v>
      </c>
    </row>
    <row r="62" spans="1:2" x14ac:dyDescent="0.2">
      <c r="B62" s="849">
        <f>COVER!A13</f>
        <v>33048205041</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9" t="s">
        <v>1665</v>
      </c>
      <c r="B18" s="2469"/>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1669</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1972</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1670</v>
      </c>
      <c r="B6" s="2487"/>
      <c r="C6" s="2487"/>
      <c r="D6" s="2487"/>
      <c r="E6" s="2487"/>
      <c r="F6" s="248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495580</v>
      </c>
      <c r="C8" s="1813">
        <f>'Acct Summary 7-8'!D8</f>
        <v>0</v>
      </c>
      <c r="D8" s="1813">
        <f>'Acct Summary 7-8'!F8</f>
        <v>0</v>
      </c>
      <c r="E8" s="1813">
        <f>'Acct Summary 7-8'!I8</f>
        <v>0</v>
      </c>
      <c r="F8" s="1813">
        <f>SUM(B8:E8)</f>
        <v>495580</v>
      </c>
    </row>
    <row r="9" spans="1:8" s="858" customFormat="1" ht="14.25" customHeight="1" thickBot="1" x14ac:dyDescent="0.25">
      <c r="A9" s="857" t="s">
        <v>1353</v>
      </c>
      <c r="B9" s="1814">
        <f>'Acct Summary 7-8'!C17</f>
        <v>449013</v>
      </c>
      <c r="C9" s="1814">
        <f>'Acct Summary 7-8'!D17</f>
        <v>0</v>
      </c>
      <c r="D9" s="1814">
        <f>'Acct Summary 7-8'!F17</f>
        <v>0</v>
      </c>
      <c r="E9" s="1813"/>
      <c r="F9" s="1813">
        <f>SUM(B9:E9)</f>
        <v>449013</v>
      </c>
    </row>
    <row r="10" spans="1:8" s="858" customFormat="1" ht="14.25" thickTop="1" thickBot="1" x14ac:dyDescent="0.25">
      <c r="A10" s="859" t="s">
        <v>1354</v>
      </c>
      <c r="B10" s="1815">
        <f>(B8-B9)</f>
        <v>46567</v>
      </c>
      <c r="C10" s="1815">
        <f>(C8-C9)</f>
        <v>0</v>
      </c>
      <c r="D10" s="1815">
        <f>(D8-D9)</f>
        <v>0</v>
      </c>
      <c r="E10" s="1814">
        <f>(E8-E9)</f>
        <v>0</v>
      </c>
      <c r="F10" s="1816">
        <f>SUM(F8-F9)</f>
        <v>46567</v>
      </c>
    </row>
    <row r="11" spans="1:8" s="858" customFormat="1" ht="14.25" thickTop="1" thickBot="1" x14ac:dyDescent="0.25">
      <c r="A11" s="860" t="s">
        <v>1903</v>
      </c>
      <c r="B11" s="1817">
        <f>'Acct Summary 7-8'!C81</f>
        <v>374412</v>
      </c>
      <c r="C11" s="1817">
        <f>'Acct Summary 7-8'!D81</f>
        <v>0</v>
      </c>
      <c r="D11" s="1817">
        <f>'Acct Summary 7-8'!F81</f>
        <v>0</v>
      </c>
      <c r="E11" s="1817">
        <f>'Acct Summary 7-8'!I81</f>
        <v>0</v>
      </c>
      <c r="F11" s="1818">
        <f>SUM(B11:E11)</f>
        <v>374412</v>
      </c>
    </row>
    <row r="12" spans="1:8" ht="16.5" customHeight="1" thickTop="1" x14ac:dyDescent="0.2">
      <c r="A12" s="861"/>
      <c r="B12" s="862"/>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1666</v>
      </c>
      <c r="B16" s="2473"/>
      <c r="C16" s="2473"/>
      <c r="D16" s="2473"/>
      <c r="E16" s="247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6" colorId="8" zoomScale="110" zoomScaleNormal="110" workbookViewId="0">
      <selection activeCell="D24" sqref="D2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660</v>
      </c>
      <c r="B3" s="2496"/>
      <c r="C3" s="2496"/>
      <c r="D3" s="249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6" t="s">
        <v>1487</v>
      </c>
      <c r="D7" s="250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8" t="s">
        <v>1001</v>
      </c>
      <c r="B15" s="2499"/>
      <c r="C15" s="2499"/>
      <c r="D15" s="2500"/>
    </row>
    <row r="16" spans="1:4" s="542" customFormat="1" ht="24" customHeight="1" x14ac:dyDescent="0.2">
      <c r="A16" s="2501" t="s">
        <v>658</v>
      </c>
      <c r="B16" s="2502"/>
      <c r="C16" s="2502"/>
      <c r="D16" s="250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0" t="s">
        <v>311</v>
      </c>
      <c r="D21" s="2511"/>
    </row>
    <row r="22" spans="1:10" ht="12.75" x14ac:dyDescent="0.2">
      <c r="A22" s="918"/>
      <c r="B22" s="919">
        <v>2</v>
      </c>
      <c r="C22" s="2508" t="s">
        <v>1507</v>
      </c>
      <c r="D22" s="2509"/>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ENTER ACCOUNTING INFO</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2" t="s">
        <v>533</v>
      </c>
      <c r="D43" s="251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4" t="s">
        <v>779</v>
      </c>
      <c r="D56" s="250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4" t="s">
        <v>1674</v>
      </c>
      <c r="D70" s="250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33048205041</v>
      </c>
      <c r="E2" s="1542">
        <v>2020</v>
      </c>
      <c r="F2" s="1542">
        <v>1</v>
      </c>
      <c r="G2" s="1899">
        <v>101000300</v>
      </c>
    </row>
    <row r="3" spans="1:7" ht="15" x14ac:dyDescent="0.25">
      <c r="A3" t="s">
        <v>950</v>
      </c>
      <c r="B3" s="135" t="str">
        <f>COVER!A15</f>
        <v>Knox and Warren</v>
      </c>
      <c r="E3" s="1830" t="s">
        <v>1971</v>
      </c>
      <c r="F3" s="1830" t="s">
        <v>1970</v>
      </c>
      <c r="G3" s="1899">
        <v>101000400</v>
      </c>
    </row>
    <row r="4" spans="1:7" ht="15" x14ac:dyDescent="0.25">
      <c r="A4" t="s">
        <v>1000</v>
      </c>
      <c r="B4" s="135" t="str">
        <f>COVER!A17</f>
        <v>Galesburg Area vocational Center</v>
      </c>
      <c r="E4" s="1828">
        <v>44119</v>
      </c>
      <c r="F4" s="1829">
        <v>44151</v>
      </c>
      <c r="G4" s="1899">
        <v>101000600</v>
      </c>
    </row>
    <row r="5" spans="1:7" ht="15" x14ac:dyDescent="0.25">
      <c r="A5" t="s">
        <v>699</v>
      </c>
      <c r="B5" s="135" t="str">
        <f>COVER!A38</f>
        <v>Dr. John Asplund</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 xml:space="preserve">ACCRUAL </v>
      </c>
      <c r="G9" s="1899">
        <v>102100800</v>
      </c>
    </row>
    <row r="10" spans="1:7" ht="15" x14ac:dyDescent="0.25">
      <c r="A10" t="s">
        <v>970</v>
      </c>
      <c r="B10" s="135">
        <f>COVER!B5</f>
        <v>0</v>
      </c>
      <c r="G10" s="1899">
        <v>202100300</v>
      </c>
    </row>
    <row r="11" spans="1:7" ht="15" x14ac:dyDescent="0.25">
      <c r="A11" t="s">
        <v>971</v>
      </c>
      <c r="B11" s="135" t="str">
        <f>COVER!B6</f>
        <v>x</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066-004769</v>
      </c>
      <c r="G15" s="1899">
        <v>402100400</v>
      </c>
    </row>
    <row r="16" spans="1:7" ht="15" x14ac:dyDescent="0.25">
      <c r="A16" t="s">
        <v>419</v>
      </c>
      <c r="B16" s="135" t="str">
        <f>COVER!T13</f>
        <v>Meister, Hilton, Chitwood &amp; Associates, Inc.</v>
      </c>
      <c r="G16" s="1899">
        <v>402100600</v>
      </c>
    </row>
    <row r="17" spans="1:7" ht="15" x14ac:dyDescent="0.25">
      <c r="A17" t="s">
        <v>878</v>
      </c>
      <c r="B17" s="135" t="str">
        <f>COVER!T15</f>
        <v>Ron Hilton</v>
      </c>
      <c r="G17" s="1899">
        <v>402100800</v>
      </c>
    </row>
    <row r="18" spans="1:7" ht="15" x14ac:dyDescent="0.25">
      <c r="A18" t="s">
        <v>1140</v>
      </c>
      <c r="B18" s="135" t="str">
        <f>COVER!T17</f>
        <v>809 W. Detweiller Drive, Suite 806</v>
      </c>
      <c r="G18" s="1899">
        <v>102200300</v>
      </c>
    </row>
    <row r="19" spans="1:7" ht="15" x14ac:dyDescent="0.25">
      <c r="A19" t="s">
        <v>880</v>
      </c>
      <c r="B19" s="135" t="str">
        <f>COVER!T25</f>
        <v>ron.hilton1@comcast.net</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61615</v>
      </c>
      <c r="G22" s="1899">
        <v>102300300</v>
      </c>
    </row>
    <row r="23" spans="1:7" ht="15" x14ac:dyDescent="0.25">
      <c r="A23" t="s">
        <v>1142</v>
      </c>
      <c r="B23" s="135" t="str">
        <f>COVER!T21</f>
        <v>(309) 683-0441</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Yes</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406651</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32239</v>
      </c>
      <c r="C91" s="2" t="s">
        <v>569</v>
      </c>
      <c r="D91" s="2" t="str">
        <f t="shared" si="0"/>
        <v>Error?</v>
      </c>
      <c r="G91" s="1899">
        <v>102640400</v>
      </c>
    </row>
    <row r="92" spans="1:7" ht="15" x14ac:dyDescent="0.25">
      <c r="A92" s="5">
        <v>31</v>
      </c>
      <c r="B92" s="1832">
        <f>'Assets-Liab 5-6'!C39</f>
        <v>374412</v>
      </c>
      <c r="D92" s="2" t="str">
        <f t="shared" si="0"/>
        <v>Error?</v>
      </c>
      <c r="G92" s="1899">
        <v>102640600</v>
      </c>
    </row>
    <row r="93" spans="1:7" ht="15" x14ac:dyDescent="0.25">
      <c r="A93" s="5">
        <v>32</v>
      </c>
      <c r="B93" s="1832">
        <f>'Assets-Liab 5-6'!C41</f>
        <v>406651</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0</v>
      </c>
      <c r="D274" s="2" t="str">
        <f t="shared" si="3"/>
        <v>Error?</v>
      </c>
    </row>
    <row r="275" spans="1:4" x14ac:dyDescent="0.2">
      <c r="A275" s="5">
        <v>214</v>
      </c>
      <c r="B275" s="1832">
        <f>'Assets-Liab 5-6'!M18</f>
        <v>0</v>
      </c>
      <c r="D275" s="2" t="str">
        <f t="shared" si="3"/>
        <v>Error?</v>
      </c>
    </row>
    <row r="276" spans="1:4" x14ac:dyDescent="0.2">
      <c r="A276" s="5">
        <v>215</v>
      </c>
      <c r="B276" s="1832">
        <f>'Assets-Liab 5-6'!M19</f>
        <v>97048</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97048</v>
      </c>
      <c r="C279" s="2" t="s">
        <v>569</v>
      </c>
      <c r="D279" s="2" t="str">
        <f t="shared" si="3"/>
        <v>Error?</v>
      </c>
    </row>
    <row r="280" spans="1:4" x14ac:dyDescent="0.2">
      <c r="A280" s="5">
        <v>219</v>
      </c>
      <c r="B280" s="1832">
        <f>'Assets-Liab 5-6'!M40</f>
        <v>97048</v>
      </c>
      <c r="D280" s="2" t="str">
        <f t="shared" si="3"/>
        <v>Error?</v>
      </c>
    </row>
    <row r="281" spans="1:4" x14ac:dyDescent="0.2">
      <c r="A281" s="5">
        <v>220</v>
      </c>
      <c r="B281" s="1832">
        <f>'Assets-Liab 5-6'!M41</f>
        <v>97048</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272263</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272263</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0</v>
      </c>
      <c r="D733" s="2" t="str">
        <f t="shared" si="10"/>
        <v>Error?</v>
      </c>
    </row>
    <row r="734" spans="1:4" x14ac:dyDescent="0.2">
      <c r="A734" s="5">
        <v>673</v>
      </c>
      <c r="B734" s="1832">
        <f>'Expenditures 15-22'!C53</f>
        <v>0</v>
      </c>
      <c r="C734" s="2" t="s">
        <v>569</v>
      </c>
      <c r="D734" s="2" t="str">
        <f t="shared" si="10"/>
        <v>Error?</v>
      </c>
    </row>
    <row r="735" spans="1:4" x14ac:dyDescent="0.2">
      <c r="A735" s="5">
        <v>674</v>
      </c>
      <c r="B735" s="1832">
        <f>'Expenditures 15-22'!C55</f>
        <v>37259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37259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37259</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309522</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28584</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28584</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0</v>
      </c>
      <c r="C792" s="2" t="s">
        <v>569</v>
      </c>
      <c r="D792" s="2" t="str">
        <f t="shared" si="11"/>
        <v>Error?</v>
      </c>
    </row>
    <row r="793" spans="1:4" x14ac:dyDescent="0.2">
      <c r="A793" s="5">
        <v>732</v>
      </c>
      <c r="B793" s="1832">
        <f>'Expenditures 15-22'!D55</f>
        <v>12251</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12251</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12251</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40835</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3653</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3653</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569</v>
      </c>
      <c r="D847" s="2" t="str">
        <f t="shared" si="12"/>
        <v>Error?</v>
      </c>
    </row>
    <row r="848" spans="1:4" x14ac:dyDescent="0.2">
      <c r="A848" s="5">
        <v>787</v>
      </c>
      <c r="B848" s="1832">
        <f>'Expenditures 15-22'!E49</f>
        <v>0</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0</v>
      </c>
      <c r="C850" s="2" t="s">
        <v>569</v>
      </c>
      <c r="D850" s="2" t="str">
        <f t="shared" si="12"/>
        <v>Error?</v>
      </c>
    </row>
    <row r="851" spans="1:4" x14ac:dyDescent="0.2">
      <c r="A851" s="5">
        <v>790</v>
      </c>
      <c r="B851" s="1832">
        <f>'Expenditures 15-22'!E55</f>
        <v>142</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142</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3900</v>
      </c>
      <c r="D855" s="2" t="str">
        <f t="shared" si="12"/>
        <v>Error?</v>
      </c>
    </row>
    <row r="856" spans="1:4" x14ac:dyDescent="0.2">
      <c r="A856" s="5">
        <v>795</v>
      </c>
      <c r="B856" s="1832">
        <f>'Expenditures 15-22'!E61</f>
        <v>35950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118</v>
      </c>
      <c r="D859" s="2" t="str">
        <f t="shared" si="12"/>
        <v>Error?</v>
      </c>
    </row>
    <row r="860" spans="1:4" x14ac:dyDescent="0.2">
      <c r="A860" s="10">
        <v>799</v>
      </c>
      <c r="B860" s="1832"/>
      <c r="D860" s="2" t="str">
        <f t="shared" si="12"/>
        <v>OK</v>
      </c>
    </row>
    <row r="861" spans="1:4" x14ac:dyDescent="0.2">
      <c r="A861" s="5">
        <v>800</v>
      </c>
      <c r="B861" s="1832">
        <f>'Expenditures 15-22'!E65</f>
        <v>39968</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40110</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43763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29126</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29126</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0</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0</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29126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210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210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210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25557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25767</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333626</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333626</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0</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0</v>
      </c>
      <c r="C1119" s="2" t="s">
        <v>569</v>
      </c>
      <c r="D1119" s="2" t="str">
        <f t="shared" si="16"/>
        <v>Error?</v>
      </c>
    </row>
    <row r="1120" spans="1:4" x14ac:dyDescent="0.2">
      <c r="A1120" s="5">
        <v>1059</v>
      </c>
      <c r="B1120" s="1832">
        <f>'Expenditures 15-22'!K49</f>
        <v>0</v>
      </c>
      <c r="C1120" s="2" t="s">
        <v>569</v>
      </c>
      <c r="D1120" s="2" t="str">
        <f t="shared" si="16"/>
        <v>Error?</v>
      </c>
    </row>
    <row r="1121" spans="1:4" x14ac:dyDescent="0.2">
      <c r="A1121" s="5">
        <v>1060</v>
      </c>
      <c r="B1121" s="1832">
        <f>'Expenditures 15-22'!K50</f>
        <v>0</v>
      </c>
      <c r="C1121" s="2" t="s">
        <v>569</v>
      </c>
      <c r="D1121" s="2" t="str">
        <f t="shared" si="16"/>
        <v>Error?</v>
      </c>
    </row>
    <row r="1122" spans="1:4" x14ac:dyDescent="0.2">
      <c r="A1122" s="5">
        <v>1061</v>
      </c>
      <c r="B1122" s="1832">
        <f>'Expenditures 15-22'!K53</f>
        <v>0</v>
      </c>
      <c r="C1122" s="2" t="s">
        <v>569</v>
      </c>
      <c r="D1122" s="2" t="str">
        <f t="shared" si="16"/>
        <v>Error?</v>
      </c>
    </row>
    <row r="1123" spans="1:4" x14ac:dyDescent="0.2">
      <c r="A1123" s="5">
        <v>1062</v>
      </c>
      <c r="B1123" s="1832">
        <f>'Expenditures 15-22'!K55</f>
        <v>49862</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49862</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3900</v>
      </c>
      <c r="C1127" s="2" t="s">
        <v>569</v>
      </c>
      <c r="D1127" s="2" t="str">
        <f t="shared" si="16"/>
        <v>Error?</v>
      </c>
    </row>
    <row r="1128" spans="1:4" x14ac:dyDescent="0.2">
      <c r="A1128" s="5">
        <v>1067</v>
      </c>
      <c r="B1128" s="1832">
        <f>'Expenditures 15-22'!K61</f>
        <v>35950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118</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39968</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89830</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25557</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449013</v>
      </c>
      <c r="C1152" s="2" t="s">
        <v>569</v>
      </c>
      <c r="D1152" s="2" t="str">
        <f t="shared" si="17"/>
        <v>Error?</v>
      </c>
    </row>
    <row r="1153" spans="1:4" x14ac:dyDescent="0.2">
      <c r="A1153" s="5">
        <v>1092</v>
      </c>
      <c r="B1153" s="1832">
        <f>'Expenditures 15-22'!K115</f>
        <v>46567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0</v>
      </c>
      <c r="D1237" s="2" t="str">
        <f t="shared" si="18"/>
        <v>Error?</v>
      </c>
    </row>
    <row r="1238" spans="1:4" x14ac:dyDescent="0.2">
      <c r="A1238" s="10">
        <v>1177</v>
      </c>
      <c r="B1238" s="1832"/>
      <c r="D1238" s="2" t="str">
        <f t="shared" si="18"/>
        <v>OK</v>
      </c>
    </row>
    <row r="1239" spans="1:4" x14ac:dyDescent="0.2">
      <c r="A1239" s="5">
        <v>1178</v>
      </c>
      <c r="B1239" s="1832">
        <f>'Expenditures 15-22'!E127</f>
        <v>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0</v>
      </c>
      <c r="C1241" s="2" t="s">
        <v>569</v>
      </c>
      <c r="D1241" s="2" t="str">
        <f t="shared" si="18"/>
        <v>Error?</v>
      </c>
    </row>
    <row r="1242" spans="1:4" x14ac:dyDescent="0.2">
      <c r="A1242" s="5">
        <v>1181</v>
      </c>
      <c r="B1242" s="1832">
        <f>'Expenditures 15-22'!E151</f>
        <v>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0</v>
      </c>
      <c r="C1249" s="2" t="s">
        <v>569</v>
      </c>
      <c r="D1249" s="2" t="str">
        <f t="shared" si="18"/>
        <v>Error?</v>
      </c>
    </row>
    <row r="1250" spans="1:4" x14ac:dyDescent="0.2">
      <c r="A1250" s="5">
        <v>1189</v>
      </c>
      <c r="B1250" s="1832">
        <f>'Expenditures 15-22'!F151</f>
        <v>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0</v>
      </c>
      <c r="C1288" s="2" t="s">
        <v>569</v>
      </c>
      <c r="D1288" s="2" t="str">
        <f t="shared" si="19"/>
        <v>Error?</v>
      </c>
    </row>
    <row r="1289" spans="1:4" x14ac:dyDescent="0.2">
      <c r="A1289" s="5">
        <v>1228</v>
      </c>
      <c r="B1289" s="1832">
        <f>'Expenditures 15-22'!K152</f>
        <v>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327845</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374412</v>
      </c>
      <c r="C1630" s="2" t="s">
        <v>569</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0</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48679</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97048</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0</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48679</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97048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8930</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34977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4868</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16495</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13798</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51472</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0</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34881</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45576</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25557</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25557</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392698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84964</v>
      </c>
      <c r="C2553" s="2" t="s">
        <v>569</v>
      </c>
      <c r="D2553" s="2" t="str">
        <f t="shared" si="38"/>
        <v>Error?</v>
      </c>
    </row>
    <row r="2554" spans="1:4" x14ac:dyDescent="0.2">
      <c r="A2554" s="5">
        <v>2493</v>
      </c>
      <c r="B2554" s="1832">
        <f>'Acct Summary 7-8'!C7</f>
        <v>17918</v>
      </c>
      <c r="C2554" s="2" t="s">
        <v>569</v>
      </c>
      <c r="D2554" s="2" t="str">
        <f t="shared" si="38"/>
        <v>Error?</v>
      </c>
    </row>
    <row r="2555" spans="1:4" x14ac:dyDescent="0.2">
      <c r="A2555" s="5">
        <v>2494</v>
      </c>
      <c r="B2555" s="1832">
        <f>'Acct Summary 7-8'!C8</f>
        <v>495580</v>
      </c>
      <c r="C2555" s="2" t="s">
        <v>569</v>
      </c>
      <c r="D2555" s="2" t="str">
        <f t="shared" si="38"/>
        <v>Error?</v>
      </c>
    </row>
    <row r="2556" spans="1:4" x14ac:dyDescent="0.2">
      <c r="A2556" s="5">
        <v>2495</v>
      </c>
      <c r="B2556" s="1832">
        <f>'Acct Summary 7-8'!C12</f>
        <v>333626</v>
      </c>
      <c r="C2556" s="2" t="s">
        <v>569</v>
      </c>
      <c r="D2556" s="2" t="str">
        <f t="shared" si="38"/>
        <v>Error?</v>
      </c>
    </row>
    <row r="2557" spans="1:4" x14ac:dyDescent="0.2">
      <c r="A2557" s="5">
        <v>2496</v>
      </c>
      <c r="B2557" s="1832">
        <f>'Acct Summary 7-8'!C13</f>
        <v>89830</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25557</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449013</v>
      </c>
      <c r="C2561" s="2" t="s">
        <v>569</v>
      </c>
      <c r="D2561" s="2" t="str">
        <f t="shared" si="39"/>
        <v>Error?</v>
      </c>
    </row>
    <row r="2562" spans="1:4" x14ac:dyDescent="0.2">
      <c r="A2562" s="5">
        <v>2501</v>
      </c>
      <c r="B2562" s="1832">
        <f>'Acct Summary 7-8'!C20</f>
        <v>46567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0</v>
      </c>
      <c r="C2568" s="2" t="s">
        <v>569</v>
      </c>
      <c r="D2568" s="2" t="str">
        <f t="shared" si="39"/>
        <v>Error?</v>
      </c>
    </row>
    <row r="2569" spans="1:4" x14ac:dyDescent="0.2">
      <c r="A2569" s="5">
        <v>2508</v>
      </c>
      <c r="B2569" s="1832">
        <f>'Acct Summary 7-8'!D13</f>
        <v>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0</v>
      </c>
      <c r="C2573" s="2" t="s">
        <v>569</v>
      </c>
      <c r="D2573" s="2" t="str">
        <f t="shared" si="39"/>
        <v>Error?</v>
      </c>
    </row>
    <row r="2574" spans="1:4" x14ac:dyDescent="0.2">
      <c r="A2574" s="5">
        <v>2513</v>
      </c>
      <c r="B2574" s="1832">
        <f>'Acct Summary 7-8'!D20</f>
        <v>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25557</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25557</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46567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406651</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495580</v>
      </c>
      <c r="C4122" s="2" t="s">
        <v>569</v>
      </c>
      <c r="D4122" s="2" t="str">
        <f t="shared" si="63"/>
        <v>Error?</v>
      </c>
    </row>
    <row r="4123" spans="1:4" x14ac:dyDescent="0.2">
      <c r="A4123" s="5">
        <v>4062</v>
      </c>
      <c r="B4123" s="1832">
        <f>'Acct Summary 7-8'!D10</f>
        <v>0</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449013</v>
      </c>
      <c r="C4136" s="2" t="s">
        <v>569</v>
      </c>
      <c r="D4136" s="2" t="str">
        <f t="shared" si="63"/>
        <v>Error?</v>
      </c>
    </row>
    <row r="4137" spans="1:4" x14ac:dyDescent="0.2">
      <c r="A4137" s="5">
        <v>4076</v>
      </c>
      <c r="B4137" s="1832">
        <f>'Acct Summary 7-8'!D19</f>
        <v>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374412</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17918</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381112</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381112</v>
      </c>
      <c r="C5087" s="2" t="s">
        <v>569</v>
      </c>
      <c r="D5087" s="2" t="str">
        <f t="shared" si="78"/>
        <v>Error?</v>
      </c>
    </row>
    <row r="5088" spans="1:4" x14ac:dyDescent="0.2">
      <c r="A5088" s="5">
        <v>5027</v>
      </c>
      <c r="B5088" s="1832">
        <f>'Revenues 9-14'!C65</f>
        <v>3966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3966</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3993</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3627</v>
      </c>
      <c r="D5119" s="2" t="str">
        <f t="shared" ref="D5119:D5182" si="79">IF(ISBLANK(B5119),"OK",IF(A5119-B5119=0,"OK","Error?"))</f>
        <v>Error?</v>
      </c>
    </row>
    <row r="5120" spans="1:4" x14ac:dyDescent="0.2">
      <c r="A5120" s="5">
        <v>5059</v>
      </c>
      <c r="B5120" s="1832">
        <f>'Revenues 9-14'!C108</f>
        <v>7620</v>
      </c>
      <c r="C5120" s="2" t="s">
        <v>569</v>
      </c>
      <c r="D5120" s="2" t="str">
        <f t="shared" si="79"/>
        <v>Error?</v>
      </c>
    </row>
    <row r="5121" spans="1:4" x14ac:dyDescent="0.2">
      <c r="A5121" s="5">
        <v>5060</v>
      </c>
      <c r="B5121" s="1832">
        <f>'Revenues 9-14'!C109</f>
        <v>392698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84964</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84964</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84964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84964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17918</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17918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17918</v>
      </c>
      <c r="C5326" s="2" t="s">
        <v>569</v>
      </c>
      <c r="D5326" s="2" t="str">
        <f t="shared" si="82"/>
        <v>Error?</v>
      </c>
    </row>
    <row r="5327" spans="1:5" x14ac:dyDescent="0.2">
      <c r="A5327" s="5">
        <v>5266</v>
      </c>
      <c r="B5327" s="1832">
        <f>'Revenues 9-14'!C268</f>
        <v>495580</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273</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31966</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46567</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0.12437368460412594</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48369</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48369</v>
      </c>
      <c r="D7618" s="2" t="str">
        <f t="shared" si="124"/>
        <v>Error?</v>
      </c>
      <c r="E7618" s="2" t="s">
        <v>19</v>
      </c>
    </row>
    <row r="7619" spans="1:5" x14ac:dyDescent="0.2">
      <c r="A7619">
        <f t="shared" si="123"/>
        <v>7558</v>
      </c>
      <c r="B7619" s="1832">
        <f>'Cap Outlay Deprec 26'!H14</f>
        <v>26047</v>
      </c>
      <c r="D7619" s="2" t="str">
        <f t="shared" si="124"/>
        <v>Error?</v>
      </c>
      <c r="E7619" s="2" t="s">
        <v>19</v>
      </c>
    </row>
    <row r="7620" spans="1:5" x14ac:dyDescent="0.2">
      <c r="A7620">
        <f t="shared" si="123"/>
        <v>7559</v>
      </c>
      <c r="B7620" s="1832">
        <f>'Cap Outlay Deprec 26'!I14</f>
        <v>11627</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37674</v>
      </c>
      <c r="D7622" s="2" t="str">
        <f t="shared" si="124"/>
        <v>Error?</v>
      </c>
      <c r="E7622" s="2" t="s">
        <v>19</v>
      </c>
    </row>
    <row r="7623" spans="1:5" x14ac:dyDescent="0.2">
      <c r="A7623">
        <f t="shared" si="123"/>
        <v>7562</v>
      </c>
      <c r="B7623" s="1832">
        <f>'Cap Outlay Deprec 26'!L14</f>
        <v>10695</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16495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449013</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25557</v>
      </c>
      <c r="D7834" s="2" t="str">
        <f t="shared" si="129"/>
        <v>Error?</v>
      </c>
      <c r="E7834" s="4" t="s">
        <v>1998</v>
      </c>
    </row>
    <row r="7835" spans="1:5" x14ac:dyDescent="0.2">
      <c r="A7835">
        <v>7774</v>
      </c>
      <c r="B7835" s="1832">
        <f>'PCTC-OEPP 27-28'!F78</f>
        <v>423456</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t="str">
        <f>'PCTC-OEPP 27-28'!F80</f>
        <v xml:space="preserve"> Complete Line 79</v>
      </c>
      <c r="D7837" s="2" t="e">
        <f t="shared" si="129"/>
        <v>#VALUE!</v>
      </c>
      <c r="E7837" s="4" t="s">
        <v>1998</v>
      </c>
    </row>
    <row r="7838" spans="1:5" x14ac:dyDescent="0.2">
      <c r="A7838">
        <v>7777</v>
      </c>
      <c r="B7838" s="1832">
        <f>'PCTC-OEPP 27-28'!F96</f>
        <v>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84964</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0</v>
      </c>
      <c r="D7858" s="2" t="str">
        <f t="shared" si="129"/>
        <v>Error?</v>
      </c>
      <c r="E7858" s="4" t="s">
        <v>1998</v>
      </c>
    </row>
    <row r="7859" spans="1:5" x14ac:dyDescent="0.2">
      <c r="A7859">
        <v>7798</v>
      </c>
      <c r="B7859" s="1832">
        <f>'PCTC-OEPP 27-28'!F127</f>
        <v>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17918</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102882</v>
      </c>
      <c r="D7877" s="2" t="str">
        <f t="shared" si="129"/>
        <v>Error?</v>
      </c>
      <c r="E7877" s="4" t="s">
        <v>1998</v>
      </c>
    </row>
    <row r="7878" spans="1:5" x14ac:dyDescent="0.2">
      <c r="A7878">
        <v>7817</v>
      </c>
      <c r="B7878" s="1832">
        <f>'PCTC-OEPP 27-28'!F176</f>
        <v>320574</v>
      </c>
      <c r="D7878" s="2" t="str">
        <f t="shared" si="129"/>
        <v>Error?</v>
      </c>
      <c r="E7878" s="4" t="s">
        <v>1998</v>
      </c>
    </row>
    <row r="7879" spans="1:5" x14ac:dyDescent="0.2">
      <c r="A7879">
        <v>7818</v>
      </c>
      <c r="B7879" s="1832">
        <f>'PCTC-OEPP 27-28'!F178</f>
        <v>337069</v>
      </c>
      <c r="D7879" s="2" t="str">
        <f t="shared" si="129"/>
        <v>Error?</v>
      </c>
      <c r="E7879" s="4" t="s">
        <v>1998</v>
      </c>
    </row>
    <row r="7880" spans="1:5" x14ac:dyDescent="0.2">
      <c r="A7880">
        <v>7819</v>
      </c>
      <c r="B7880" s="1832"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7" t="s">
        <v>1181</v>
      </c>
      <c r="B2" s="2537"/>
      <c r="C2" s="2537"/>
      <c r="D2" s="2537"/>
      <c r="E2" s="2537"/>
      <c r="F2" s="2537"/>
      <c r="G2" s="2537"/>
      <c r="H2" s="2537"/>
      <c r="I2" s="2537"/>
      <c r="J2" s="2537"/>
      <c r="K2" s="2537"/>
      <c r="L2" s="2537"/>
    </row>
    <row r="3" spans="1:29" ht="13.5" customHeight="1" x14ac:dyDescent="0.2">
      <c r="A3" s="2523" t="s">
        <v>1180</v>
      </c>
      <c r="B3" s="2523"/>
      <c r="C3" s="2523"/>
      <c r="D3" s="2523"/>
      <c r="E3" s="2523"/>
      <c r="F3" s="2523"/>
      <c r="G3" s="2523"/>
      <c r="H3" s="2523"/>
      <c r="I3" s="2523"/>
      <c r="J3" s="2523"/>
      <c r="K3" s="2523"/>
      <c r="L3" s="2523"/>
    </row>
    <row r="4" spans="1:29" ht="13.5" customHeight="1" x14ac:dyDescent="0.2">
      <c r="A4" s="2554" t="str">
        <f>"Year Ending June 30, "&amp;'AFR20'!E2</f>
        <v>Year Ending June 30, 2020</v>
      </c>
      <c r="B4" s="2555"/>
      <c r="C4" s="2555"/>
      <c r="D4" s="2555"/>
      <c r="E4" s="2555"/>
      <c r="F4" s="2555"/>
      <c r="G4" s="2555"/>
      <c r="H4" s="2555"/>
      <c r="I4" s="2555"/>
      <c r="J4" s="2555"/>
      <c r="K4" s="2555"/>
      <c r="L4" s="255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7" t="str">
        <f>COVER!A17</f>
        <v>Galesburg Area vocational Center</v>
      </c>
      <c r="B7" s="2518"/>
      <c r="C7" s="2518"/>
      <c r="D7" s="2556"/>
      <c r="E7" s="2557">
        <f>COVER!A13</f>
        <v>33048205041</v>
      </c>
      <c r="F7" s="2558"/>
      <c r="G7" s="2524" t="str">
        <f>COVER!T23</f>
        <v>066-004769</v>
      </c>
      <c r="H7" s="2525"/>
      <c r="I7" s="2525"/>
      <c r="J7" s="2525"/>
      <c r="K7" s="2525"/>
      <c r="L7" s="252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7"/>
      <c r="B9" s="2528"/>
      <c r="C9" s="2528"/>
      <c r="D9" s="2528"/>
      <c r="E9" s="2528"/>
      <c r="F9" s="2529"/>
      <c r="G9" s="2530" t="str">
        <f>COVER!T13</f>
        <v>Meister, Hilton, Chitwood &amp; Associates, Inc.</v>
      </c>
      <c r="H9" s="2531"/>
      <c r="I9" s="2531"/>
      <c r="J9" s="2531"/>
      <c r="K9" s="2531"/>
      <c r="L9" s="2532"/>
    </row>
    <row r="10" spans="1:29" ht="13.5" customHeight="1" x14ac:dyDescent="0.2">
      <c r="A10" s="2514" t="str">
        <f>COVER!A38</f>
        <v>Dr. John Asplund</v>
      </c>
      <c r="B10" s="2515"/>
      <c r="C10" s="2515"/>
      <c r="D10" s="2515"/>
      <c r="E10" s="2515"/>
      <c r="F10" s="2516"/>
      <c r="G10" s="2530" t="str">
        <f>COVER!T17</f>
        <v>809 W. Detweiller Drive, Suite 806</v>
      </c>
      <c r="H10" s="2543"/>
      <c r="I10" s="2543"/>
      <c r="J10" s="2543"/>
      <c r="K10" s="2543"/>
      <c r="L10" s="2544"/>
    </row>
    <row r="11" spans="1:29" ht="13.5" customHeight="1" x14ac:dyDescent="0.2">
      <c r="A11" s="963" t="s">
        <v>1502</v>
      </c>
      <c r="B11" s="964"/>
      <c r="C11" s="965"/>
      <c r="D11" s="970"/>
      <c r="E11" s="965"/>
      <c r="F11" s="969"/>
      <c r="G11" s="2530" t="str">
        <f>COVER!T19</f>
        <v>Peoria</v>
      </c>
      <c r="H11" s="2543"/>
      <c r="I11" s="2543"/>
      <c r="J11" s="2543"/>
      <c r="K11" s="2543"/>
      <c r="L11" s="2544"/>
    </row>
    <row r="12" spans="1:29" ht="13.5" customHeight="1" x14ac:dyDescent="0.2">
      <c r="A12" s="2548" t="s">
        <v>1501</v>
      </c>
      <c r="B12" s="2549"/>
      <c r="C12" s="2549"/>
      <c r="D12" s="2549"/>
      <c r="E12" s="2549"/>
      <c r="F12" s="2550"/>
      <c r="G12" s="2545"/>
      <c r="H12" s="2546"/>
      <c r="I12" s="2546"/>
      <c r="J12" s="2546"/>
      <c r="K12" s="2546"/>
      <c r="L12" s="2547"/>
    </row>
    <row r="13" spans="1:29" ht="13.5" customHeight="1" x14ac:dyDescent="0.2">
      <c r="A13" s="2530"/>
      <c r="B13" s="2543"/>
      <c r="C13" s="2543"/>
      <c r="D13" s="2543"/>
      <c r="E13" s="2543"/>
      <c r="F13" s="2544"/>
      <c r="G13" s="2538" t="s">
        <v>1503</v>
      </c>
      <c r="H13" s="2539"/>
      <c r="I13" s="2551" t="str">
        <f>COVER!T25</f>
        <v>ron.hilton1@comcast.net</v>
      </c>
      <c r="J13" s="2552"/>
      <c r="K13" s="2552"/>
      <c r="L13" s="2553"/>
    </row>
    <row r="14" spans="1:29" ht="13.5" customHeight="1" x14ac:dyDescent="0.2">
      <c r="A14" s="2530" t="str">
        <f>COVER!A19</f>
        <v>1135 W. Freemont Street</v>
      </c>
      <c r="B14" s="2543"/>
      <c r="C14" s="2543"/>
      <c r="D14" s="2543"/>
      <c r="E14" s="2543"/>
      <c r="F14" s="2544"/>
      <c r="G14" s="974" t="s">
        <v>1175</v>
      </c>
      <c r="H14" s="972"/>
      <c r="I14" s="972"/>
      <c r="J14" s="972"/>
      <c r="K14" s="972"/>
      <c r="L14" s="973"/>
    </row>
    <row r="15" spans="1:29" ht="13.5" customHeight="1" x14ac:dyDescent="0.2">
      <c r="A15" s="2530" t="str">
        <f>COVER!A21</f>
        <v xml:space="preserve">Galesburg  </v>
      </c>
      <c r="B15" s="2543"/>
      <c r="C15" s="2543"/>
      <c r="D15" s="2543"/>
      <c r="E15" s="2543"/>
      <c r="F15" s="2544"/>
      <c r="G15" s="2540" t="str">
        <f>COVER!T15</f>
        <v>Ron Hilton</v>
      </c>
      <c r="H15" s="2541"/>
      <c r="I15" s="2541"/>
      <c r="J15" s="2541"/>
      <c r="K15" s="2541"/>
      <c r="L15" s="2542"/>
    </row>
    <row r="16" spans="1:29" ht="12.2" customHeight="1" x14ac:dyDescent="0.2">
      <c r="A16" s="2520">
        <f>COVER!A25</f>
        <v>61401</v>
      </c>
      <c r="B16" s="2521"/>
      <c r="C16" s="2521"/>
      <c r="D16" s="2521"/>
      <c r="E16" s="2521"/>
      <c r="F16" s="2522"/>
      <c r="G16" s="2533"/>
      <c r="H16" s="2534"/>
      <c r="I16" s="2534"/>
      <c r="J16" s="2534"/>
      <c r="K16" s="2534"/>
      <c r="L16" s="2535"/>
    </row>
    <row r="17" spans="1:13" ht="12.2" customHeight="1" x14ac:dyDescent="0.2">
      <c r="A17" s="2536"/>
      <c r="B17" s="2521"/>
      <c r="C17" s="2521"/>
      <c r="D17" s="2521"/>
      <c r="E17" s="2521"/>
      <c r="F17" s="2522"/>
      <c r="G17" s="974" t="s">
        <v>1174</v>
      </c>
      <c r="H17" s="972"/>
      <c r="I17" s="972"/>
      <c r="J17" s="972"/>
      <c r="K17" s="976" t="s">
        <v>1173</v>
      </c>
      <c r="L17" s="969"/>
      <c r="M17" s="962"/>
    </row>
    <row r="18" spans="1:13" ht="12.2" customHeight="1" x14ac:dyDescent="0.2">
      <c r="A18" s="2514"/>
      <c r="B18" s="2515"/>
      <c r="C18" s="2515"/>
      <c r="D18" s="2515"/>
      <c r="E18" s="2515"/>
      <c r="F18" s="2516"/>
      <c r="G18" s="2517" t="str">
        <f>COVER!T21</f>
        <v>(309) 683-0441</v>
      </c>
      <c r="H18" s="2518"/>
      <c r="I18" s="2518"/>
      <c r="J18" s="2518"/>
      <c r="K18" s="2517" t="str">
        <f>COVER!X21</f>
        <v>(309) 692-0492</v>
      </c>
      <c r="L18" s="251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Galesburg Area vocational Center</v>
      </c>
      <c r="B1" s="2560"/>
      <c r="C1" s="2560"/>
      <c r="D1" s="2560"/>
    </row>
    <row r="2" spans="1:11" s="991" customFormat="1" ht="12.75" x14ac:dyDescent="0.2">
      <c r="A2" s="2561">
        <f>'Single Audit Cover'!E7</f>
        <v>33048205041</v>
      </c>
      <c r="B2" s="2562"/>
      <c r="C2" s="2562"/>
      <c r="D2" s="2562"/>
    </row>
    <row r="3" spans="1:11" s="991" customFormat="1" ht="12.75" x14ac:dyDescent="0.2">
      <c r="A3" s="2559" t="s">
        <v>1496</v>
      </c>
      <c r="B3" s="2560"/>
      <c r="C3" s="2560"/>
      <c r="D3" s="256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Galesburg Area vocational Center</v>
      </c>
      <c r="B1" s="2564"/>
      <c r="C1" s="2564"/>
      <c r="D1" s="2564"/>
      <c r="E1" s="2564"/>
    </row>
    <row r="2" spans="1:5" x14ac:dyDescent="0.2">
      <c r="A2" s="2565">
        <f>'Single Audit Cover'!E7</f>
        <v>33048205041</v>
      </c>
      <c r="B2" s="2565"/>
      <c r="C2" s="2565"/>
      <c r="D2" s="2565"/>
      <c r="E2" s="2565"/>
    </row>
    <row r="3" spans="1:5" ht="4.5" customHeight="1" x14ac:dyDescent="0.2"/>
    <row r="4" spans="1:5" x14ac:dyDescent="0.2">
      <c r="A4" s="2564" t="s">
        <v>1234</v>
      </c>
      <c r="B4" s="2564"/>
      <c r="C4" s="2564"/>
      <c r="D4" s="2564"/>
      <c r="E4" s="2564"/>
    </row>
    <row r="5" spans="1:5" x14ac:dyDescent="0.2">
      <c r="A5" s="2567" t="str">
        <f>'Single Audit Cover'!A4</f>
        <v>Year Ending June 30, 2020</v>
      </c>
      <c r="B5" s="2567"/>
      <c r="C5" s="2567"/>
      <c r="D5" s="2567"/>
      <c r="E5" s="2567"/>
    </row>
    <row r="6" spans="1:5" x14ac:dyDescent="0.2">
      <c r="A6" s="2564" t="s">
        <v>1233</v>
      </c>
      <c r="B6" s="2564"/>
      <c r="C6" s="2564"/>
      <c r="D6" s="2564"/>
      <c r="E6" s="2564"/>
    </row>
    <row r="8" spans="1:5" x14ac:dyDescent="0.2">
      <c r="A8" s="1036" t="s">
        <v>1232</v>
      </c>
    </row>
    <row r="10" spans="1:5" x14ac:dyDescent="0.2">
      <c r="A10" s="1037" t="s">
        <v>1231</v>
      </c>
      <c r="B10" s="1038" t="s">
        <v>1230</v>
      </c>
      <c r="C10" s="1038"/>
      <c r="D10" s="1039">
        <f>SUM('Acct Summary 7-8'!C7:K7)</f>
        <v>17918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17918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1222</v>
      </c>
      <c r="D32" s="1039">
        <f>SUM(D19:D30)</f>
        <v>17918</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1216</v>
      </c>
      <c r="C47" s="1048"/>
      <c r="D47" s="1049">
        <f>SUM(D35:D45)</f>
        <v>0</v>
      </c>
    </row>
    <row r="49" spans="2:4" x14ac:dyDescent="0.2">
      <c r="B49" s="1048" t="s">
        <v>1215</v>
      </c>
      <c r="C49" s="1048"/>
      <c r="D49" s="1049">
        <f>D32-D47</f>
        <v>17918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3" t="str">
        <f>'Single Audit Cover'!A7</f>
        <v>Galesburg Area vocational Center</v>
      </c>
      <c r="C1" s="2568"/>
      <c r="D1" s="2568"/>
      <c r="E1" s="2568"/>
      <c r="F1" s="2568"/>
      <c r="G1" s="2568"/>
      <c r="H1" s="2568"/>
      <c r="I1" s="2568"/>
      <c r="J1" s="2568"/>
      <c r="K1" s="2568"/>
      <c r="L1" s="2568"/>
      <c r="M1" s="2568"/>
    </row>
    <row r="2" spans="2:14" ht="15" x14ac:dyDescent="0.2">
      <c r="B2" s="2569">
        <f>'Single Audit Cover'!E7</f>
        <v>33048205041</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7"/>
      <c r="J5" s="1917"/>
    </row>
    <row r="6" spans="2:14" x14ac:dyDescent="0.2">
      <c r="B6" s="1079"/>
      <c r="C6" s="1080"/>
      <c r="D6" s="1081" t="s">
        <v>1254</v>
      </c>
      <c r="E6" s="1082" t="s">
        <v>524</v>
      </c>
      <c r="F6" s="1083"/>
      <c r="G6" s="1084" t="s">
        <v>1711</v>
      </c>
      <c r="H6" s="1082"/>
      <c r="I6" s="1082"/>
      <c r="J6" s="1918"/>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6" t="str">
        <f>"7/1/"&amp;MID('AFR20'!$E$2,3,2)-2&amp;"-6/30/"&amp;MID('AFR20'!$E$2,3,2)-1</f>
        <v>7/1/18-6/30/19</v>
      </c>
      <c r="F9" s="1916" t="str">
        <f>"7/1/"&amp;MID('AFR20'!$E$2,3,2)-1&amp;"-6/30/"&amp;MID('AFR20'!$E$2,3,2)</f>
        <v>7/1/19-6/30/20</v>
      </c>
      <c r="G9" s="1916" t="str">
        <f>"7/1/"&amp;MID('AFR20'!$E$2,3,2)-2&amp;"-6/30/"&amp;MID('AFR20'!$E$2,3,2)-1</f>
        <v>7/1/18-6/30/19</v>
      </c>
      <c r="H9" s="1093" t="s">
        <v>1565</v>
      </c>
      <c r="I9" s="1916"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3" t="str">
        <f>'Single Audit Cover'!A7</f>
        <v>Galesburg Area vocational Center</v>
      </c>
      <c r="B1" s="2573"/>
      <c r="C1" s="2573"/>
      <c r="D1" s="2573"/>
      <c r="E1" s="2573"/>
      <c r="F1" s="2573"/>
    </row>
    <row r="2" spans="1:7" ht="13.5" customHeight="1" x14ac:dyDescent="0.2">
      <c r="A2" s="2569">
        <f>'Single Audit Cover'!E7</f>
        <v>33048205041</v>
      </c>
      <c r="B2" s="2569"/>
      <c r="C2" s="2569"/>
      <c r="D2" s="2569"/>
      <c r="E2" s="2569"/>
      <c r="F2" s="2569"/>
      <c r="G2" s="1051"/>
    </row>
    <row r="3" spans="1:7" ht="15.75" customHeight="1" x14ac:dyDescent="0.2">
      <c r="A3" s="2574" t="s">
        <v>1260</v>
      </c>
      <c r="B3" s="2574"/>
      <c r="C3" s="2574"/>
      <c r="D3" s="2574"/>
      <c r="E3" s="2574"/>
      <c r="F3" s="2574"/>
    </row>
    <row r="4" spans="1:7" ht="13.5" customHeight="1" x14ac:dyDescent="0.2">
      <c r="A4" s="2575" t="str">
        <f>'Single Audit Cover'!A4</f>
        <v>Year Ending June 30, 2020</v>
      </c>
      <c r="B4" s="2575"/>
      <c r="C4" s="2575"/>
      <c r="D4" s="2575"/>
      <c r="E4" s="2575"/>
      <c r="F4" s="2575"/>
    </row>
    <row r="5" spans="1:7" ht="8.25" customHeight="1" x14ac:dyDescent="0.2">
      <c r="C5" s="295"/>
      <c r="D5" s="295"/>
    </row>
    <row r="6" spans="1:7" ht="13.5" customHeight="1" x14ac:dyDescent="0.2">
      <c r="A6" s="1052" t="s">
        <v>1705</v>
      </c>
      <c r="C6" s="295"/>
      <c r="D6" s="295"/>
    </row>
    <row r="7" spans="1:7" ht="60.95" customHeight="1" x14ac:dyDescent="0.2">
      <c r="A7" s="2572" t="s">
        <v>1706</v>
      </c>
      <c r="B7" s="2572"/>
      <c r="C7" s="2572"/>
      <c r="D7" s="2572"/>
      <c r="E7" s="2572"/>
      <c r="F7" s="2572"/>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2" t="s">
        <v>1708</v>
      </c>
      <c r="B13" s="2572"/>
      <c r="C13" s="2572"/>
      <c r="D13" s="2572"/>
      <c r="E13" s="2572"/>
      <c r="F13" s="2572"/>
    </row>
    <row r="14" spans="1:7" ht="9.75" customHeight="1" x14ac:dyDescent="0.2">
      <c r="C14" s="1036"/>
      <c r="D14" s="1036"/>
    </row>
    <row r="15" spans="1:7" ht="13.5" customHeight="1" x14ac:dyDescent="0.2">
      <c r="C15" s="1476" t="s">
        <v>1259</v>
      </c>
      <c r="D15" s="2577" t="s">
        <v>1258</v>
      </c>
      <c r="E15" s="2577"/>
      <c r="F15" s="2577"/>
    </row>
    <row r="16" spans="1:7" ht="13.5" customHeight="1" x14ac:dyDescent="0.2">
      <c r="A16" s="1058"/>
      <c r="B16" s="1052" t="s">
        <v>1257</v>
      </c>
      <c r="C16" s="1476" t="s">
        <v>1256</v>
      </c>
      <c r="D16" s="2578" t="s">
        <v>1571</v>
      </c>
      <c r="E16" s="2578"/>
      <c r="F16" s="2578"/>
    </row>
    <row r="17" spans="1:6" ht="20.45" customHeight="1" x14ac:dyDescent="0.2">
      <c r="A17" s="1059"/>
      <c r="B17" s="1060"/>
      <c r="C17" s="1061"/>
      <c r="D17" s="2576"/>
      <c r="E17" s="2576"/>
      <c r="F17" s="2576"/>
    </row>
    <row r="18" spans="1:6" ht="20.65" customHeight="1" x14ac:dyDescent="0.2">
      <c r="A18" s="1059"/>
      <c r="B18" s="1060"/>
      <c r="C18" s="1061"/>
      <c r="D18" s="2576"/>
      <c r="E18" s="2576"/>
      <c r="F18" s="2576"/>
    </row>
    <row r="19" spans="1:6" ht="20.65" customHeight="1" x14ac:dyDescent="0.2">
      <c r="A19" s="1059"/>
      <c r="B19" s="1060"/>
      <c r="C19" s="1061"/>
      <c r="D19" s="2576"/>
      <c r="E19" s="2576"/>
      <c r="F19" s="2576"/>
    </row>
    <row r="20" spans="1:6" ht="20.65" customHeight="1" x14ac:dyDescent="0.2">
      <c r="A20" s="1059"/>
      <c r="B20" s="1060"/>
      <c r="C20" s="1061"/>
      <c r="D20" s="2576"/>
      <c r="E20" s="2576"/>
      <c r="F20" s="2576"/>
    </row>
    <row r="21" spans="1:6" ht="20.65" customHeight="1" x14ac:dyDescent="0.2">
      <c r="A21" s="1059"/>
      <c r="B21" s="1060"/>
      <c r="C21" s="1061"/>
      <c r="D21" s="2576"/>
      <c r="E21" s="2576"/>
      <c r="F21" s="2576"/>
    </row>
    <row r="22" spans="1:6" ht="20.65" customHeight="1" x14ac:dyDescent="0.2">
      <c r="A22" s="1059"/>
      <c r="B22" s="1060"/>
      <c r="C22" s="1061"/>
      <c r="D22" s="2576"/>
      <c r="E22" s="2576"/>
      <c r="F22" s="2576"/>
    </row>
    <row r="23" spans="1:6" ht="20.65" customHeight="1" x14ac:dyDescent="0.2">
      <c r="A23" s="1059"/>
      <c r="B23" s="1060"/>
      <c r="C23" s="1061"/>
      <c r="D23" s="2576"/>
      <c r="E23" s="2576"/>
      <c r="F23" s="2576"/>
    </row>
    <row r="24" spans="1:6" ht="20.65" customHeight="1" x14ac:dyDescent="0.2">
      <c r="A24" s="1059"/>
      <c r="B24" s="1060"/>
      <c r="C24" s="1061"/>
      <c r="D24" s="2576"/>
      <c r="E24" s="2576"/>
      <c r="F24" s="2576"/>
    </row>
    <row r="25" spans="1:6" ht="20.65" customHeight="1" x14ac:dyDescent="0.2">
      <c r="A25" s="1059"/>
      <c r="B25" s="1060"/>
      <c r="C25" s="1061"/>
      <c r="D25" s="2576"/>
      <c r="E25" s="2576"/>
      <c r="F25" s="2576"/>
    </row>
    <row r="26" spans="1:6" ht="20.65" customHeight="1" x14ac:dyDescent="0.2">
      <c r="A26" s="1059"/>
      <c r="B26" s="1060"/>
      <c r="C26" s="1061"/>
      <c r="D26" s="2576"/>
      <c r="E26" s="2576"/>
      <c r="F26" s="2576"/>
    </row>
    <row r="27" spans="1:6" ht="20.65" customHeight="1" x14ac:dyDescent="0.2">
      <c r="A27" s="1059"/>
      <c r="B27" s="1060"/>
      <c r="C27" s="1061"/>
      <c r="D27" s="2576"/>
      <c r="E27" s="2576"/>
      <c r="F27" s="2576"/>
    </row>
    <row r="28" spans="1:6" ht="20.65" customHeight="1" x14ac:dyDescent="0.2">
      <c r="A28" s="1059"/>
      <c r="B28" s="1060"/>
      <c r="C28" s="1061"/>
      <c r="D28" s="2576"/>
      <c r="E28" s="2576"/>
      <c r="F28" s="2576"/>
    </row>
    <row r="29" spans="1:6" ht="20.65" customHeight="1" x14ac:dyDescent="0.2">
      <c r="A29" s="1059"/>
      <c r="B29" s="1060"/>
      <c r="C29" s="1061"/>
      <c r="D29" s="2576"/>
      <c r="E29" s="2576"/>
      <c r="F29" s="2576"/>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0" t="s">
        <v>1709</v>
      </c>
      <c r="B32" s="2580"/>
      <c r="C32" s="2580"/>
      <c r="D32" s="2580"/>
      <c r="E32" s="2580"/>
      <c r="F32" s="2580"/>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1">
        <f>+C33+C34</f>
        <v>0</v>
      </c>
      <c r="F34" s="2582"/>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3" t="s">
        <v>1573</v>
      </c>
      <c r="C49" s="2583"/>
      <c r="D49" s="2583"/>
      <c r="E49" s="1168"/>
    </row>
    <row r="50" spans="1:5" s="1076" customFormat="1" ht="3.75" customHeight="1" x14ac:dyDescent="0.2">
      <c r="A50" s="1075"/>
      <c r="B50" s="1475"/>
      <c r="C50" s="1475"/>
      <c r="D50" s="1475"/>
      <c r="E50" s="1168"/>
    </row>
    <row r="51" spans="1:5" s="1076" customFormat="1" ht="20.25" customHeight="1" x14ac:dyDescent="0.2">
      <c r="A51" s="1077">
        <v>6</v>
      </c>
      <c r="B51" s="2579" t="s">
        <v>1534</v>
      </c>
      <c r="C51" s="2579"/>
      <c r="D51" s="2579"/>
    </row>
    <row r="52" spans="1:5" ht="14.25" customHeight="1" x14ac:dyDescent="0.2">
      <c r="A52" s="1077"/>
      <c r="B52" s="2579"/>
      <c r="C52" s="2579"/>
      <c r="D52" s="257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8" t="str">
        <f>'Single Audit Cover'!A7</f>
        <v>Galesburg Area vocational Center</v>
      </c>
      <c r="C1" s="2589"/>
      <c r="D1" s="2589"/>
      <c r="E1" s="2589"/>
      <c r="F1" s="2589"/>
      <c r="G1" s="2589"/>
      <c r="H1" s="2589"/>
      <c r="I1" s="2589"/>
      <c r="J1" s="1178"/>
    </row>
    <row r="2" spans="2:10" s="295" customFormat="1" ht="12.75" customHeight="1" x14ac:dyDescent="0.2">
      <c r="B2" s="2590">
        <f>'Single Audit Cover'!E7</f>
        <v>33048205041</v>
      </c>
      <c r="C2" s="2591"/>
      <c r="D2" s="2591"/>
      <c r="E2" s="2591"/>
      <c r="F2" s="2591"/>
      <c r="G2" s="2591"/>
      <c r="H2" s="2591"/>
      <c r="I2" s="2591"/>
      <c r="J2" s="1178"/>
    </row>
    <row r="3" spans="2:10" s="295" customFormat="1" ht="12.75" customHeight="1" x14ac:dyDescent="0.2">
      <c r="B3" s="2592" t="s">
        <v>1274</v>
      </c>
      <c r="C3" s="2593"/>
      <c r="D3" s="2593"/>
      <c r="E3" s="2593"/>
      <c r="F3" s="2593"/>
      <c r="G3" s="2593"/>
      <c r="H3" s="2593"/>
      <c r="I3" s="2593"/>
      <c r="J3" s="1179"/>
    </row>
    <row r="4" spans="2:10" s="295" customFormat="1" ht="12.75" customHeight="1" x14ac:dyDescent="0.2">
      <c r="B4" s="2592" t="str">
        <f>'Single Audit Cover'!A4</f>
        <v>Year Ending June 30, 2020</v>
      </c>
      <c r="C4" s="2593"/>
      <c r="D4" s="2593"/>
      <c r="E4" s="2593"/>
      <c r="F4" s="2593"/>
      <c r="G4" s="2593"/>
      <c r="H4" s="2593"/>
      <c r="I4" s="2593"/>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2" t="s">
        <v>1273</v>
      </c>
      <c r="C7" s="2593"/>
      <c r="D7" s="2593"/>
      <c r="E7" s="2593"/>
      <c r="F7" s="2593"/>
      <c r="G7" s="2593"/>
      <c r="H7" s="2593"/>
      <c r="I7" s="2593"/>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4"/>
      <c r="D11" s="2594"/>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5"/>
      <c r="E29" s="2595"/>
      <c r="F29" s="2595"/>
      <c r="G29" s="2595"/>
      <c r="H29" s="2595"/>
      <c r="I29" s="2595"/>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6" t="s">
        <v>1728</v>
      </c>
      <c r="D37" s="2597"/>
      <c r="E37" s="2597"/>
      <c r="F37" s="2598"/>
      <c r="G37" s="2596" t="s">
        <v>1575</v>
      </c>
      <c r="H37" s="2597"/>
      <c r="I37" s="2598"/>
    </row>
    <row r="38" spans="2:9" ht="16.5" customHeight="1" x14ac:dyDescent="0.2">
      <c r="B38" s="1200"/>
      <c r="C38" s="2584"/>
      <c r="D38" s="2585"/>
      <c r="E38" s="2585"/>
      <c r="F38" s="2586"/>
      <c r="G38" s="2599"/>
      <c r="H38" s="2600"/>
      <c r="I38" s="2601"/>
    </row>
    <row r="39" spans="2:9" ht="16.5" customHeight="1" x14ac:dyDescent="0.2">
      <c r="B39" s="1200"/>
      <c r="C39" s="2584"/>
      <c r="D39" s="2585"/>
      <c r="E39" s="2585"/>
      <c r="F39" s="2586"/>
      <c r="G39" s="2587"/>
      <c r="H39" s="2587"/>
      <c r="I39" s="2587"/>
    </row>
    <row r="40" spans="2:9" ht="16.5" customHeight="1" x14ac:dyDescent="0.2">
      <c r="B40" s="1200"/>
      <c r="C40" s="2584"/>
      <c r="D40" s="2585"/>
      <c r="E40" s="2585"/>
      <c r="F40" s="2586"/>
      <c r="G40" s="2587"/>
      <c r="H40" s="2587"/>
      <c r="I40" s="2587"/>
    </row>
    <row r="41" spans="2:9" ht="16.5" customHeight="1" x14ac:dyDescent="0.2">
      <c r="B41" s="1200"/>
      <c r="C41" s="2584"/>
      <c r="D41" s="2585"/>
      <c r="E41" s="2585"/>
      <c r="F41" s="2586"/>
      <c r="G41" s="2587"/>
      <c r="H41" s="2587"/>
      <c r="I41" s="2587"/>
    </row>
    <row r="42" spans="2:9" ht="16.5" customHeight="1" x14ac:dyDescent="0.2">
      <c r="B42" s="1200"/>
      <c r="C42" s="2584"/>
      <c r="D42" s="2585"/>
      <c r="E42" s="2585"/>
      <c r="F42" s="2586"/>
      <c r="G42" s="2587"/>
      <c r="H42" s="2587"/>
      <c r="I42" s="2587"/>
    </row>
    <row r="43" spans="2:9" ht="16.5" customHeight="1" x14ac:dyDescent="0.2">
      <c r="B43" s="1200"/>
      <c r="C43" s="2602" t="s">
        <v>1576</v>
      </c>
      <c r="D43" s="2603"/>
      <c r="E43" s="2603"/>
      <c r="F43" s="2604"/>
      <c r="G43" s="2605">
        <f>SUM(G38:I42)</f>
        <v>0</v>
      </c>
      <c r="H43" s="2605"/>
      <c r="I43" s="2605"/>
    </row>
    <row r="44" spans="2:9" ht="12.75" customHeight="1" x14ac:dyDescent="0.2"/>
    <row r="45" spans="2:9" ht="12.75" customHeight="1" x14ac:dyDescent="0.2">
      <c r="B45" s="1919" t="str">
        <f>"Total Federal Expenditures for 7/1/"&amp;MID('AFR20'!E2,3,2)-1&amp;"-6/30/"&amp;MID('AFR20'!E2,3,2)</f>
        <v>Total Federal Expenditures for 7/1/19-6/30/20</v>
      </c>
      <c r="C45" s="1920"/>
      <c r="D45" s="2606">
        <v>0</v>
      </c>
      <c r="E45" s="260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8"/>
      <c r="F49" s="2608"/>
      <c r="G49" s="260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8" t="str">
        <f>'Single Audit Cover'!A7</f>
        <v>Galesburg Area vocational Center</v>
      </c>
      <c r="C1" s="2588"/>
      <c r="D1" s="2588"/>
      <c r="E1" s="2588"/>
      <c r="F1" s="2588"/>
      <c r="G1" s="2588"/>
      <c r="H1" s="2588"/>
      <c r="I1" s="2588"/>
      <c r="J1" s="2588"/>
      <c r="K1" s="2588"/>
      <c r="L1" s="1144"/>
      <c r="M1" s="1144"/>
    </row>
    <row r="2" spans="1:13" ht="12" customHeight="1" x14ac:dyDescent="0.2">
      <c r="B2" s="2590">
        <f>'Single Audit Cover'!E7</f>
        <v>33048205041</v>
      </c>
      <c r="C2" s="2590"/>
      <c r="D2" s="2590"/>
      <c r="E2" s="2590"/>
      <c r="F2" s="2590"/>
      <c r="G2" s="2590"/>
      <c r="H2" s="2590"/>
      <c r="I2" s="2590"/>
      <c r="J2" s="2590"/>
      <c r="K2" s="2590"/>
      <c r="L2" s="1145"/>
      <c r="M2" s="1146"/>
    </row>
    <row r="3" spans="1:13" ht="10.35" customHeight="1" x14ac:dyDescent="0.2">
      <c r="B3" s="2611" t="s">
        <v>1274</v>
      </c>
      <c r="C3" s="2611"/>
      <c r="D3" s="2611"/>
      <c r="E3" s="2611"/>
      <c r="F3" s="2611"/>
      <c r="G3" s="2611"/>
      <c r="H3" s="2611"/>
      <c r="I3" s="2611"/>
      <c r="J3" s="2611"/>
      <c r="K3" s="2611"/>
      <c r="L3" s="1147"/>
      <c r="M3" s="114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1285</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1"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0"/>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0"/>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4"/>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0"/>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0"/>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9"/>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9"/>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Galesburg Area vocational Center</v>
      </c>
      <c r="C1" s="2615"/>
      <c r="D1" s="2615"/>
      <c r="E1" s="2615"/>
      <c r="F1" s="2615"/>
      <c r="G1" s="2615"/>
      <c r="H1" s="2615"/>
      <c r="I1" s="2615"/>
      <c r="J1" s="2615"/>
      <c r="K1" s="2615"/>
      <c r="L1" s="1221"/>
    </row>
    <row r="2" spans="1:12" ht="12.75" customHeight="1" x14ac:dyDescent="0.2">
      <c r="B2" s="2616">
        <f>'Single Audit Cover'!E7</f>
        <v>33048205041</v>
      </c>
      <c r="C2" s="2616"/>
      <c r="D2" s="2616"/>
      <c r="E2" s="2616"/>
      <c r="F2" s="2616"/>
      <c r="G2" s="2616"/>
      <c r="H2" s="2616"/>
      <c r="I2" s="2616"/>
      <c r="J2" s="2616"/>
      <c r="K2" s="2616"/>
      <c r="L2" s="1222"/>
    </row>
    <row r="3" spans="1:12" ht="12.75" customHeight="1" x14ac:dyDescent="0.2">
      <c r="B3" s="2611" t="s">
        <v>1274</v>
      </c>
      <c r="C3" s="2611"/>
      <c r="D3" s="2611"/>
      <c r="E3" s="2611"/>
      <c r="F3" s="2611"/>
      <c r="G3" s="2611"/>
      <c r="H3" s="2611"/>
      <c r="I3" s="2611"/>
      <c r="J3" s="2611"/>
      <c r="K3" s="2611"/>
      <c r="L3" s="1147"/>
    </row>
    <row r="4" spans="1:12" ht="12.75" customHeight="1" x14ac:dyDescent="0.2">
      <c r="B4" s="2611" t="str">
        <f>'Single Audit Cover'!A4</f>
        <v>Year Ending June 30, 2020</v>
      </c>
      <c r="C4" s="2611"/>
      <c r="D4" s="2611"/>
      <c r="E4" s="2611"/>
      <c r="F4" s="2611"/>
      <c r="G4" s="2611"/>
      <c r="H4" s="2611"/>
      <c r="I4" s="2611"/>
      <c r="J4" s="2611"/>
      <c r="K4" s="2611"/>
      <c r="L4" s="1147"/>
    </row>
    <row r="5" spans="1:12" ht="5.25" customHeight="1" x14ac:dyDescent="0.2">
      <c r="B5" s="1036" t="s">
        <v>1159</v>
      </c>
      <c r="C5" s="1036"/>
      <c r="L5" s="300"/>
    </row>
    <row r="6" spans="1:12" ht="30.75" customHeight="1" x14ac:dyDescent="0.2">
      <c r="A6" s="300"/>
      <c r="B6" s="2617" t="s">
        <v>1297</v>
      </c>
      <c r="C6" s="2617"/>
      <c r="D6" s="2617"/>
      <c r="E6" s="2617"/>
      <c r="F6" s="2617"/>
      <c r="G6" s="2617"/>
      <c r="H6" s="2617"/>
      <c r="I6" s="2617"/>
      <c r="J6" s="2617"/>
      <c r="K6" s="261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1"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5"/>
      <c r="G12" s="2595"/>
      <c r="H12" s="2595"/>
      <c r="I12" s="2595"/>
      <c r="J12" s="2595"/>
      <c r="K12" s="259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8"/>
      <c r="E14" s="2618"/>
      <c r="F14" s="2618"/>
      <c r="H14" s="1230" t="s">
        <v>1292</v>
      </c>
      <c r="I14" s="2619"/>
      <c r="J14" s="2619"/>
      <c r="K14" s="261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9"/>
      <c r="E16" s="2619"/>
      <c r="F16" s="2619"/>
      <c r="G16" s="2619"/>
      <c r="H16" s="2619"/>
      <c r="I16" s="2619"/>
      <c r="J16" s="2619"/>
      <c r="K16" s="2619"/>
      <c r="L16" s="300"/>
    </row>
    <row r="17" spans="2:12" ht="13.5" customHeight="1" x14ac:dyDescent="0.2">
      <c r="B17" s="1156" t="s">
        <v>1290</v>
      </c>
      <c r="C17" s="1156"/>
      <c r="D17" s="2620"/>
      <c r="E17" s="2620"/>
      <c r="F17" s="2620"/>
      <c r="G17" s="2620"/>
      <c r="H17" s="2620"/>
      <c r="I17" s="2620"/>
      <c r="J17" s="2620"/>
      <c r="K17" s="262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0"/>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8" t="str">
        <f>'Single Audit Cover'!A7</f>
        <v>Galesburg Area vocational Center</v>
      </c>
      <c r="C1" s="2588"/>
      <c r="D1" s="2588"/>
      <c r="E1" s="1240"/>
    </row>
    <row r="2" spans="2:5" s="1058" customFormat="1" ht="12.75" customHeight="1" x14ac:dyDescent="0.2">
      <c r="B2" s="2590">
        <f>'Single Audit Cover'!E7</f>
        <v>33048205041</v>
      </c>
      <c r="C2" s="2590"/>
      <c r="D2" s="2590"/>
      <c r="E2" s="1241"/>
    </row>
    <row r="3" spans="2:5" ht="12.75" customHeight="1" x14ac:dyDescent="0.2">
      <c r="B3" s="2611" t="s">
        <v>1743</v>
      </c>
      <c r="C3" s="2611"/>
      <c r="D3" s="2611"/>
      <c r="E3" s="1050"/>
    </row>
    <row r="4" spans="2:5" s="1058" customFormat="1" ht="12.75" customHeight="1" x14ac:dyDescent="0.2">
      <c r="B4" s="2621" t="str">
        <f>'Single Audit Cover'!A4</f>
        <v>Year Ending June 30, 2020</v>
      </c>
      <c r="C4" s="2621"/>
      <c r="D4" s="262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4d435f69-8686-490b-bd6d-b153bf22ab50"/>
    <ds:schemaRef ds:uri="http://schemas.microsoft.com/office/2006/metadata/properties"/>
    <ds:schemaRef ds:uri="d21dc803-237d-4c68-8692-8d731fd29118"/>
    <ds:schemaRef ds:uri="http://purl.org/dc/dcmitype/"/>
    <ds:schemaRef ds:uri="http://www.w3.org/XML/1998/namespace"/>
    <ds:schemaRef ds:uri="6ce3111e-7420-4802-b50a-75d4e9a0b980"/>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2020-09-02T14:07:29Z</cp:lastPrinted>
  <dcterms:created xsi:type="dcterms:W3CDTF">2003-10-29T19:06:34Z</dcterms:created>
  <dcterms:modified xsi:type="dcterms:W3CDTF">2020-10-03T16:01:25Z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