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DFCBC0CE-EC26-48B3-9A99-DB7023F28DDB}" xr6:coauthVersionLast="36" xr6:coauthVersionMax="36" xr10:uidLastSave="{00000000-0000-0000-0000-000000000000}"/>
  <bookViews>
    <workbookView xWindow="3120" yWindow="3120" windowWidth="21600" windowHeight="1138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52" i="29" l="1"/>
  <c r="E67" i="184" l="1"/>
  <c r="E66" i="184"/>
  <c r="E65" i="184"/>
  <c r="E64" i="184"/>
  <c r="E63" i="184"/>
  <c r="E62" i="184"/>
  <c r="E61" i="184"/>
  <c r="E60" i="184"/>
  <c r="E59" i="184"/>
  <c r="E58" i="184"/>
  <c r="E57" i="184"/>
  <c r="N57" i="184" s="1"/>
  <c r="E17" i="184"/>
  <c r="E16" i="184"/>
  <c r="F15" i="184"/>
  <c r="F19" i="184" s="1"/>
  <c r="E15" i="184"/>
  <c r="J7" i="184"/>
  <c r="L53" i="184" s="1"/>
  <c r="J6" i="184"/>
  <c r="L52" i="184" s="1"/>
  <c r="L12" i="184"/>
  <c r="L13" i="184"/>
  <c r="L14" i="184"/>
  <c r="G15" i="184"/>
  <c r="L15" i="184"/>
  <c r="G16" i="184"/>
  <c r="H16" i="184" s="1"/>
  <c r="L16" i="184"/>
  <c r="L17" i="184"/>
  <c r="H18" i="184"/>
  <c r="L18" i="184"/>
  <c r="I19" i="184"/>
  <c r="J19" i="184"/>
  <c r="K19" i="184"/>
  <c r="L19" i="184"/>
  <c r="N58" i="184"/>
  <c r="N59" i="184"/>
  <c r="N60" i="184"/>
  <c r="N61" i="184"/>
  <c r="N62" i="184"/>
  <c r="N63" i="184"/>
  <c r="N64" i="184"/>
  <c r="N65" i="184"/>
  <c r="N66" i="184"/>
  <c r="N67" i="184"/>
  <c r="G68" i="184"/>
  <c r="G12" i="184" s="1"/>
  <c r="H68" i="184"/>
  <c r="G13" i="184" s="1"/>
  <c r="I68" i="184"/>
  <c r="G14" i="184" s="1"/>
  <c r="J68" i="184"/>
  <c r="K68" i="184"/>
  <c r="L68" i="184"/>
  <c r="G17" i="184" s="1"/>
  <c r="H17" i="184" s="1"/>
  <c r="M68" i="184"/>
  <c r="H15" i="184" l="1"/>
  <c r="N68" i="184"/>
  <c r="G19" i="184"/>
  <c r="E68" i="184"/>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C39" i="145" l="1"/>
  <c r="C33" i="145"/>
  <c r="K18" i="145" l="1"/>
  <c r="K17" i="145"/>
  <c r="K16" i="145"/>
  <c r="K15" i="145"/>
  <c r="K14" i="145"/>
  <c r="K13" i="145"/>
  <c r="K12" i="145"/>
  <c r="J19" i="145"/>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K185" i="29"/>
  <c r="F62" i="34" s="1"/>
  <c r="B7833" i="106" s="1"/>
  <c r="D7833" i="106" s="1"/>
  <c r="K122" i="29"/>
  <c r="F15" i="145" s="1"/>
  <c r="F19" i="145" s="1"/>
  <c r="K67" i="29"/>
  <c r="G33" i="108" s="1"/>
  <c r="K64" i="29"/>
  <c r="D31" i="108" s="1"/>
  <c r="K59" i="29"/>
  <c r="E15" i="145" s="1"/>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D24" i="37"/>
  <c r="B4270" i="106" s="1"/>
  <c r="D4270" i="106" s="1"/>
  <c r="B5752" i="106"/>
  <c r="D5752" i="106" s="1"/>
  <c r="E14" i="145" l="1"/>
  <c r="G14" i="145" s="1"/>
  <c r="E14" i="184"/>
  <c r="H14" i="184" s="1"/>
  <c r="E13" i="145"/>
  <c r="G13" i="145" s="1"/>
  <c r="E13" i="184"/>
  <c r="H13" i="184" s="1"/>
  <c r="H12" i="184"/>
  <c r="F42" i="34"/>
  <c r="C342" i="29"/>
  <c r="B7216" i="106" s="1"/>
  <c r="D7216" i="106" s="1"/>
  <c r="J210" i="29"/>
  <c r="B7072" i="106" s="1"/>
  <c r="D7072" i="106" s="1"/>
  <c r="F77" i="4"/>
  <c r="B3255" i="106" s="1"/>
  <c r="D3255" i="106" s="1"/>
  <c r="H28" i="118"/>
  <c r="G39" i="108"/>
  <c r="I210" i="29"/>
  <c r="B7071" i="106" s="1"/>
  <c r="D7071" i="106" s="1"/>
  <c r="B2724" i="106"/>
  <c r="D2724" i="106" s="1"/>
  <c r="C129" i="29"/>
  <c r="L22" i="37"/>
  <c r="G35"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B3447" i="106"/>
  <c r="D3447" i="106" s="1"/>
  <c r="E19" i="184" l="1"/>
  <c r="H19" i="184"/>
  <c r="L20" i="184" s="1"/>
  <c r="D44" i="36"/>
  <c r="L114" i="29"/>
  <c r="L16" i="11"/>
  <c r="B2061" i="106" s="1"/>
  <c r="D2061" i="106" s="1"/>
  <c r="E367" i="29"/>
  <c r="B3635" i="106"/>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7834" i="106" l="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<sst xmlns="http://schemas.openxmlformats.org/spreadsheetml/2006/main" count="5217" uniqueCount="2098">
  <si>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</si>
  <si>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</si>
  <si>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</si>
  <si>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</si>
  <si>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</si>
  <si>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</si>
  <si>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</si>
  <si>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</si>
  <si>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</si>
  <si>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</si>
  <si>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</si>
  <si>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</si>
  <si>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</si>
  <si>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</si>
  <si>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</si>
  <si>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</si>
  <si>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</si>
  <si>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</si>
  <si>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</si>
  <si>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</si>
  <si>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</si>
  <si>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</si>
  <si>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</si>
  <si>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</si>
  <si>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</si>
  <si>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</si>
  <si>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</si>
  <si>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</si>
  <si>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</si>
  <si>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</si>
  <si>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</si>
  <si>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</si>
  <si>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</si>
  <si>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</si>
  <si>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</si>
  <si>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</si>
  <si>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</si>
  <si>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</si>
  <si>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</si>
  <si>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</si>
  <si>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</si>
  <si>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</si>
  <si>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</si>
  <si>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</si>
  <si>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</si>
  <si>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</si>
  <si>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</si>
  <si>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</si>
  <si>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</si>
  <si>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</si>
  <si>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</si>
  <si>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</si>
  <si>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</si>
  <si>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</si>
  <si>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</si>
  <si>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</si>
  <si>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</si>
  <si>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</si>
  <si>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</si>
  <si>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</si>
  <si>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</si>
  <si>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</si>
  <si>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</si>
  <si>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</si>
  <si>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</si>
  <si>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</si>
  <si>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</si>
  <si>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</si>
  <si>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</si>
  <si>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</si>
  <si>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</si>
  <si>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</si>
  <si>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</si>
  <si>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</si>
  <si>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</si>
  <si>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</si>
  <si>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</si>
  <si>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</si>
  <si>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</si>
  <si>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</si>
  <si>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</si>
  <si>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</si>
  <si>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</si>
  <si>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</si>
  <si>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</si>
  <si>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</si>
  <si>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</si>
  <si>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</si>
  <si>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</si>
  <si>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</si>
  <si>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</si>
  <si>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</si>
  <si>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</si>
  <si>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</si>
  <si>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</si>
  <si>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</si>
  <si>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</si>
  <si>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</si>
  <si>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</si>
  <si>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</si>
  <si>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</si>
  <si>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</si>
  <si>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</si>
  <si>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</si>
  <si>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</si>
  <si>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</si>
  <si>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</si>
  <si>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</si>
  <si>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</si>
  <si>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</si>
  <si>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</si>
  <si>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</si>
  <si>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</si>
  <si>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</si>
  <si>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</si>
  <si>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</si>
  <si>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</si>
  <si>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</si>
  <si>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</si>
  <si>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</si>
  <si>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</si>
  <si>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</si>
  <si>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</si>
  <si>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</si>
  <si>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</si>
  <si>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</si>
  <si>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</si>
  <si>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</si>
  <si>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</si>
  <si>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</si>
  <si>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</si>
  <si>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</si>
  <si>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</si>
  <si>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</si>
  <si>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</si>
  <si>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</si>
  <si>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</si>
  <si>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</si>
  <si>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</si>
  <si>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</si>
  <si>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</si>
  <si>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</si>
  <si>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</si>
  <si>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</si>
  <si>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</si>
  <si>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</si>
  <si>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</si>
  <si>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</si>
  <si>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</si>
  <si>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</si>
  <si>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</si>
  <si>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</si>
  <si>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</si>
  <si>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</si>
  <si>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</si>
  <si>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</si>
  <si>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</si>
  <si>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</si>
  <si>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</si>
  <si>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</si>
  <si>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</si>
  <si>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</si>
  <si>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</si>
  <si>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</si>
  <si>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</si>
  <si>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</si>
  <si>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</si>
  <si>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</si>
  <si>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</si>
  <si>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</si>
  <si>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</si>
  <si>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</si>
  <si>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</si>
  <si>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</si>
  <si>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</si>
  <si>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</si>
  <si>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</si>
  <si>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</si>
  <si>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</si>
  <si>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</si>
  <si>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</si>
  <si>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</si>
  <si>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</si>
  <si>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</si>
  <si>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</si>
  <si>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</si>
  <si>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</si>
  <si>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</si>
  <si>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</si>
  <si>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</si>
  <si>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</si>
  <si>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</si>
  <si>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</si>
  <si>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</si>
  <si>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</si>
  <si>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</si>
  <si>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</si>
  <si>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</si>
  <si>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</si>
  <si>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</si>
  <si>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</si>
  <si>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</si>
  <si>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</si>
  <si>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</si>
  <si>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</si>
  <si>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</si>
  <si>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</si>
  <si>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</si>
  <si>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</si>
  <si>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</si>
  <si>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</si>
  <si>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</si>
  <si>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</si>
  <si>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</si>
  <si>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</si>
  <si>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</si>
  <si>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</si>
  <si>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</si>
  <si>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</si>
  <si>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</si>
  <si>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</si>
  <si>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</si>
  <si>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</si>
  <si>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</si>
  <si>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</si>
  <si>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</si>
  <si>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</si>
  <si>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</si>
  <si>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</si>
  <si>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</si>
  <si>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</si>
  <si>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</si>
  <si>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</si>
  <si>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</si>
  <si>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</si>
  <si>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</si>
  <si>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</si>
  <si>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</si>
  <si>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</si>
  <si>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</si>
  <si>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</si>
  <si>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</si>
  <si>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</si>
  <si>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</si>
  <si>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</si>
  <si>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</si>
  <si>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</si>
  <si>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</si>
  <si>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</si>
  <si>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</si>
  <si>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</si>
  <si>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</si>
  <si>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</si>
  <si>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</si>
  <si>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</si>
  <si>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</si>
  <si>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</si>
  <si>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</si>
  <si>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</si>
  <si>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</si>
  <si>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</si>
  <si>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</si>
  <si>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</si>
  <si>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</si>
  <si>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</si>
  <si>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</si>
  <si>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</si>
  <si>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</si>
  <si>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</si>
  <si>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</si>
  <si>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</si>
  <si>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</si>
  <si>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</si>
  <si>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</si>
  <si>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</si>
  <si>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</si>
  <si>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</si>
  <si>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</si>
  <si>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</si>
  <si>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</si>
  <si>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</si>
  <si>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</si>
  <si>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</si>
  <si>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</si>
  <si>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</si>
  <si>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</si>
  <si>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</si>
  <si>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</si>
  <si>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</si>
  <si>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</si>
  <si>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</si>
  <si>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</si>
  <si>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</si>
  <si>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</si>
  <si>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</si>
  <si>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</si>
  <si>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</si>
  <si>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</si>
  <si>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</si>
  <si>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</si>
  <si>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</si>
  <si>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</si>
  <si>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</si>
  <si>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</si>
  <si>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</si>
  <si>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</si>
  <si>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</si>
  <si>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</si>
  <si>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</si>
  <si>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</si>
  <si>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</si>
  <si>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</si>
  <si>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</si>
  <si>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</si>
  <si>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</si>
  <si>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</si>
  <si>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</si>
  <si>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</si>
  <si>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</si>
  <si>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</si>
  <si>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</si>
  <si>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</si>
  <si>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</si>
  <si>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</si>
  <si>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</si>
  <si>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</si>
  <si>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</si>
  <si>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</si>
  <si>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</si>
  <si>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</si>
  <si>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</si>
  <si>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</si>
  <si>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</si>
  <si>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</si>
  <si>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</si>
  <si>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</si>
  <si>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</si>
  <si>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</si>
  <si>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</si>
  <si>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</si>
  <si>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</si>
  <si>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</si>
  <si>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</si>
  <si>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</si>
  <si>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</si>
  <si>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</si>
  <si>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</si>
  <si>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</si>
  <si>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</si>
  <si>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</si>
  <si>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</si>
  <si>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</si>
  <si>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</si>
  <si>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</si>
  <si>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</si>
  <si>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</si>
  <si>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</si>
  <si>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</si>
  <si>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</si>
  <si>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</si>
  <si>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</si>
  <si>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</si>
  <si>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</si>
  <si>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</si>
  <si>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</si>
  <si>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</si>
  <si>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</si>
  <si>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</si>
  <si>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</si>
  <si>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</si>
  <si>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</si>
  <si>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</si>
  <si>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</si>
  <si>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</si>
  <si>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</si>
  <si>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</si>
  <si>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</si>
  <si>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</si>
  <si>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</si>
  <si>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</si>
  <si>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</si>
  <si>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</si>
  <si>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</si>
  <si>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</si>
  <si>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</si>
  <si>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</si>
  <si>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</si>
  <si>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</si>
  <si>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</si>
  <si>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</si>
  <si>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</si>
  <si>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</si>
  <si>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</si>
  <si>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</si>
  <si>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</si>
  <si>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</si>
  <si>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</si>
  <si>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</si>
  <si>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</si>
  <si>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</si>
  <si>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</si>
  <si>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</si>
  <si>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</si>
  <si>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</si>
  <si>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</si>
  <si>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</si>
  <si>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</si>
  <si>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</si>
  <si>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</si>
  <si>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</si>
  <si>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</si>
  <si>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</si>
  <si>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</si>
  <si>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</si>
  <si>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</si>
  <si>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</si>
  <si>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</si>
  <si>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</si>
  <si>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</si>
  <si>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</si>
  <si>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</si>
  <si>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</si>
  <si>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</si>
  <si>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</si>
  <si>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</si>
  <si>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</si>
  <si>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</si>
  <si>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</si>
  <si>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</si>
  <si>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</si>
  <si>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</si>
  <si>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</si>
  <si>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</si>
  <si>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</si>
  <si>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</si>
  <si>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</si>
  <si>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</si>
  <si>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</si>
  <si>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</si>
  <si>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</si>
  <si>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</si>
  <si>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</si>
  <si>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</si>
  <si>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</si>
  <si>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</si>
  <si>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</si>
  <si>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</si>
  <si>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</si>
  <si>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</si>
  <si>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</si>
  <si>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</si>
  <si>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</si>
  <si>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</si>
  <si>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</si>
  <si>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</si>
  <si>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</si>
  <si>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</si>
  <si>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</si>
  <si>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</si>
  <si>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</si>
  <si>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</si>
  <si>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</si>
  <si>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</si>
  <si>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</si>
  <si>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</si>
  <si>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</si>
  <si>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</si>
  <si>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</si>
  <si>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</si>
  <si>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</si>
  <si>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</si>
  <si>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</si>
  <si>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</si>
  <si>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</si>
  <si>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</si>
  <si>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</si>
  <si>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</si>
  <si>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</si>
  <si>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</si>
  <si>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</si>
  <si>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</si>
  <si>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</si>
  <si>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</si>
  <si>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</si>
  <si>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</si>
  <si>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</si>
  <si>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</si>
  <si>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</si>
  <si>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</si>
  <si>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</si>
  <si>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</si>
  <si>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</si>
  <si>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</si>
  <si>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</si>
  <si>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</si>
  <si>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</si>
  <si>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</si>
  <si>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</si>
  <si>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</si>
  <si>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</si>
  <si>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</si>
  <si>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</si>
  <si>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</si>
  <si>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</si>
  <si>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</si>
  <si>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</si>
  <si>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</si>
  <si>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</si>
  <si>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</si>
  <si>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</si>
  <si>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</si>
  <si>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</si>
  <si>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</si>
  <si>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</si>
  <si>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</si>
  <si>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</si>
  <si>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</si>
  <si>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</si>
  <si>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</si>
  <si>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</si>
  <si>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</si>
  <si>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</si>
  <si>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</si>
  <si>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</si>
  <si>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</si>
  <si>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</si>
  <si>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</si>
  <si>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</si>
  <si>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</si>
  <si>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</si>
  <si>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</si>
  <si>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</si>
  <si>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</si>
  <si>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</si>
  <si>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</si>
  <si>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</si>
  <si>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</si>
  <si>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</si>
  <si>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</si>
  <si>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</si>
  <si>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</si>
  <si>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</si>
  <si>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</si>
  <si>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</si>
  <si>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</si>
  <si>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</si>
  <si>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</si>
  <si>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</si>
  <si>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</si>
  <si>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</si>
  <si>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</si>
  <si>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</si>
  <si>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</si>
  <si>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</si>
  <si>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</si>
  <si>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</si>
  <si>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</si>
  <si>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</si>
  <si>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</si>
  <si>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</si>
  <si>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</si>
  <si>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</si>
  <si>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</si>
  <si>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</si>
  <si>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</si>
  <si>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</si>
  <si>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</si>
  <si>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</si>
  <si>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</si>
  <si>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</si>
  <si>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</si>
  <si>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</si>
  <si>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</si>
  <si>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</si>
  <si>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</si>
  <si>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</si>
  <si>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</si>
  <si>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</si>
  <si>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</si>
  <si>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</si>
  <si>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</si>
  <si>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</si>
  <si>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</si>
  <si>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</si>
  <si>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</si>
  <si>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</si>
  <si>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</si>
  <si>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</si>
  <si>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</si>
  <si>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</si>
  <si>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</si>
  <si>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</si>
  <si>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</si>
  <si>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</si>
  <si>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</si>
  <si>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</si>
  <si>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</si>
  <si>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</si>
  <si>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</si>
  <si>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</si>
  <si>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</si>
  <si>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</si>
  <si>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</si>
  <si>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</si>
  <si>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</si>
  <si>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</si>
  <si>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</si>
  <si>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</si>
  <si>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</si>
  <si>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</si>
  <si>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</si>
  <si>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</si>
  <si>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</si>
  <si>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</si>
  <si>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</si>
  <si>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</si>
  <si>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</si>
  <si>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</si>
  <si>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</si>
  <si>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</si>
  <si>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</si>
  <si>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</si>
  <si>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</si>
  <si>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</si>
  <si>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</si>
  <si>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</si>
  <si>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</si>
  <si>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</si>
  <si>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</si>
  <si>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</si>
  <si>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</si>
  <si>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</si>
  <si>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</si>
  <si>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</si>
  <si>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</si>
  <si>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</si>
  <si>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</si>
  <si>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</si>
  <si>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</si>
  <si>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</si>
  <si>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</si>
  <si>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</si>
  <si>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</si>
  <si>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</si>
  <si>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</si>
  <si>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</si>
  <si>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</si>
  <si>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</si>
  <si>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</si>
  <si>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</si>
  <si>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</si>
  <si>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</si>
  <si>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</si>
  <si>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</si>
  <si>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</si>
  <si>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</si>
  <si>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</si>
  <si>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</si>
  <si>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</si>
  <si>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</si>
  <si>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</si>
  <si>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</si>
  <si>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</si>
  <si>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</si>
  <si>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</si>
  <si>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</si>
  <si>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</si>
  <si>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</si>
  <si>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</si>
  <si>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</si>
  <si>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</si>
  <si>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</si>
  <si>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</si>
  <si>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</si>
  <si>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</si>
  <si>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</si>
  <si>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</si>
  <si>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</si>
  <si>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</si>
  <si>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</si>
  <si>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</si>
  <si>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</si>
  <si>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</si>
  <si>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</si>
  <si>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</si>
  <si>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</si>
  <si>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</si>
  <si>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</si>
  <si>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</si>
  <si>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</si>
  <si>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</si>
  <si>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</si>
  <si>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</si>
  <si>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</si>
  <si>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</si>
  <si>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</si>
  <si>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</si>
  <si>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</si>
  <si>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</si>
  <si>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</si>
  <si>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</si>
  <si>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</si>
  <si>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</si>
  <si>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</si>
  <si>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</si>
  <si>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</si>
  <si>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</si>
  <si>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</si>
  <si>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</si>
  <si>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</si>
  <si>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</si>
  <si>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</si>
  <si>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</si>
  <si>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</si>
  <si>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</si>
  <si>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</si>
  <si>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</si>
  <si>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</si>
  <si>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</si>
  <si>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</si>
  <si>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</si>
  <si>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</si>
  <si>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</si>
  <si>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</si>
  <si>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</si>
  <si>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</si>
  <si>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</si>
  <si>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</si>
  <si>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</si>
  <si>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</si>
  <si>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</si>
  <si>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</si>
  <si>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</si>
  <si>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</si>
  <si>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</si>
  <si>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</si>
  <si>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</si>
  <si>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</si>
  <si>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</si>
  <si>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</si>
  <si>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</si>
  <si>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</si>
  <si>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</si>
  <si>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</si>
  <si>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</si>
  <si>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</si>
  <si>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</si>
  <si>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</si>
  <si>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</si>
  <si>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</si>
  <si>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</si>
  <si>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</si>
  <si>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</si>
  <si>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</si>
  <si>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</si>
  <si>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</si>
  <si>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</si>
  <si>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</si>
  <si>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</si>
  <si>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</si>
  <si>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</si>
  <si>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</si>
  <si>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</si>
  <si>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</si>
  <si>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</si>
  <si>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</si>
  <si>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</si>
  <si>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</si>
  <si>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</si>
  <si>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</si>
  <si>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</si>
  <si>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</si>
  <si>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</si>
  <si>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</si>
  <si>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</si>
  <si>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</si>
  <si>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</si>
  <si>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</si>
  <si>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</si>
  <si>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</si>
  <si>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</si>
  <si>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</si>
  <si>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</si>
  <si>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</si>
  <si>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</si>
  <si>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</si>
  <si>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</si>
  <si>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</si>
  <si>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</si>
  <si>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</si>
  <si>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</si>
  <si>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</si>
  <si>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</si>
  <si>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</si>
  <si>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</si>
  <si>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</si>
  <si>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</si>
  <si>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</si>
  <si>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</si>
  <si>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</si>
  <si>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</si>
  <si>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</si>
  <si>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</si>
  <si>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</si>
  <si>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</si>
  <si>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</si>
  <si>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</si>
  <si>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</si>
  <si>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</si>
  <si>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</si>
  <si>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</si>
  <si>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</si>
  <si>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</si>
  <si>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</si>
  <si>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</si>
  <si>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</si>
  <si>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</si>
  <si>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</si>
  <si>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</si>
  <si>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</si>
  <si>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</si>
  <si>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</si>
  <si>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</si>
  <si>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</si>
  <si>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</si>
  <si>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</si>
  <si>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</si>
  <si>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</si>
  <si>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</si>
  <si>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</si>
  <si>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</si>
  <si>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</si>
  <si>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</si>
  <si>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</si>
  <si>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</si>
  <si>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</si>
  <si>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</si>
  <si>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</si>
  <si>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</si>
  <si>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</si>
  <si>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</si>
  <si>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</si>
  <si>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</si>
  <si>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</si>
  <si>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</si>
  <si>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</si>
  <si>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</si>
  <si>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</si>
  <si>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</si>
  <si>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</si>
  <si>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</si>
  <si>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</si>
  <si>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</si>
  <si>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</si>
  <si>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</si>
  <si>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</si>
  <si>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</si>
  <si>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</si>
  <si>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</si>
  <si>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</si>
  <si>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</si>
  <si>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</si>
  <si>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</si>
  <si>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</si>
  <si>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</si>
  <si>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</si>
  <si>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</si>
  <si>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</si>
  <si>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</si>
  <si>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</si>
  <si>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</si>
  <si>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</si>
  <si>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</si>
  <si>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</si>
  <si>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</si>
  <si>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</si>
  <si>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</si>
  <si>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</si>
  <si>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</si>
  <si>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</si>
  <si>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</si>
  <si>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</si>
  <si>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</si>
  <si>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</si>
  <si>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</si>
  <si>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</si>
  <si>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</si>
  <si>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</si>
  <si>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</si>
  <si>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</si>
  <si>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</si>
  <si>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</si>
  <si>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</si>
  <si>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</si>
  <si>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</si>
  <si>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</si>
  <si>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</si>
  <si>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</si>
  <si>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</si>
  <si>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</si>
  <si>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</si>
  <si>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</si>
  <si>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</si>
  <si>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</si>
  <si>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</si>
  <si>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</si>
  <si>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</si>
  <si>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</si>
  <si>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</si>
  <si>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</si>
  <si>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</si>
  <si>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</si>
  <si>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</si>
  <si>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</si>
  <si>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</si>
  <si>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</si>
  <si>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</si>
  <si>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</si>
  <si>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</si>
  <si>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</si>
  <si>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</si>
  <si>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</si>
  <si>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</si>
  <si>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</si>
  <si>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</si>
  <si>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</si>
  <si>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</si>
  <si>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</si>
  <si>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</si>
  <si>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</si>
  <si>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</si>
  <si>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</si>
  <si>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</si>
  <si>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</si>
  <si>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</si>
  <si>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</si>
  <si>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</si>
  <si>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</si>
  <si>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</si>
  <si>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</si>
  <si>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</si>
  <si>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</si>
  <si>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</si>
  <si>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</si>
  <si>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</si>
  <si>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</si>
  <si>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</si>
  <si>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</si>
  <si>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</si>
  <si>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</si>
  <si>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</si>
  <si>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</si>
  <si>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</si>
  <si>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</si>
  <si>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</si>
  <si>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</si>
  <si>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</si>
  <si>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</si>
  <si>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</si>
  <si>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</si>
  <si>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</si>
  <si>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</si>
  <si>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</si>
  <si>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</si>
  <si>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</si>
  <si>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</si>
  <si>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</si>
  <si>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</si>
  <si>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</si>
  <si>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</si>
  <si>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</si>
  <si>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</si>
  <si>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</si>
  <si>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</si>
  <si>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</si>
  <si>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</si>
  <si>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</si>
  <si>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</si>
  <si>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</si>
  <si>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</si>
  <si>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</si>
  <si>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</si>
  <si>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</si>
  <si>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</si>
  <si>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</si>
  <si>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</si>
  <si>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</si>
  <si>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</si>
  <si>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</si>
  <si>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</si>
  <si>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</si>
  <si>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</si>
  <si>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</si>
  <si>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</si>
  <si>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</si>
  <si>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</si>
  <si>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</si>
  <si>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</si>
  <si>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</si>
  <si>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</si>
  <si>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</si>
  <si>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</si>
  <si>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</si>
  <si>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</si>
  <si>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</si>
  <si>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</si>
  <si>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</si>
  <si>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</si>
  <si>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</si>
  <si>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</si>
  <si>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</si>
  <si>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</si>
  <si>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</si>
  <si>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</si>
  <si>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</si>
  <si>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</si>
  <si>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</si>
  <si>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</si>
  <si>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</si>
  <si>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</si>
  <si>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</si>
  <si>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</si>
  <si>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</si>
  <si>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</si>
  <si>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</si>
  <si>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</si>
  <si>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</si>
  <si>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</si>
  <si>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</si>
  <si>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</si>
  <si>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</si>
  <si>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</si>
  <si>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</si>
  <si>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</si>
  <si>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</si>
  <si>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</si>
  <si>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</si>
  <si>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</si>
  <si>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</si>
  <si>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</si>
  <si>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</si>
  <si>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</si>
  <si>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</si>
  <si>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</si>
  <si>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</si>
  <si>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</si>
  <si>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</si>
  <si>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</si>
  <si>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</si>
  <si>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</si>
  <si>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</si>
  <si>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</si>
  <si>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</si>
  <si>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</si>
  <si>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</si>
  <si>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</si>
  <si>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</si>
  <si>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</si>
  <si>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</si>
  <si>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</si>
  <si>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</si>
  <si>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</si>
  <si>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</si>
  <si>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</si>
  <si>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</si>
  <si>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</si>
  <si>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</si>
  <si>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</si>
  <si>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</si>
  <si>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</si>
  <si>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</si>
  <si>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</si>
  <si>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</si>
  <si>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</si>
  <si>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</si>
  <si>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</si>
  <si>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</si>
  <si>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</si>
  <si>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</si>
  <si>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</si>
  <si>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</si>
  <si>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</si>
  <si>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</si>
  <si>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</si>
  <si>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</si>
  <si>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</si>
  <si>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</si>
  <si>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</si>
  <si>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</si>
  <si>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</si>
  <si>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</si>
  <si>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</si>
  <si>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</si>
  <si>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</si>
  <si>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</si>
  <si>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</si>
  <si>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</si>
  <si>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</si>
  <si>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</si>
  <si>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</si>
  <si>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</si>
  <si>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</si>
  <si>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</si>
  <si>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</si>
  <si>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</si>
  <si>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</si>
  <si>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</si>
  <si>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</si>
  <si>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</si>
  <si>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</si>
  <si>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</si>
  <si>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</si>
  <si>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</si>
  <si>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</si>
  <si>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</si>
  <si>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</si>
  <si>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</si>
  <si>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</si>
  <si>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</si>
  <si>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</si>
  <si>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</si>
  <si>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</si>
  <si>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</si>
  <si>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</si>
  <si>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</si>
  <si>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</si>
  <si>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</si>
  <si>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</si>
  <si>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</si>
  <si>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</si>
  <si>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</si>
  <si>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</si>
  <si>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</si>
  <si>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</si>
  <si>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</si>
  <si>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</si>
  <si>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</si>
  <si>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</si>
  <si>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</si>
  <si>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</si>
  <si>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</si>
  <si>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</si>
  <si>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</si>
  <si>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</si>
  <si>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</si>
  <si>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</si>
  <si>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</si>
  <si>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</si>
  <si>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</si>
  <si>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</si>
  <si>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</si>
  <si>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</si>
  <si>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</si>
  <si>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</si>
  <si>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</si>
  <si>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</si>
  <si>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</si>
  <si>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</si>
  <si>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</si>
  <si>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</si>
  <si>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</si>
  <si>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</si>
  <si>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</si>
  <si>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</si>
  <si>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</si>
  <si>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</si>
  <si>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</si>
  <si>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</si>
  <si>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</si>
  <si>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</si>
  <si>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</si>
  <si>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</si>
  <si>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</si>
  <si>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</si>
  <si>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</si>
  <si>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</si>
  <si>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</si>
  <si>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</si>
  <si>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</si>
  <si>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</si>
  <si>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</si>
  <si>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</si>
  <si>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</si>
  <si>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</si>
  <si>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</si>
  <si>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</si>
  <si>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</si>
  <si>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</si>
  <si>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</si>
  <si>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</si>
  <si>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</si>
  <si>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</si>
  <si>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</si>
  <si>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</si>
  <si>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</si>
  <si>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</si>
  <si>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</si>
  <si>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</si>
  <si>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</si>
  <si>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</si>
  <si>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</si>
  <si>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</si>
  <si>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</si>
  <si>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</si>
  <si>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</si>
  <si>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</si>
  <si>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</si>
  <si>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</si>
  <si>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</si>
  <si>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</si>
  <si>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</si>
  <si>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</si>
  <si>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</si>
  <si>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</si>
  <si>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</si>
  <si>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</si>
  <si>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</si>
  <si>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</si>
  <si>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</si>
  <si>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</si>
  <si>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</si>
  <si>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</si>
  <si>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</si>
  <si>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</si>
  <si>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</si>
  <si>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</si>
  <si>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</si>
  <si>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</si>
  <si>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</si>
  <si>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</si>
  <si>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</si>
  <si>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</si>
  <si>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</si>
  <si>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</si>
  <si>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</si>
  <si>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</si>
  <si>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</si>
  <si>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</si>
  <si>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</si>
  <si>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</si>
  <si>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</si>
  <si>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</si>
  <si>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</si>
  <si>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</si>
  <si>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</si>
  <si>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</si>
  <si>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</si>
  <si>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</si>
  <si>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</si>
  <si>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</si>
  <si>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</si>
  <si>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</si>
  <si>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</si>
  <si>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</si>
  <si>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</si>
  <si>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</si>
  <si>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</si>
  <si>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</si>
  <si>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</si>
  <si>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</si>
  <si>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</si>
  <si>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</si>
  <si>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</si>
  <si>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</si>
  <si>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</si>
  <si>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</si>
  <si>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</si>
  <si>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</si>
  <si>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</si>
  <si>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</si>
  <si>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</si>
  <si>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</si>
  <si>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</si>
  <si>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</si>
  <si>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</si>
  <si>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</si>
  <si>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</si>
  <si>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</si>
  <si>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</si>
  <si>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</si>
  <si>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</si>
  <si>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</si>
  <si>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</si>
  <si>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</si>
  <si>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</si>
  <si>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</si>
  <si>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</si>
  <si>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</si>
  <si>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</si>
  <si>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</si>
  <si>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</si>
  <si>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</si>
  <si>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</si>
  <si>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</si>
  <si>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</si>
  <si>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</si>
  <si>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</si>
  <si>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</si>
  <si>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</si>
  <si>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</si>
  <si>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</si>
  <si>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</si>
  <si>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</si>
  <si>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</si>
  <si>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</si>
  <si>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</si>
  <si>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</si>
  <si>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</si>
  <si>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</si>
  <si>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</si>
  <si>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</si>
  <si>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</si>
  <si>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</si>
  <si>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</si>
  <si>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</si>
  <si>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</si>
  <si>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</si>
  <si>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</si>
  <si>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</si>
  <si>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</si>
  <si>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</si>
  <si>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</si>
  <si>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</si>
  <si>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</si>
  <si>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</si>
  <si>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</si>
  <si>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</si>
  <si>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</si>
  <si>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</si>
  <si>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</si>
  <si>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</si>
  <si>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</si>
  <si>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</si>
  <si>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</si>
  <si>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</si>
  <si>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</si>
  <si>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</si>
  <si>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</si>
  <si>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</si>
  <si>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</si>
  <si>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</si>
  <si>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</si>
  <si>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</si>
  <si>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</si>
  <si>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</si>
  <si>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</si>
  <si>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</si>
  <si>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</si>
  <si>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</si>
  <si>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</si>
  <si>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</si>
  <si>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</si>
  <si>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</si>
  <si>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</si>
  <si>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</si>
  <si>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</si>
  <si>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</si>
  <si>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</si>
  <si>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</si>
  <si>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</si>
  <si>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</si>
  <si>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</si>
  <si>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</si>
  <si>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</si>
  <si>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</si>
  <si>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</si>
  <si>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</si>
  <si>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</si>
  <si>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</si>
  <si>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</si>
  <si>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</si>
  <si>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</si>
  <si>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</si>
  <si>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</si>
  <si>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</si>
  <si>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</si>
  <si>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</si>
  <si>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</si>
  <si>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</si>
  <si>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</si>
  <si>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</si>
  <si>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</si>
  <si>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</si>
  <si>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</si>
  <si>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</si>
  <si>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</si>
  <si>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</si>
  <si>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</si>
  <si>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</si>
  <si>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</si>
  <si>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</si>
  <si>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</si>
  <si>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</si>
  <si>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</si>
  <si>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</si>
  <si>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</si>
  <si>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</si>
  <si>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</si>
  <si>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</si>
  <si>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</si>
  <si>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</si>
  <si>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</si>
  <si>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</si>
  <si>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</si>
  <si>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</si>
  <si>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</si>
  <si>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</si>
  <si>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</si>
  <si>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</si>
  <si>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</si>
  <si>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</si>
  <si>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</si>
  <si>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</si>
  <si>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</si>
  <si>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</si>
  <si>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</si>
  <si>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</si>
  <si>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</si>
  <si>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</si>
  <si>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</si>
  <si>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</si>
  <si>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</si>
  <si>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</si>
  <si>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</si>
  <si>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</si>
  <si>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</si>
  <si>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</si>
  <si>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</si>
  <si>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</si>
  <si>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</si>
  <si>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</si>
  <si>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</si>
  <si>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</si>
  <si>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</si>
  <si>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</si>
  <si>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</si>
  <si>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</si>
  <si>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</si>
  <si>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</si>
  <si>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</si>
  <si>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</si>
  <si>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</si>
  <si>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</si>
  <si>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</si>
  <si>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</si>
  <si>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</si>
  <si>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</si>
  <si>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</si>
  <si>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</si>
  <si>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</si>
  <si>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</si>
  <si>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</si>
  <si>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</si>
  <si>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</si>
  <si>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</si>
  <si>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</si>
  <si>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</si>
  <si>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</si>
  <si>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</si>
  <si>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</si>
  <si>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</si>
  <si>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</si>
  <si>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</si>
  <si>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</si>
  <si>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</si>
  <si>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</si>
  <si>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</si>
  <si>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</si>
  <si>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</si>
  <si>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</si>
  <si>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</si>
  <si>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</si>
  <si>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</si>
  <si>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</si>
  <si>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</si>
  <si>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</si>
  <si>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</si>
  <si>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</si>
  <si>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</si>
  <si>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</si>
  <si>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</si>
  <si>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</si>
  <si>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</si>
  <si>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</si>
  <si>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</si>
  <si>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</si>
  <si>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</si>
  <si>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</si>
  <si>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</si>
  <si>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</si>
  <si>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</si>
  <si>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</si>
  <si>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</si>
  <si>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</si>
  <si>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</si>
  <si>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</si>
  <si>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</si>
  <si>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</si>
  <si>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</si>
  <si>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</si>
  <si>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</si>
  <si>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</si>
  <si>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</si>
  <si>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</si>
  <si>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</si>
  <si>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</si>
  <si>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</si>
  <si>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</si>
  <si>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</si>
  <si>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</si>
  <si>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</si>
  <si>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</si>
  <si>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</si>
  <si>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</si>
  <si>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</si>
  <si>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</si>
  <si>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</si>
  <si>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</si>
  <si>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</si>
  <si>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</si>
  <si>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</si>
  <si>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</si>
  <si>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</si>
  <si>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</si>
  <si>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</si>
  <si>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</si>
  <si>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</si>
  <si>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</si>
  <si>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</si>
  <si>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</si>
  <si>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</si>
  <si>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</si>
  <si>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</si>
  <si>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</si>
  <si>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</si>
  <si>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</si>
  <si>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</si>
  <si>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</si>
  <si>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</si>
  <si>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</si>
  <si>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</si>
  <si>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</si>
  <si>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</si>
  <si>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</si>
  <si>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</si>
  <si>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</si>
  <si>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</si>
  <si>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</si>
  <si>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</si>
  <si>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</si>
  <si>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</si>
  <si>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</si>
  <si>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</si>
  <si>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</si>
  <si>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</si>
  <si>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</si>
  <si>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</si>
  <si>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</si>
  <si>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</si>
  <si>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</si>
  <si>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</si>
  <si>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</si>
  <si>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</si>
  <si>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</si>
  <si>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</si>
  <si>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</si>
  <si>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</si>
  <si>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</si>
  <si>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</si>
  <si>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</si>
  <si>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</si>
  <si>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</si>
  <si>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</si>
  <si>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</si>
  <si>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</si>
  <si>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</si>
  <si>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</si>
  <si>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</si>
  <si>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</si>
  <si>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</si>
  <si>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</si>
  <si>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</si>
  <si>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</si>
  <si>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</si>
  <si>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</si>
  <si>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</si>
  <si>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</si>
  <si>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</si>
  <si>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</si>
  <si>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</si>
  <si>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</si>
  <si>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</si>
  <si>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</si>
  <si>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</si>
  <si>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</si>
  <si>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</si>
  <si>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</si>
  <si>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</si>
  <si>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</si>
  <si>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</si>
  <si>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</si>
  <si>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</si>
  <si>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</si>
  <si>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</si>
  <si>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</si>
  <si>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</si>
  <si>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</si>
  <si>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</si>
  <si>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</si>
  <si>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</si>
  <si>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</si>
  <si>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</si>
  <si>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</si>
  <si>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</si>
  <si>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</si>
  <si>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</si>
  <si>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</si>
  <si>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</si>
  <si>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</si>
  <si>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</si>
  <si>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</si>
  <si>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</si>
  <si>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</si>
  <si>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</si>
  <si>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</si>
  <si>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</si>
  <si>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</si>
  <si>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</si>
  <si>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</si>
  <si>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</si>
  <si>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</si>
  <si>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</si>
  <si>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</si>
  <si>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</si>
  <si>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</si>
  <si>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</si>
  <si>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</si>
  <si>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</si>
  <si>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</si>
  <si>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</si>
  <si>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</si>
  <si>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</si>
  <si>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</si>
  <si>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</si>
  <si>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</si>
  <si>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</si>
  <si>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</si>
  <si>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</si>
  <si>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</si>
  <si>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</si>
  <si>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</si>
  <si>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</si>
  <si>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</si>
  <si>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</si>
  <si>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</si>
  <si>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</si>
  <si>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</si>
  <si>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</si>
  <si>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</si>
  <si>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</si>
  <si>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</si>
  <si>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</si>
  <si>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</si>
  <si>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</si>
  <si>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</si>
  <si>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</si>
  <si>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</si>
  <si>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</si>
  <si>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</si>
  <si>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</si>
  <si>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</si>
  <si>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</si>
  <si>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</si>
  <si>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</si>
  <si>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</si>
  <si>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</si>
  <si>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</si>
  <si>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</si>
  <si>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</si>
  <si>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</si>
  <si>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</si>
  <si>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</si>
  <si>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</si>
  <si>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</si>
  <si>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</si>
  <si>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</si>
  <si>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</si>
  <si>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</si>
  <si>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</si>
  <si>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</si>
  <si>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</si>
  <si>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</si>
  <si>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</si>
  <si>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</si>
  <si>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</si>
  <si>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</si>
  <si>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</si>
  <si>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</si>
  <si>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</si>
  <si>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</si>
  <si>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</si>
  <si>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</si>
  <si>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</si>
  <si>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</si>
  <si>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</si>
  <si>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</si>
  <si>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</si>
  <si>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</si>
  <si>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</si>
  <si>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</si>
  <si>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</si>
  <si>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</si>
  <si>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</si>
  <si>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</si>
  <si>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</si>
  <si>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</si>
  <si>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</si>
  <si>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</si>
  <si>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</si>
  <si>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</si>
  <si>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</si>
  <si>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</si>
  <si>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</si>
  <si>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</si>
  <si>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</si>
  <si>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</si>
  <si>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</si>
  <si>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</si>
  <si>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</si>
  <si>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</si>
  <si>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</si>
  <si>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</si>
  <si>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</si>
  <si>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</si>
  <si>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</si>
  <si>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</si>
  <si>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</si>
  <si>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</si>
  <si>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</si>
  <si>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</si>
  <si>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</si>
  <si>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</si>
  <si>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</si>
  <si>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</si>
  <si>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</si>
  <si>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</si>
  <si>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</si>
  <si>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</si>
  <si>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</si>
  <si>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</si>
  <si>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</si>
  <si>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</si>
  <si>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</si>
  <si>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</si>
  <si>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</si>
  <si>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</si>
  <si>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</si>
  <si>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</si>
  <si>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</si>
  <si>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</si>
  <si>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</si>
  <si>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</si>
  <si>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</si>
  <si>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</si>
  <si>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</si>
  <si>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</si>
  <si>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</si>
  <si>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</si>
  <si>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</si>
  <si>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</si>
  <si>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</si>
  <si>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</si>
  <si>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</si>
  <si>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</si>
  <si>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</si>
  <si>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</si>
  <si>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</si>
  <si>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</si>
  <si>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</si>
  <si>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</si>
  <si>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</si>
  <si>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</si>
  <si>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</si>
  <si>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</si>
  <si>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</si>
  <si>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</si>
  <si>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</si>
  <si>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</si>
  <si>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</si>
  <si>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</si>
  <si>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</si>
  <si>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</si>
  <si>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</si>
  <si>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</si>
  <si>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</si>
  <si>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</si>
  <si>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</si>
  <si>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</si>
  <si>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</si>
  <si>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</si>
  <si>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</si>
  <si>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</si>
  <si>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</si>
  <si>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</si>
  <si>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</si>
  <si>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</si>
  <si>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</si>
  <si>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</si>
  <si>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</si>
  <si>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</si>
  <si>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</si>
  <si>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</si>
  <si>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</si>
  <si>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</si>
  <si>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</si>
  <si>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</si>
  <si>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</si>
  <si>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</si>
  <si>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</si>
  <si>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</si>
  <si>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</si>
  <si>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</si>
  <si>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</si>
  <si>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</si>
  <si>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</si>
  <si>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</si>
  <si>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</si>
  <si>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</si>
  <si>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</si>
  <si>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</si>
  <si>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</si>
  <si>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</si>
  <si>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</si>
  <si>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</si>
  <si>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</si>
  <si>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</si>
  <si>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</si>
  <si>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</si>
  <si>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</si>
  <si>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</si>
  <si>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</si>
  <si>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</si>
  <si>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</si>
  <si>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</si>
  <si>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</si>
  <si>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</si>
  <si>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</si>
  <si>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</si>
  <si>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</si>
  <si>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</si>
  <si>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</si>
  <si>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</si>
  <si>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</si>
  <si>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</si>
  <si>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</si>
  <si>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</si>
  <si>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</si>
  <si>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</si>
  <si>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</si>
  <si>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</si>
  <si>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</si>
  <si>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</si>
  <si>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</si>
  <si>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</si>
  <si>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</si>
  <si>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</si>
  <si>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</si>
  <si>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</si>
  <si>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</si>
  <si>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</si>
  <si>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</si>
  <si>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</si>
  <si>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</si>
  <si>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</si>
  <si>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</si>
  <si>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</si>
  <si>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</si>
  <si>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</si>
  <si>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</si>
  <si>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</si>
  <si>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</si>
  <si>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</si>
  <si>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</si>
  <si>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</si>
  <si>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</si>
  <si>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</si>
  <si>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</si>
  <si>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</si>
  <si>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</si>
  <si>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</si>
  <si>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</si>
  <si>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</si>
  <si>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</si>
  <si>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</si>
  <si>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</si>
  <si>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</si>
  <si>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</si>
  <si>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</si>
  <si>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</si>
  <si>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</si>
  <si>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</si>
  <si>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</si>
  <si>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</si>
  <si>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</si>
  <si>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</si>
  <si>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</si>
  <si>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</si>
  <si>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</si>
  <si>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</si>
  <si>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</si>
  <si>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</si>
  <si>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</si>
  <si>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</si>
  <si>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</si>
  <si>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</si>
  <si>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</si>
  <si>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</si>
  <si>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</si>
  <si>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</si>
  <si>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</si>
  <si>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</si>
  <si>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</si>
  <si>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</si>
  <si>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</si>
  <si>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</si>
  <si>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</si>
  <si>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</si>
  <si>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</si>
  <si>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</si>
  <si>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</si>
  <si>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</si>
  <si>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</si>
  <si>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</si>
  <si>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</si>
  <si>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</si>
  <si>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</si>
  <si>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</si>
  <si>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</si>
  <si>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</si>
  <si>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</si>
  <si>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</si>
  <si>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</si>
  <si>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</si>
  <si>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</si>
  <si>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</si>
  <si>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</si>
  <si>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</si>
  <si>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</si>
  <si>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</si>
  <si>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</si>
  <si>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</si>
  <si>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</si>
  <si>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</si>
  <si>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</si>
  <si>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</si>
  <si>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</si>
  <si>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</si>
  <si>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</si>
  <si>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</si>
  <si>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</si>
  <si>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</si>
  <si>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</si>
  <si>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</si>
  <si>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</si>
  <si>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</si>
  <si>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</si>
  <si>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</si>
  <si>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</si>
  <si>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</si>
  <si>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</si>
  <si>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</si>
  <si>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</si>
  <si>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</si>
  <si>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</si>
  <si>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</si>
  <si>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</si>
  <si>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</si>
  <si>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</si>
  <si>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</si>
  <si>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</si>
  <si>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</si>
  <si>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</si>
  <si>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</si>
  <si>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</si>
  <si>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</si>
  <si>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</si>
  <si>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</si>
  <si>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</si>
  <si>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</si>
  <si>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</si>
  <si>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</si>
  <si>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</si>
  <si>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</si>
  <si>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</si>
  <si>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</si>
  <si>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</si>
  <si>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</si>
  <si>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</si>
  <si>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</si>
  <si>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</si>
  <si>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</si>
  <si>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</si>
  <si>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</si>
  <si>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</si>
  <si>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</si>
  <si>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</si>
  <si>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</si>
  <si>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</si>
  <si>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</si>
  <si>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</si>
  <si>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</si>
  <si>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</si>
  <si>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</si>
  <si>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</si>
  <si>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</si>
  <si>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</si>
  <si>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</si>
  <si>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</si>
  <si>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</si>
  <si>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</si>
  <si>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</si>
  <si>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</si>
  <si>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Kankakee/Iroquois</t>
  </si>
  <si>
    <t xml:space="preserve">1605 N Convent </t>
  </si>
  <si>
    <t>P.O. Box 71</t>
  </si>
  <si>
    <t>Bourbonnais</t>
  </si>
  <si>
    <t>IL</t>
  </si>
  <si>
    <t>St. Anne</t>
  </si>
  <si>
    <t>815-937-1997</t>
  </si>
  <si>
    <t>815-935-0360</t>
  </si>
  <si>
    <t>SKDO, P.C.</t>
  </si>
  <si>
    <t>Carmen Huizenga</t>
  </si>
  <si>
    <t>066-005281</t>
  </si>
  <si>
    <t>Debra Quain</t>
  </si>
  <si>
    <t>quiand@kasec.org</t>
  </si>
  <si>
    <t>815-422-4151</t>
  </si>
  <si>
    <t>815-427-8409</t>
  </si>
  <si>
    <t>Dr. Gregg Murphy</t>
  </si>
  <si>
    <t>gmurphy@i-kan.org</t>
  </si>
  <si>
    <t>815-937-2950</t>
  </si>
  <si>
    <t>815-937-2921</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</si>
  <si>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</si>
  <si>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</si>
  <si>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</si>
  <si>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</si>
  <si>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</si>
  <si>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</si>
  <si>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</si>
  <si>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</si>
  <si>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</si>
  <si>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</si>
  <si>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</si>
  <si>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</si>
  <si>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</si>
  <si>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</si>
  <si>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</si>
  <si>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</si>
  <si>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</si>
  <si>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</si>
  <si>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</si>
  <si>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</si>
  <si>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</si>
  <si>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</si>
  <si>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</si>
  <si>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</si>
  <si>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</si>
  <si>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</si>
  <si>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</si>
  <si>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</si>
  <si>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</si>
  <si>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</si>
  <si>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</si>
  <si>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</si>
  <si>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</si>
  <si>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</si>
  <si>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</si>
  <si>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</si>
  <si>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</si>
  <si>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carmenh@skdocpa.com</t>
  </si>
  <si>
    <t>Outsourced</t>
  </si>
  <si>
    <t>St. Anne Grade School, St. Anne HS</t>
  </si>
  <si>
    <t>St. Anne Grade School</t>
  </si>
  <si>
    <t>Central, Grant Park, Bradley Elem, St. Anne Grade School, St. George, (below)</t>
  </si>
  <si>
    <t>Bulk Paper Order - Central, Grant Park, Bradley Elem, St. George, (below)</t>
  </si>
  <si>
    <t>(below)</t>
  </si>
  <si>
    <t>Special Education Cooperatives - Pembroke, St. Anne HS</t>
  </si>
  <si>
    <t>Supply/Equip Purchasing - St. Anne Grade School, Pembroke, St. Anne HS, Momence SD, Herscher SD, BBCHS, Laraway, Kankakee SD 111</t>
  </si>
  <si>
    <t>Other - KASEC provided audiological services to LincolnWay Cooperative</t>
  </si>
  <si>
    <t>#3999 - Ed Fund - Other Restricted Revenues from State Sources: $6,371 = $6,256 DRS STEP Grant and $115 Part C Early Interv/Audio</t>
  </si>
  <si>
    <t>#2190 - Ed Fund - Other Support Services - Pupils: (100 Salaries) $5,065 = $4,264 Behavior Interventist and $801 Adaptive PE Teacher</t>
  </si>
  <si>
    <t>#2490 - Ed Fund - Other Support Services - School Admin: (100 Salaries) $34,460 = Special Education Coordinator Salary</t>
  </si>
  <si>
    <t>#2190 - Ed Fund - Other Support Services - Pupils: (200 Employee Benefits) $670 = $34 Adaptive PE Teacher, $11 Adaptive PE Teacher FICA, $1 Adaptive PE Teacher Medicare, $61 Behavior Interventist Medicare, $1 Adaptive PE Teacher TRS, $1 Adaptive PE Teacher THIS, $1 Adaptive PE Teacher Flex, $5 Behavior Interventist Flex, $2 Adaptive PE Teacher (ML), $5 Behavior Interventist Life, $129 Adaptive PE Medical Ins, and $419 Bevahior Interventist Medical.</t>
  </si>
  <si>
    <t xml:space="preserve">#2490 - Ed Fund - Other Support Services - School Admin: (200 Employee Benefits) $853 = $345 Coordinator Medicare, $5 Coordinator Flex, $6 Coordinator Life Ins, and $497 Coordinator Health Ins </t>
  </si>
  <si>
    <t>ST. ANNE GRADE SCHOOL</t>
  </si>
  <si>
    <t>ED-FISCAL SERVICES-PROF SERV</t>
  </si>
  <si>
    <t>ED-SUPPORT SERVICES-PROF SERV</t>
  </si>
  <si>
    <t>The director inadvertently left her own name off of the list sent to the County Clerk and therefore did not receive a notification for filing. She filed her statement on 9/1/2020.</t>
  </si>
  <si>
    <t xml:space="preserve"> Kankakee Area Special 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</si>
</sst>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0" xfId="0" applyFont="1" applyAlignment="1">
      <alignment wrapText="1"/>
    </xf>
    <xf numFmtId="0" fontId="3" fillId="0" borderId="0" xfId="20"/>
    <xf numFmtId="0" fontId="100" fillId="0" borderId="164" xfId="20" applyFont="1" applyBorder="1"/>
    <xf numFmtId="0" fontId="100" fillId="0" borderId="165" xfId="20" applyFont="1" applyBorder="1"/>
    <xf numFmtId="0" fontId="100" fillId="0" borderId="166" xfId="20" applyFont="1" applyBorder="1"/>
    <xf numFmtId="0" fontId="100" fillId="0" borderId="0" xfId="20" applyFont="1"/>
    <xf numFmtId="0" fontId="100" fillId="0" borderId="168" xfId="20" applyFont="1" applyBorder="1"/>
    <xf numFmtId="0" fontId="99" fillId="0" borderId="168" xfId="20" applyFont="1" applyBorder="1"/>
    <xf numFmtId="0" fontId="100" fillId="0" borderId="167" xfId="20" applyFont="1" applyBorder="1"/>
    <xf numFmtId="0" fontId="142" fillId="0" borderId="0" xfId="20" applyFont="1"/>
    <xf numFmtId="38" fontId="65" fillId="16" borderId="169"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0" fontId="57" fillId="26" borderId="77" xfId="20" applyFont="1" applyFill="1" applyBorder="1"/>
    <xf numFmtId="38" fontId="65" fillId="16" borderId="171" xfId="20" applyNumberFormat="1" applyFont="1" applyFill="1" applyBorder="1" applyAlignment="1">
      <alignment horizontal="center" wrapText="1"/>
    </xf>
    <xf numFmtId="38" fontId="57" fillId="0" borderId="172"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26" borderId="0" xfId="20" applyNumberFormat="1" applyFont="1" applyFill="1" applyAlignment="1">
      <alignment horizontal="center"/>
    </xf>
    <xf numFmtId="38" fontId="65" fillId="27" borderId="174" xfId="20" applyNumberFormat="1" applyFont="1" applyFill="1" applyBorder="1" applyAlignment="1" applyProtection="1">
      <alignment horizontal="center"/>
      <protection locked="0"/>
    </xf>
    <xf numFmtId="0" fontId="57" fillId="0" borderId="172" xfId="20" applyFont="1" applyBorder="1" applyAlignment="1">
      <alignment horizontal="center"/>
    </xf>
    <xf numFmtId="38" fontId="57" fillId="0" borderId="176"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65" fillId="27" borderId="178" xfId="20" applyNumberFormat="1" applyFont="1" applyFill="1" applyBorder="1" applyAlignment="1" applyProtection="1">
      <alignment horizontal="center"/>
      <protection locked="0"/>
    </xf>
    <xf numFmtId="0" fontId="57" fillId="0" borderId="176" xfId="20" applyFont="1" applyBorder="1" applyAlignment="1">
      <alignment horizontal="center"/>
    </xf>
    <xf numFmtId="38" fontId="57" fillId="0" borderId="180"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27" borderId="182" xfId="20" applyNumberFormat="1" applyFont="1" applyFill="1" applyBorder="1" applyAlignment="1" applyProtection="1">
      <alignment horizontal="center"/>
      <protection locked="0"/>
    </xf>
    <xf numFmtId="0" fontId="57" fillId="0" borderId="180" xfId="20" applyFont="1" applyBorder="1" applyAlignment="1">
      <alignment horizontal="center"/>
    </xf>
    <xf numFmtId="0" fontId="101" fillId="0" borderId="169" xfId="20" applyFont="1" applyBorder="1" applyAlignment="1">
      <alignment horizontal="center" wrapText="1"/>
    </xf>
    <xf numFmtId="0" fontId="101" fillId="0" borderId="77" xfId="20" applyFont="1" applyBorder="1" applyAlignment="1">
      <alignment horizontal="center" wrapText="1"/>
    </xf>
    <xf numFmtId="0" fontId="57" fillId="26" borderId="77" xfId="20" applyFont="1" applyFill="1" applyBorder="1" applyAlignment="1">
      <alignment horizontal="center"/>
    </xf>
    <xf numFmtId="0" fontId="57" fillId="0" borderId="167" xfId="20" applyFont="1" applyBorder="1"/>
    <xf numFmtId="0" fontId="57" fillId="0" borderId="0" xfId="20" applyFont="1"/>
    <xf numFmtId="0" fontId="57" fillId="0" borderId="168" xfId="20" applyFont="1" applyBorder="1"/>
    <xf numFmtId="0" fontId="57" fillId="0" borderId="0" xfId="3" applyFont="1" applyAlignment="1">
      <alignment horizontal="right" vertical="center" indent="1"/>
    </xf>
    <xf numFmtId="0" fontId="143" fillId="0" borderId="168" xfId="20" applyFont="1" applyBorder="1"/>
    <xf numFmtId="0" fontId="99" fillId="0" borderId="167" xfId="20" applyFont="1" applyBorder="1" applyAlignment="1">
      <alignment wrapText="1"/>
    </xf>
    <xf numFmtId="0" fontId="99" fillId="0" borderId="0" xfId="20" applyFont="1" applyAlignment="1">
      <alignment wrapText="1"/>
    </xf>
    <xf numFmtId="0" fontId="88" fillId="0" borderId="0" xfId="20" applyFont="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64" xfId="3" applyFont="1" applyBorder="1" applyAlignment="1">
      <alignment vertical="center"/>
    </xf>
    <xf numFmtId="0" fontId="57" fillId="0" borderId="165" xfId="3" applyFont="1" applyBorder="1" applyAlignment="1">
      <alignment vertical="center"/>
    </xf>
    <xf numFmtId="0" fontId="57" fillId="0" borderId="166" xfId="3" applyFont="1" applyBorder="1" applyAlignment="1">
      <alignment vertical="center"/>
    </xf>
    <xf numFmtId="0" fontId="57" fillId="0" borderId="167" xfId="3" applyFont="1" applyBorder="1" applyAlignment="1">
      <alignment vertical="center"/>
    </xf>
    <xf numFmtId="0" fontId="57" fillId="0" borderId="168" xfId="3" applyFont="1" applyBorder="1" applyAlignment="1">
      <alignment vertical="center"/>
    </xf>
    <xf numFmtId="0" fontId="57" fillId="0" borderId="0" xfId="3" quotePrefix="1" applyFont="1" applyAlignment="1" applyProtection="1">
      <alignment horizontal="left" vertical="top" wrapText="1" indent="2"/>
      <protection hidden="1"/>
    </xf>
    <xf numFmtId="0" fontId="65" fillId="0" borderId="22" xfId="3" applyFont="1" applyBorder="1" applyAlignment="1" applyProtection="1">
      <alignment horizontal="center" vertical="center"/>
      <protection locked="0"/>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Font="1" applyAlignment="1">
      <alignment horizontal="left" vertical="center" indent="2"/>
    </xf>
    <xf numFmtId="0" fontId="57" fillId="0" borderId="0" xfId="3" applyFont="1" applyAlignment="1" applyProtection="1">
      <alignment horizontal="left" vertical="top" wrapText="1" indent="2"/>
      <protection hidden="1"/>
    </xf>
    <xf numFmtId="0" fontId="65" fillId="0" borderId="0" xfId="3" applyFont="1" applyAlignment="1">
      <alignment vertical="center"/>
    </xf>
    <xf numFmtId="0" fontId="79" fillId="0" borderId="0" xfId="3" applyFont="1" applyAlignment="1">
      <alignment vertical="center"/>
    </xf>
    <xf numFmtId="0" fontId="80" fillId="0" borderId="0" xfId="3" applyFont="1" applyAlignment="1">
      <alignment horizontal="center" vertical="center" wrapText="1"/>
    </xf>
    <xf numFmtId="0" fontId="57" fillId="0" borderId="0" xfId="3" applyFont="1" applyAlignment="1">
      <alignment horizontal="center" wrapText="1"/>
    </xf>
    <xf numFmtId="0" fontId="65" fillId="0" borderId="0" xfId="3" applyFont="1" applyAlignment="1">
      <alignment horizontal="right"/>
    </xf>
    <xf numFmtId="0" fontId="57" fillId="0" borderId="0" xfId="3" applyFont="1" applyAlignment="1">
      <alignment horizontal="right" vertical="center"/>
    </xf>
    <xf numFmtId="0" fontId="80" fillId="0" borderId="0" xfId="3" applyFont="1"/>
    <xf numFmtId="0" fontId="80" fillId="0" borderId="131" xfId="3" applyFont="1" applyBorder="1" applyAlignment="1">
      <alignment horizontal="center"/>
    </xf>
    <xf numFmtId="0" fontId="80" fillId="0" borderId="0" xfId="3" applyFont="1" applyAlignment="1">
      <alignment vertical="center" wrapText="1"/>
    </xf>
    <xf numFmtId="0" fontId="57" fillId="0" borderId="131" xfId="3" applyFont="1" applyBorder="1" applyAlignment="1">
      <alignment vertical="center"/>
    </xf>
    <xf numFmtId="0" fontId="80" fillId="0" borderId="131" xfId="3" applyFont="1" applyBorder="1" applyAlignment="1">
      <alignment horizontal="center" vertical="center"/>
    </xf>
    <xf numFmtId="171" fontId="57" fillId="0" borderId="0" xfId="3" applyNumberFormat="1" applyFont="1" applyAlignment="1">
      <alignment horizontal="center"/>
    </xf>
    <xf numFmtId="0" fontId="80" fillId="0" borderId="168" xfId="3" applyFont="1" applyBorder="1" applyAlignment="1">
      <alignment vertical="center"/>
    </xf>
    <xf numFmtId="0" fontId="57" fillId="0" borderId="0" xfId="3" applyFont="1" applyAlignment="1" applyProtection="1">
      <alignment vertical="center"/>
      <protection hidden="1"/>
    </xf>
    <xf numFmtId="0" fontId="57" fillId="0" borderId="0" xfId="3" applyFont="1" applyAlignment="1" applyProtection="1">
      <alignment horizontal="right" vertical="center"/>
      <protection hidden="1"/>
    </xf>
    <xf numFmtId="0" fontId="57" fillId="0" borderId="168" xfId="3" applyFont="1" applyBorder="1" applyAlignment="1" applyProtection="1">
      <alignment vertical="center"/>
      <protection hidden="1"/>
    </xf>
    <xf numFmtId="0" fontId="65" fillId="0" borderId="168" xfId="3" applyFont="1" applyBorder="1" applyAlignment="1">
      <alignment vertical="center"/>
    </xf>
    <xf numFmtId="9" fontId="57" fillId="0" borderId="0" xfId="3" applyNumberFormat="1" applyFont="1" applyAlignment="1">
      <alignment horizontal="center" vertical="center" shrinkToFit="1"/>
    </xf>
    <xf numFmtId="0" fontId="57" fillId="0" borderId="0" xfId="3" applyFont="1" applyAlignment="1">
      <alignment vertical="center" shrinkToFit="1"/>
    </xf>
    <xf numFmtId="0" fontId="57" fillId="0" borderId="168" xfId="3" applyFont="1" applyBorder="1" applyAlignment="1">
      <alignment horizontal="right" vertical="center"/>
    </xf>
    <xf numFmtId="9" fontId="57" fillId="16" borderId="125" xfId="3" applyNumberFormat="1" applyFont="1" applyFill="1" applyBorder="1" applyAlignment="1">
      <alignment horizontal="center" vertical="center" shrinkToFit="1"/>
    </xf>
    <xf numFmtId="0" fontId="57" fillId="15" borderId="125" xfId="3" applyFont="1" applyFill="1" applyBorder="1" applyAlignment="1">
      <alignment vertical="center" shrinkToFit="1"/>
    </xf>
    <xf numFmtId="164" fontId="65" fillId="0" borderId="192" xfId="3" applyNumberFormat="1" applyFont="1" applyBorder="1" applyAlignment="1">
      <alignment horizontal="right" vertical="center"/>
    </xf>
    <xf numFmtId="38" fontId="57" fillId="16" borderId="27" xfId="3" applyNumberFormat="1" applyFont="1" applyFill="1" applyBorder="1" applyAlignment="1">
      <alignment vertical="center" shrinkToFit="1"/>
    </xf>
    <xf numFmtId="0" fontId="57" fillId="0" borderId="14" xfId="3" applyFont="1" applyBorder="1" applyAlignment="1">
      <alignment horizontal="center" vertical="center"/>
    </xf>
    <xf numFmtId="0" fontId="65" fillId="0" borderId="21" xfId="3" applyFont="1" applyBorder="1" applyAlignment="1">
      <alignment horizontal="left" vertical="center"/>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164" fontId="65" fillId="0" borderId="192" xfId="3" applyNumberFormat="1" applyFont="1" applyBorder="1" applyAlignment="1">
      <alignment vertical="top"/>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27" borderId="2" xfId="3" applyNumberFormat="1" applyFont="1" applyFill="1" applyBorder="1" applyAlignment="1" applyProtection="1">
      <alignment vertical="center" shrinkToFit="1"/>
      <protection locked="0"/>
    </xf>
    <xf numFmtId="0" fontId="57" fillId="0" borderId="2" xfId="3" applyFont="1" applyBorder="1" applyAlignment="1">
      <alignment horizontal="left" vertical="center" indent="1"/>
    </xf>
    <xf numFmtId="0" fontId="57" fillId="0" borderId="14" xfId="3" applyFont="1" applyBorder="1" applyAlignment="1">
      <alignment horizontal="left" vertical="center"/>
    </xf>
    <xf numFmtId="0" fontId="57" fillId="0" borderId="21" xfId="3" applyFont="1" applyBorder="1" applyAlignment="1">
      <alignment horizontal="left" vertical="center"/>
    </xf>
    <xf numFmtId="0" fontId="57" fillId="0" borderId="2" xfId="3" applyFont="1" applyBorder="1" applyAlignment="1">
      <alignment horizontal="left" vertical="top" indent="1"/>
    </xf>
    <xf numFmtId="0" fontId="65" fillId="0" borderId="125" xfId="3" applyFont="1" applyBorder="1" applyAlignment="1">
      <alignment horizontal="center" vertical="center"/>
    </xf>
    <xf numFmtId="0" fontId="65" fillId="0" borderId="125" xfId="20" applyFont="1" applyBorder="1" applyAlignment="1">
      <alignment horizontal="center" vertical="center" wrapText="1"/>
    </xf>
    <xf numFmtId="0" fontId="65" fillId="0" borderId="125" xfId="3" applyFont="1" applyBorder="1" applyAlignment="1">
      <alignment horizontal="center" vertical="center" wrapText="1"/>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0" xfId="3" applyFont="1" applyBorder="1" applyAlignment="1">
      <alignment horizontal="center" vertical="center"/>
    </xf>
    <xf numFmtId="0" fontId="57" fillId="0" borderId="26" xfId="3" applyFont="1" applyBorder="1" applyAlignment="1">
      <alignment vertical="center"/>
    </xf>
    <xf numFmtId="0" fontId="57" fillId="0" borderId="10"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65" fillId="0" borderId="12" xfId="3" applyFont="1" applyBorder="1" applyAlignment="1" applyProtection="1">
      <alignment horizontal="centerContinuous" vertical="center"/>
      <protection hidden="1"/>
    </xf>
    <xf numFmtId="0" fontId="57" fillId="0" borderId="3" xfId="3" applyFont="1" applyBorder="1" applyAlignment="1">
      <alignment vertical="center"/>
    </xf>
    <xf numFmtId="0" fontId="57" fillId="0" borderId="16" xfId="3" applyFont="1" applyBorder="1" applyAlignment="1">
      <alignment vertical="center"/>
    </xf>
    <xf numFmtId="0" fontId="57" fillId="0" borderId="194" xfId="3" applyFont="1" applyBorder="1" applyAlignment="1">
      <alignment vertical="center"/>
    </xf>
    <xf numFmtId="0" fontId="57" fillId="0" borderId="126" xfId="3" applyFont="1" applyBorder="1" applyAlignment="1">
      <alignment vertical="center"/>
    </xf>
    <xf numFmtId="0" fontId="57" fillId="0" borderId="123" xfId="3" applyFont="1" applyBorder="1" applyAlignment="1">
      <alignment vertical="center"/>
    </xf>
    <xf numFmtId="0" fontId="57" fillId="22" borderId="124" xfId="3" applyFont="1" applyFill="1" applyBorder="1" applyAlignment="1">
      <alignment vertical="center"/>
    </xf>
    <xf numFmtId="0" fontId="57" fillId="22" borderId="126" xfId="3" applyFont="1" applyFill="1" applyBorder="1" applyAlignment="1">
      <alignment vertical="center"/>
    </xf>
    <xf numFmtId="0" fontId="57" fillId="22" borderId="193" xfId="3" applyFont="1" applyFill="1" applyBorder="1" applyAlignment="1">
      <alignment vertical="center"/>
    </xf>
    <xf numFmtId="0" fontId="57" fillId="0" borderId="17" xfId="3" applyFont="1" applyBorder="1" applyAlignment="1">
      <alignment vertical="center"/>
    </xf>
    <xf numFmtId="0" fontId="57" fillId="0" borderId="17" xfId="3" applyFont="1" applyBorder="1" applyAlignment="1">
      <alignment horizontal="center" vertical="center"/>
    </xf>
    <xf numFmtId="0" fontId="65" fillId="22" borderId="194" xfId="3" applyFont="1" applyFill="1" applyBorder="1" applyAlignment="1">
      <alignment horizontal="left"/>
    </xf>
    <xf numFmtId="0" fontId="65" fillId="0" borderId="0" xfId="3" applyFont="1" applyAlignment="1">
      <alignment horizontal="left" vertical="center"/>
    </xf>
    <xf numFmtId="0" fontId="57" fillId="0" borderId="185" xfId="3" applyFont="1" applyBorder="1" applyAlignment="1">
      <alignment vertical="center"/>
    </xf>
    <xf numFmtId="0" fontId="57" fillId="0" borderId="186" xfId="3" applyFont="1" applyBorder="1" applyAlignment="1">
      <alignment vertical="center"/>
    </xf>
    <xf numFmtId="0" fontId="65" fillId="0" borderId="186" xfId="3" applyFont="1" applyBorder="1" applyAlignment="1">
      <alignment horizontal="left" vertical="center"/>
    </xf>
    <xf numFmtId="0" fontId="65" fillId="0" borderId="186" xfId="3" applyFont="1" applyBorder="1" applyAlignment="1">
      <alignment horizontal="center" vertical="center"/>
    </xf>
    <xf numFmtId="0" fontId="57" fillId="0" borderId="195" xfId="3"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141" fillId="0" borderId="165" xfId="20" applyFont="1" applyBorder="1" applyAlignment="1">
      <alignment horizontal="left" vertical="center" wrapText="1"/>
    </xf>
    <xf numFmtId="0" fontId="141" fillId="0" borderId="0" xfId="20" applyFont="1" applyAlignment="1">
      <alignment horizontal="left" vertical="center" wrapText="1"/>
    </xf>
    <xf numFmtId="0" fontId="141" fillId="0" borderId="167" xfId="20" applyFont="1" applyBorder="1" applyAlignment="1">
      <alignment horizontal="left" vertical="center" wrapText="1"/>
    </xf>
    <xf numFmtId="0" fontId="101" fillId="0" borderId="0" xfId="20" applyFont="1" applyAlignment="1">
      <alignment horizontal="center" vertical="top" wrapText="1"/>
    </xf>
    <xf numFmtId="0" fontId="101" fillId="0" borderId="167" xfId="20" applyFont="1" applyBorder="1" applyAlignment="1">
      <alignment horizontal="center" vertical="top" wrapText="1"/>
    </xf>
    <xf numFmtId="0" fontId="57" fillId="0" borderId="179" xfId="20" applyFont="1" applyBorder="1"/>
    <xf numFmtId="0" fontId="57" fillId="0" borderId="176" xfId="20" applyFont="1" applyBorder="1"/>
    <xf numFmtId="0" fontId="57" fillId="0" borderId="175" xfId="20" applyFont="1" applyBorder="1"/>
    <xf numFmtId="0" fontId="57" fillId="0" borderId="172" xfId="20" applyFont="1" applyBorder="1"/>
    <xf numFmtId="0" fontId="65" fillId="0" borderId="170" xfId="20" applyFont="1" applyBorder="1"/>
    <xf numFmtId="0" fontId="65" fillId="0" borderId="77" xfId="20" applyFont="1" applyBorder="1"/>
    <xf numFmtId="0" fontId="144" fillId="0" borderId="191" xfId="20" applyFont="1" applyBorder="1" applyAlignment="1">
      <alignment horizontal="center"/>
    </xf>
    <xf numFmtId="0" fontId="144" fillId="0" borderId="190" xfId="20" applyFont="1" applyBorder="1" applyAlignment="1">
      <alignment horizontal="center"/>
    </xf>
    <xf numFmtId="0" fontId="144" fillId="0" borderId="189" xfId="20" applyFont="1" applyBorder="1" applyAlignment="1">
      <alignment horizontal="center"/>
    </xf>
    <xf numFmtId="0" fontId="57" fillId="0" borderId="168" xfId="20" applyFont="1" applyBorder="1" applyAlignment="1">
      <alignment wrapText="1"/>
    </xf>
    <xf numFmtId="0" fontId="57" fillId="0" borderId="0" xfId="20" applyFont="1" applyAlignment="1">
      <alignment wrapText="1"/>
    </xf>
    <xf numFmtId="0" fontId="57" fillId="0" borderId="167" xfId="20" applyFont="1" applyBorder="1" applyAlignment="1">
      <alignment wrapText="1"/>
    </xf>
    <xf numFmtId="166" fontId="57" fillId="0" borderId="21" xfId="3" applyNumberFormat="1" applyFont="1" applyBorder="1" applyAlignment="1">
      <alignment horizontal="left" vertical="center" indent="1"/>
    </xf>
    <xf numFmtId="166" fontId="57" fillId="0" borderId="187" xfId="3" applyNumberFormat="1" applyFont="1" applyBorder="1" applyAlignment="1">
      <alignment horizontal="left" vertical="center" indent="1"/>
    </xf>
    <xf numFmtId="0" fontId="57" fillId="26" borderId="170" xfId="20" applyFont="1" applyFill="1" applyBorder="1"/>
    <xf numFmtId="0" fontId="57" fillId="26" borderId="77" xfId="20" applyFont="1" applyFill="1" applyBorder="1"/>
    <xf numFmtId="0" fontId="65" fillId="0" borderId="186" xfId="20" applyFont="1" applyBorder="1" applyAlignment="1">
      <alignment horizontal="center" wrapText="1"/>
    </xf>
    <xf numFmtId="0" fontId="65" fillId="0" borderId="185" xfId="20" applyFont="1" applyBorder="1" applyAlignment="1">
      <alignment horizontal="center" wrapText="1"/>
    </xf>
    <xf numFmtId="0" fontId="101" fillId="0" borderId="184"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0" xfId="20" applyFont="1" applyBorder="1"/>
    <xf numFmtId="0" fontId="57" fillId="0" borderId="179" xfId="20" applyFont="1" applyBorder="1" applyAlignment="1">
      <alignment wrapText="1"/>
    </xf>
    <xf numFmtId="0" fontId="57" fillId="0" borderId="176" xfId="20" applyFont="1" applyBorder="1" applyAlignment="1">
      <alignment wrapText="1"/>
    </xf>
    <xf numFmtId="0" fontId="57" fillId="0" borderId="126" xfId="3" applyFont="1" applyBorder="1" applyAlignment="1">
      <alignment horizontal="left" vertical="center" indent="1"/>
    </xf>
    <xf numFmtId="0" fontId="57" fillId="0" borderId="188" xfId="3" applyFont="1" applyBorder="1" applyAlignment="1">
      <alignment horizontal="left" vertical="center"/>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65" fillId="27" borderId="78" xfId="3" quotePrefix="1" applyFont="1" applyFill="1" applyBorder="1" applyAlignment="1" applyProtection="1">
      <alignment horizontal="left" vertical="center" indent="1"/>
      <protection locked="0"/>
    </xf>
    <xf numFmtId="0" fontId="65" fillId="27" borderId="78" xfId="3" applyFont="1" applyFill="1" applyBorder="1" applyAlignment="1" applyProtection="1">
      <alignment horizontal="left" vertical="center" indent="1"/>
      <protection locked="0"/>
    </xf>
    <xf numFmtId="0" fontId="65" fillId="27" borderId="78" xfId="3" applyFont="1" applyFill="1" applyBorder="1" applyAlignment="1" applyProtection="1">
      <alignment horizontal="left" vertical="center"/>
      <protection locked="0"/>
    </xf>
    <xf numFmtId="0" fontId="57" fillId="22" borderId="168"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93"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C8AE952C-7D45-4766-A017-001DF42DFA1E}"/>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85725</xdr:rowOff>
        </xdr:from>
        <xdr:to>
          <xdr:col>1</xdr:col>
          <xdr:colOff>866775</xdr:colOff>
          <xdr:row>8</xdr:row>
          <xdr:rowOff>152400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3</xdr:row>
          <xdr:rowOff>133350</xdr:rowOff>
        </xdr:from>
        <xdr:to>
          <xdr:col>1</xdr:col>
          <xdr:colOff>1895475</xdr:colOff>
          <xdr:row>8</xdr:row>
          <xdr:rowOff>9525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3086100</xdr:colOff>
          <xdr:row>3</xdr:row>
          <xdr:rowOff>114300</xdr:rowOff>
        </xdr:from>
        <xdr:to>
          <xdr:col>2</xdr:col>
          <xdr:colOff>38100</xdr:colOff>
          <xdr:row>9</xdr:row>
          <xdr:rowOff>19050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5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2007177</xdr:colOff>
          <xdr:row>4</xdr:row>
          <xdr:rowOff>96116</xdr:rowOff>
        </xdr:from>
        <xdr:to>
          <xdr:col>1</xdr:col>
          <xdr:colOff>3321627</xdr:colOff>
          <xdr:row>12</xdr:row>
          <xdr:rowOff>50223</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5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topLeftCell="A10" zoomScaleNormal="100" workbookViewId="0">
      <selection activeCell="AF30" sqref="AF30"/>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9">
        <f>+'AFR20'!E4</f>
        <v>44119</v>
      </c>
      <c r="C1" s="2109"/>
      <c r="D1" s="2110"/>
      <c r="I1" s="2188" t="s">
        <v>402</v>
      </c>
      <c r="J1" s="2189"/>
      <c r="K1" s="2189"/>
      <c r="L1" s="2189"/>
      <c r="M1" s="2189"/>
      <c r="N1" s="2189"/>
      <c r="O1" s="2189"/>
      <c r="P1" s="2189"/>
      <c r="Q1" s="2189"/>
      <c r="R1" s="2189"/>
      <c r="S1" s="2189"/>
    </row>
    <row r="2" spans="1:32" ht="12" customHeight="1" x14ac:dyDescent="0.2">
      <c r="A2" s="1889" t="str">
        <f>"Due to ISBE on "</f>
        <v xml:space="preserve">Due to ISBE on </v>
      </c>
      <c r="B2" s="2111">
        <f>+'AFR20'!F4</f>
        <v>44151</v>
      </c>
      <c r="C2" s="2111"/>
      <c r="D2" s="2112"/>
      <c r="I2" s="2190" t="s">
        <v>2006</v>
      </c>
      <c r="J2" s="2189"/>
      <c r="K2" s="2189"/>
      <c r="L2" s="2189"/>
      <c r="M2" s="2189"/>
      <c r="N2" s="2189"/>
      <c r="O2" s="2189"/>
      <c r="P2" s="2189"/>
      <c r="Q2" s="2189"/>
      <c r="R2" s="2189"/>
      <c r="S2" s="2189"/>
    </row>
    <row r="3" spans="1:32" ht="12" customHeight="1" x14ac:dyDescent="0.2">
      <c r="A3" s="1892" t="str">
        <f>"SD/JA"&amp;MID('AFR20'!E2,3,2)</f>
        <v>SD/JA20</v>
      </c>
      <c r="B3" s="151"/>
      <c r="C3" s="151"/>
      <c r="D3" s="152"/>
      <c r="I3" s="2190" t="s">
        <v>52</v>
      </c>
      <c r="J3" s="2189"/>
      <c r="K3" s="2189"/>
      <c r="L3" s="2189"/>
      <c r="M3" s="2189"/>
      <c r="N3" s="2189"/>
      <c r="O3" s="2189"/>
      <c r="P3" s="2189"/>
      <c r="Q3" s="2189"/>
      <c r="R3" s="2189"/>
      <c r="S3" s="2189"/>
    </row>
    <row r="4" spans="1:32" ht="12" customHeight="1" x14ac:dyDescent="0.2">
      <c r="A4" s="37"/>
      <c r="I4" s="2190" t="s">
        <v>521</v>
      </c>
      <c r="J4" s="2189"/>
      <c r="K4" s="2189"/>
      <c r="L4" s="2189"/>
      <c r="M4" s="2189"/>
      <c r="N4" s="2189"/>
      <c r="O4" s="2189"/>
      <c r="P4" s="2189"/>
      <c r="Q4" s="2189"/>
      <c r="R4" s="2189"/>
      <c r="S4" s="2189"/>
    </row>
    <row r="5" spans="1:32" ht="14.1" customHeight="1" x14ac:dyDescent="0.2">
      <c r="B5" s="101"/>
      <c r="C5" s="26" t="s">
        <v>904</v>
      </c>
      <c r="D5" s="81"/>
      <c r="E5" s="81"/>
      <c r="H5" s="38"/>
      <c r="I5" s="2197" t="s">
        <v>675</v>
      </c>
      <c r="J5" s="2142"/>
      <c r="K5" s="2142"/>
      <c r="L5" s="2142"/>
      <c r="M5" s="2142"/>
      <c r="N5" s="2142"/>
      <c r="O5" s="2142"/>
      <c r="P5" s="2142"/>
      <c r="Q5" s="2142"/>
      <c r="R5" s="2142"/>
      <c r="S5" s="2142"/>
      <c r="AF5" s="1885"/>
    </row>
    <row r="6" spans="1:32" ht="14.1" customHeight="1" x14ac:dyDescent="0.2">
      <c r="B6" s="101" t="s">
        <v>2021</v>
      </c>
      <c r="C6" s="26" t="s">
        <v>905</v>
      </c>
      <c r="D6" s="81"/>
      <c r="E6" s="81"/>
      <c r="I6" s="2196" t="s">
        <v>877</v>
      </c>
      <c r="J6" s="2142"/>
      <c r="K6" s="2142"/>
      <c r="L6" s="2142"/>
      <c r="M6" s="2142"/>
      <c r="N6" s="2142"/>
      <c r="O6" s="2142"/>
      <c r="P6" s="2142"/>
      <c r="Q6" s="2142"/>
      <c r="R6" s="2142"/>
      <c r="S6" s="2142"/>
    </row>
    <row r="7" spans="1:32" ht="12.2" customHeight="1" x14ac:dyDescent="0.2">
      <c r="I7" s="2191" t="str">
        <f>"June 30, "&amp;'AFR20'!E2</f>
        <v>June 30, 2020</v>
      </c>
      <c r="J7" s="2192"/>
      <c r="K7" s="2192"/>
      <c r="L7" s="2192"/>
      <c r="M7" s="2192"/>
      <c r="N7" s="2192"/>
      <c r="O7" s="2192"/>
      <c r="P7" s="2192"/>
      <c r="Q7" s="2192"/>
      <c r="R7" s="2192"/>
      <c r="S7" s="21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3" t="s">
        <v>669</v>
      </c>
      <c r="J9" s="2194"/>
      <c r="K9" s="2194"/>
      <c r="L9" s="2194"/>
      <c r="M9" s="2194"/>
      <c r="N9" s="2194"/>
      <c r="O9" s="2194"/>
      <c r="P9" s="2194"/>
      <c r="Q9" s="2194"/>
      <c r="R9" s="2194"/>
      <c r="S9" s="2195"/>
      <c r="T9" s="2138" t="s">
        <v>530</v>
      </c>
      <c r="U9" s="2139"/>
      <c r="V9" s="2139"/>
      <c r="W9" s="2139"/>
      <c r="X9" s="2139"/>
      <c r="Y9" s="2139"/>
      <c r="Z9" s="2139"/>
      <c r="AA9" s="2140"/>
    </row>
    <row r="10" spans="1:32" ht="13.5" customHeight="1" x14ac:dyDescent="0.2">
      <c r="A10" s="2147" t="s">
        <v>670</v>
      </c>
      <c r="B10" s="2148"/>
      <c r="C10" s="2148"/>
      <c r="D10" s="2148"/>
      <c r="E10" s="2148"/>
      <c r="F10" s="2148"/>
      <c r="G10" s="2148"/>
      <c r="H10" s="2149"/>
      <c r="I10" s="29"/>
      <c r="J10" s="30"/>
      <c r="K10" s="28"/>
      <c r="R10" s="30"/>
      <c r="S10" s="30"/>
      <c r="T10" s="2141"/>
      <c r="U10" s="2142"/>
      <c r="V10" s="2142"/>
      <c r="W10" s="2142"/>
      <c r="X10" s="2142"/>
      <c r="Y10" s="2142"/>
      <c r="Z10" s="2142"/>
      <c r="AA10" s="2143"/>
    </row>
    <row r="11" spans="1:32" ht="14.25" customHeight="1" x14ac:dyDescent="0.2">
      <c r="A11" s="2150" t="s">
        <v>949</v>
      </c>
      <c r="B11" s="2151"/>
      <c r="C11" s="2151"/>
      <c r="D11" s="2151"/>
      <c r="E11" s="2151"/>
      <c r="F11" s="2151"/>
      <c r="G11" s="2151"/>
      <c r="H11" s="2152"/>
      <c r="I11" s="27"/>
      <c r="J11" s="71"/>
      <c r="K11" s="27"/>
      <c r="O11" s="144" t="s">
        <v>2021</v>
      </c>
      <c r="P11" s="97" t="s">
        <v>199</v>
      </c>
      <c r="Q11" s="30"/>
      <c r="R11" s="28"/>
      <c r="S11" s="27"/>
      <c r="T11" s="2144"/>
      <c r="U11" s="2145"/>
      <c r="V11" s="2145"/>
      <c r="W11" s="2145"/>
      <c r="X11" s="2145"/>
      <c r="Y11" s="2145"/>
      <c r="Z11" s="2145"/>
      <c r="AA11" s="214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8">
        <v>32046850060</v>
      </c>
      <c r="B13" s="2159"/>
      <c r="C13" s="2159"/>
      <c r="D13" s="2159"/>
      <c r="E13" s="2159"/>
      <c r="F13" s="2159"/>
      <c r="G13" s="2159"/>
      <c r="H13" s="2160"/>
      <c r="I13" s="31"/>
      <c r="J13" s="30"/>
      <c r="K13" s="28"/>
      <c r="L13" s="30"/>
      <c r="M13" s="30"/>
      <c r="N13" s="30"/>
      <c r="O13" s="30"/>
      <c r="P13" s="30"/>
      <c r="Q13" s="30"/>
      <c r="R13" s="30"/>
      <c r="S13" s="30"/>
      <c r="T13" s="2163" t="s">
        <v>2030</v>
      </c>
      <c r="U13" s="2164"/>
      <c r="V13" s="2164"/>
      <c r="W13" s="2164"/>
      <c r="X13" s="2164"/>
      <c r="Y13" s="2165"/>
      <c r="Z13" s="2165"/>
      <c r="AA13" s="216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6" t="s">
        <v>2022</v>
      </c>
      <c r="B15" s="2161"/>
      <c r="C15" s="2161"/>
      <c r="D15" s="2161"/>
      <c r="E15" s="2161"/>
      <c r="F15" s="2161"/>
      <c r="G15" s="2161"/>
      <c r="H15" s="2162"/>
      <c r="T15" s="2124" t="s">
        <v>2031</v>
      </c>
      <c r="U15" s="2125"/>
      <c r="V15" s="2125"/>
      <c r="W15" s="2125"/>
      <c r="X15" s="2125"/>
      <c r="Y15" s="2167"/>
      <c r="Z15" s="2167"/>
      <c r="AA15" s="216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6" t="s">
        <v>2097</v>
      </c>
      <c r="B17" s="2186"/>
      <c r="C17" s="2186"/>
      <c r="D17" s="2186"/>
      <c r="E17" s="2186"/>
      <c r="F17" s="2186"/>
      <c r="G17" s="2186"/>
      <c r="H17" s="2187"/>
      <c r="T17" s="2173" t="s">
        <v>2023</v>
      </c>
      <c r="U17" s="2174"/>
      <c r="V17" s="2174"/>
      <c r="W17" s="2174"/>
      <c r="X17" s="2174"/>
      <c r="Y17" s="2174"/>
      <c r="Z17" s="2174"/>
      <c r="AA17" s="2175"/>
    </row>
    <row r="18" spans="1:27" ht="13.5" customHeight="1" x14ac:dyDescent="0.2">
      <c r="A18" s="82" t="s">
        <v>527</v>
      </c>
      <c r="B18" s="73"/>
      <c r="C18" s="69"/>
      <c r="D18" s="73"/>
      <c r="E18" s="73"/>
      <c r="F18" s="73"/>
      <c r="G18" s="73"/>
      <c r="H18" s="53"/>
      <c r="I18" s="2183" t="s">
        <v>671</v>
      </c>
      <c r="J18" s="2184"/>
      <c r="K18" s="2184"/>
      <c r="L18" s="2184"/>
      <c r="M18" s="2184"/>
      <c r="N18" s="2184"/>
      <c r="O18" s="2184"/>
      <c r="P18" s="2184"/>
      <c r="Q18" s="2184"/>
      <c r="R18" s="2184"/>
      <c r="S18" s="2185"/>
      <c r="T18" s="82" t="s">
        <v>706</v>
      </c>
      <c r="U18" s="48"/>
      <c r="V18" s="69"/>
      <c r="W18" s="47"/>
      <c r="X18" s="82" t="s">
        <v>264</v>
      </c>
      <c r="Y18" s="78"/>
      <c r="Z18" s="154" t="s">
        <v>672</v>
      </c>
      <c r="AA18" s="44"/>
    </row>
    <row r="19" spans="1:27" ht="13.5" customHeight="1" x14ac:dyDescent="0.2">
      <c r="A19" s="2156" t="s">
        <v>2024</v>
      </c>
      <c r="B19" s="2157"/>
      <c r="C19" s="2157"/>
      <c r="D19" s="2157"/>
      <c r="E19" s="2157"/>
      <c r="F19" s="2157"/>
      <c r="G19" s="2157"/>
      <c r="H19" s="2155"/>
      <c r="I19" s="30"/>
      <c r="J19" s="96"/>
      <c r="K19" s="40"/>
      <c r="L19" s="38"/>
      <c r="M19" s="109" t="s">
        <v>312</v>
      </c>
      <c r="P19" s="27"/>
      <c r="Q19" s="27"/>
      <c r="R19" s="27"/>
      <c r="S19" s="31"/>
      <c r="T19" s="2156" t="s">
        <v>2025</v>
      </c>
      <c r="U19" s="2154"/>
      <c r="V19" s="2154"/>
      <c r="W19" s="2155"/>
      <c r="X19" s="2171" t="s">
        <v>2026</v>
      </c>
      <c r="Y19" s="2172"/>
      <c r="Z19" s="2169">
        <v>60914</v>
      </c>
      <c r="AA19" s="217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3" t="s">
        <v>2027</v>
      </c>
      <c r="B21" s="2154"/>
      <c r="C21" s="2154"/>
      <c r="D21" s="2154"/>
      <c r="E21" s="2154"/>
      <c r="F21" s="2154"/>
      <c r="G21" s="2154"/>
      <c r="H21" s="2155"/>
      <c r="I21" s="2179" t="s">
        <v>673</v>
      </c>
      <c r="J21" s="2142"/>
      <c r="K21" s="2142"/>
      <c r="L21" s="2142"/>
      <c r="M21" s="2142"/>
      <c r="N21" s="2142"/>
      <c r="O21" s="2142"/>
      <c r="P21" s="2142"/>
      <c r="Q21" s="2142"/>
      <c r="R21" s="2142"/>
      <c r="S21" s="2143"/>
      <c r="T21" s="2121" t="s">
        <v>2028</v>
      </c>
      <c r="U21" s="2122"/>
      <c r="V21" s="2122"/>
      <c r="W21" s="2122"/>
      <c r="X21" s="2135" t="s">
        <v>2029</v>
      </c>
      <c r="Y21" s="2136"/>
      <c r="Z21" s="2136"/>
      <c r="AA21" s="2137"/>
    </row>
    <row r="22" spans="1:27" ht="13.5" customHeight="1" x14ac:dyDescent="0.2">
      <c r="A22" s="84" t="s">
        <v>528</v>
      </c>
      <c r="B22" s="56"/>
      <c r="C22" s="56"/>
      <c r="D22" s="56"/>
      <c r="E22" s="56"/>
      <c r="F22" s="56"/>
      <c r="G22" s="56"/>
      <c r="H22" s="57"/>
      <c r="I22" s="2180" t="s">
        <v>1415</v>
      </c>
      <c r="J22" s="2181"/>
      <c r="K22" s="2181"/>
      <c r="L22" s="2181"/>
      <c r="M22" s="2181"/>
      <c r="N22" s="2181"/>
      <c r="O22" s="2181"/>
      <c r="P22" s="2181"/>
      <c r="Q22" s="2181"/>
      <c r="R22" s="2181"/>
      <c r="S22" s="2182"/>
      <c r="T22" s="82" t="s">
        <v>1502</v>
      </c>
      <c r="U22" s="48"/>
      <c r="V22" s="69"/>
      <c r="W22" s="48"/>
      <c r="X22" s="155" t="s">
        <v>1309</v>
      </c>
      <c r="Z22" s="43"/>
      <c r="AA22" s="44"/>
    </row>
    <row r="23" spans="1:27" ht="13.5" customHeight="1" x14ac:dyDescent="0.2">
      <c r="A23" s="2176"/>
      <c r="B23" s="2177"/>
      <c r="C23" s="2177"/>
      <c r="D23" s="2177"/>
      <c r="E23" s="2177"/>
      <c r="F23" s="2177"/>
      <c r="G23" s="2177"/>
      <c r="H23" s="2178"/>
      <c r="T23" s="2116" t="s">
        <v>2032</v>
      </c>
      <c r="U23" s="2117"/>
      <c r="V23" s="2117"/>
      <c r="W23" s="2117"/>
      <c r="X23" s="2132">
        <v>44530</v>
      </c>
      <c r="Y23" s="2133"/>
      <c r="Z23" s="2133"/>
      <c r="AA23" s="2134"/>
    </row>
    <row r="24" spans="1:27" ht="14.1" customHeight="1" x14ac:dyDescent="0.2">
      <c r="A24" s="85" t="s">
        <v>672</v>
      </c>
      <c r="B24" s="46"/>
      <c r="C24" s="46"/>
      <c r="D24" s="46"/>
      <c r="E24" s="46"/>
      <c r="F24" s="46"/>
      <c r="G24" s="46"/>
      <c r="H24" s="58"/>
      <c r="J24" s="2218" t="str">
        <f>IF(B5="x",IF(AUDITCHECK!D29="AFR form Incomplete.","",IF(AUDITCHECK!D29="Deficit reduction plan is required.","School District must complete a deficit reduction plan in the 2019-2020 Budget",)),"")</f>
        <v/>
      </c>
      <c r="K24" s="2218"/>
      <c r="L24" s="2218"/>
      <c r="M24" s="2218"/>
      <c r="N24" s="2218"/>
      <c r="O24" s="2218"/>
      <c r="P24" s="2218"/>
      <c r="Q24" s="2218"/>
      <c r="R24" s="2218"/>
      <c r="S24" s="2219"/>
      <c r="T24" s="102" t="s">
        <v>528</v>
      </c>
      <c r="U24" s="103"/>
      <c r="V24" s="103"/>
      <c r="W24" s="103"/>
      <c r="X24" s="104"/>
      <c r="Y24" s="104"/>
      <c r="Z24" s="104"/>
      <c r="AA24" s="105"/>
    </row>
    <row r="25" spans="1:27" ht="14.1" customHeight="1" x14ac:dyDescent="0.2">
      <c r="A25" s="2153">
        <v>60964</v>
      </c>
      <c r="B25" s="2154"/>
      <c r="C25" s="2154"/>
      <c r="D25" s="2154"/>
      <c r="E25" s="2154"/>
      <c r="F25" s="2154"/>
      <c r="G25" s="2154"/>
      <c r="H25" s="2155"/>
      <c r="I25" s="110"/>
      <c r="J25" s="2220"/>
      <c r="K25" s="2220"/>
      <c r="L25" s="2220"/>
      <c r="M25" s="2220"/>
      <c r="N25" s="2220"/>
      <c r="O25" s="2220"/>
      <c r="P25" s="2220"/>
      <c r="Q25" s="2220"/>
      <c r="R25" s="2220"/>
      <c r="S25" s="2221"/>
      <c r="T25" s="2113" t="s">
        <v>2078</v>
      </c>
      <c r="U25" s="2114"/>
      <c r="V25" s="2114"/>
      <c r="W25" s="2114"/>
      <c r="X25" s="2114"/>
      <c r="Y25" s="2114"/>
      <c r="Z25" s="2114"/>
      <c r="AA25" s="211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11" t="s">
        <v>1497</v>
      </c>
      <c r="J27" s="2184"/>
      <c r="K27" s="2184"/>
      <c r="L27" s="2184"/>
      <c r="M27" s="2184"/>
      <c r="N27" s="2184"/>
      <c r="O27" s="2184"/>
      <c r="P27" s="2184"/>
      <c r="Q27" s="2184"/>
      <c r="R27" s="2184"/>
      <c r="S27" s="218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2021</v>
      </c>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7"/>
      <c r="Q35" s="2154"/>
      <c r="R35" s="215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6" t="s">
        <v>2033</v>
      </c>
      <c r="B38" s="2186"/>
      <c r="C38" s="2186"/>
      <c r="D38" s="2186"/>
      <c r="E38" s="2186"/>
      <c r="F38" s="2154"/>
      <c r="G38" s="2154"/>
      <c r="H38" s="2155"/>
      <c r="I38" s="2205"/>
      <c r="J38" s="2125"/>
      <c r="K38" s="2125"/>
      <c r="L38" s="2125"/>
      <c r="M38" s="2125"/>
      <c r="N38" s="2125"/>
      <c r="O38" s="2125"/>
      <c r="P38" s="2126"/>
      <c r="Q38" s="2126"/>
      <c r="R38" s="2126"/>
      <c r="S38" s="2127"/>
      <c r="T38" s="2124" t="s">
        <v>2037</v>
      </c>
      <c r="U38" s="2125"/>
      <c r="V38" s="2125"/>
      <c r="W38" s="2125"/>
      <c r="X38" s="2126"/>
      <c r="Y38" s="2126"/>
      <c r="Z38" s="2126"/>
      <c r="AA38" s="2127"/>
    </row>
    <row r="39" spans="1:27" ht="12" customHeight="1" x14ac:dyDescent="0.2">
      <c r="A39" s="2209" t="s">
        <v>528</v>
      </c>
      <c r="B39" s="2210"/>
      <c r="C39" s="69"/>
      <c r="D39" s="66"/>
      <c r="E39" s="66"/>
      <c r="F39" s="76"/>
      <c r="G39" s="66"/>
      <c r="H39" s="53"/>
      <c r="I39" s="2209" t="s">
        <v>528</v>
      </c>
      <c r="J39" s="2210"/>
      <c r="K39" s="2210"/>
      <c r="L39" s="2210"/>
      <c r="M39" s="2210"/>
      <c r="N39" s="64"/>
      <c r="O39" s="69"/>
      <c r="P39" s="69"/>
      <c r="Q39" s="75"/>
      <c r="R39" s="69"/>
      <c r="S39" s="53"/>
      <c r="T39" s="69" t="s">
        <v>528</v>
      </c>
      <c r="U39" s="48"/>
      <c r="V39" s="69"/>
      <c r="W39" s="47"/>
      <c r="X39" s="75"/>
      <c r="Y39" s="43"/>
      <c r="Z39" s="43"/>
      <c r="AA39" s="44"/>
    </row>
    <row r="40" spans="1:27" ht="13.5" customHeight="1" x14ac:dyDescent="0.2">
      <c r="A40" s="2212" t="s">
        <v>2034</v>
      </c>
      <c r="B40" s="2213"/>
      <c r="C40" s="2214"/>
      <c r="D40" s="2214"/>
      <c r="E40" s="2214"/>
      <c r="F40" s="2215"/>
      <c r="G40" s="2215"/>
      <c r="H40" s="2216"/>
      <c r="I40" s="2128"/>
      <c r="J40" s="2130"/>
      <c r="K40" s="2130"/>
      <c r="L40" s="2130"/>
      <c r="M40" s="2130"/>
      <c r="N40" s="2130"/>
      <c r="O40" s="2130"/>
      <c r="P40" s="2130"/>
      <c r="Q40" s="2130"/>
      <c r="R40" s="2130"/>
      <c r="S40" s="2131"/>
      <c r="T40" s="2128" t="s">
        <v>2038</v>
      </c>
      <c r="U40" s="2129"/>
      <c r="V40" s="2130"/>
      <c r="W40" s="2130"/>
      <c r="X40" s="2130"/>
      <c r="Y40" s="2130"/>
      <c r="Z40" s="2130"/>
      <c r="AA40" s="213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02" t="s">
        <v>2035</v>
      </c>
      <c r="B42" s="2203"/>
      <c r="C42" s="2204"/>
      <c r="D42" s="2217" t="s">
        <v>2036</v>
      </c>
      <c r="E42" s="2203"/>
      <c r="F42" s="2203"/>
      <c r="G42" s="2203"/>
      <c r="H42" s="2204"/>
      <c r="I42" s="2123"/>
      <c r="J42" s="2119"/>
      <c r="K42" s="2119"/>
      <c r="L42" s="2119"/>
      <c r="M42" s="2119"/>
      <c r="N42" s="2119"/>
      <c r="O42" s="2120"/>
      <c r="P42" s="2118"/>
      <c r="Q42" s="2119"/>
      <c r="R42" s="2119"/>
      <c r="S42" s="2120"/>
      <c r="T42" s="2123" t="s">
        <v>2039</v>
      </c>
      <c r="U42" s="2119"/>
      <c r="V42" s="2119"/>
      <c r="W42" s="2120"/>
      <c r="X42" s="2118" t="s">
        <v>2040</v>
      </c>
      <c r="Y42" s="2119"/>
      <c r="Z42" s="2119"/>
      <c r="AA42" s="212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6"/>
      <c r="B44" s="2207"/>
      <c r="C44" s="2207"/>
      <c r="D44" s="2207"/>
      <c r="E44" s="2207"/>
      <c r="F44" s="2207"/>
      <c r="G44" s="2207"/>
      <c r="H44" s="2208"/>
      <c r="I44" s="2198"/>
      <c r="J44" s="2200"/>
      <c r="K44" s="2200"/>
      <c r="L44" s="2200"/>
      <c r="M44" s="2200"/>
      <c r="N44" s="2200"/>
      <c r="O44" s="2200"/>
      <c r="P44" s="2200"/>
      <c r="Q44" s="2200"/>
      <c r="R44" s="2200"/>
      <c r="S44" s="2201"/>
      <c r="T44" s="2198"/>
      <c r="U44" s="2199"/>
      <c r="V44" s="2199"/>
      <c r="W44" s="2199"/>
      <c r="X44" s="2199"/>
      <c r="Y44" s="2199"/>
      <c r="Z44" s="2200"/>
      <c r="AA44" s="220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0"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1"/>
      <c r="B3" s="1339"/>
      <c r="C3" s="1340"/>
      <c r="D3" s="1341" t="s">
        <v>254</v>
      </c>
      <c r="E3" s="1340"/>
      <c r="F3" s="1341" t="s">
        <v>255</v>
      </c>
    </row>
    <row r="4" spans="1:8" ht="13.7" customHeight="1" x14ac:dyDescent="0.2">
      <c r="A4" s="579" t="s">
        <v>1147</v>
      </c>
      <c r="B4" s="1771">
        <f>'Revenues 9-14'!C5</f>
        <v>0</v>
      </c>
      <c r="C4" s="1772"/>
      <c r="D4" s="1773">
        <f>B4-C4</f>
        <v>0</v>
      </c>
      <c r="E4" s="1772"/>
      <c r="F4" s="1773">
        <f>E4-C4</f>
        <v>0</v>
      </c>
    </row>
    <row r="5" spans="1:8" ht="13.7" customHeight="1" x14ac:dyDescent="0.2">
      <c r="A5" s="579" t="s">
        <v>865</v>
      </c>
      <c r="B5" s="1774">
        <f>'Revenues 9-14'!D5</f>
        <v>0</v>
      </c>
      <c r="C5" s="1714"/>
      <c r="D5" s="1775">
        <f t="shared" ref="D5:D18" si="0">B5-C5</f>
        <v>0</v>
      </c>
      <c r="E5" s="1714"/>
      <c r="F5" s="1775">
        <f>E5-C5</f>
        <v>0</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0</v>
      </c>
      <c r="C7" s="1714"/>
      <c r="D7" s="1775">
        <f t="shared" si="0"/>
        <v>0</v>
      </c>
      <c r="E7" s="1714"/>
      <c r="F7" s="1775">
        <f t="shared" si="1"/>
        <v>0</v>
      </c>
    </row>
    <row r="8" spans="1:8" ht="13.7" customHeight="1" x14ac:dyDescent="0.2">
      <c r="A8" s="579" t="s">
        <v>1171</v>
      </c>
      <c r="B8" s="1774">
        <f>'Revenues 9-14'!G5</f>
        <v>0</v>
      </c>
      <c r="C8" s="1714"/>
      <c r="D8" s="1775">
        <f t="shared" si="0"/>
        <v>0</v>
      </c>
      <c r="E8" s="1714"/>
      <c r="F8" s="1775">
        <f t="shared" si="1"/>
        <v>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0</v>
      </c>
      <c r="C14" s="1714"/>
      <c r="D14" s="1775">
        <f t="shared" si="0"/>
        <v>0</v>
      </c>
      <c r="E14" s="1714"/>
      <c r="F14" s="1775">
        <f t="shared" si="1"/>
        <v>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0</v>
      </c>
      <c r="C16" s="1714"/>
      <c r="D16" s="1775">
        <f t="shared" si="0"/>
        <v>0</v>
      </c>
      <c r="E16" s="1714"/>
      <c r="F16" s="1775">
        <f t="shared" si="1"/>
        <v>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0</v>
      </c>
      <c r="C19" s="1776">
        <f>SUM(C4:C18)</f>
        <v>0</v>
      </c>
      <c r="D19" s="1776">
        <f>SUM(D4:D18)</f>
        <v>0</v>
      </c>
      <c r="E19" s="1776">
        <f>SUM(E4:E18)</f>
        <v>0</v>
      </c>
      <c r="F19" s="1776">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6" t="s">
        <v>625</v>
      </c>
      <c r="B1" s="2367"/>
      <c r="C1" s="585"/>
    </row>
    <row r="2" spans="1:7" ht="33.75" x14ac:dyDescent="0.2">
      <c r="A2" s="2375" t="s">
        <v>1782</v>
      </c>
      <c r="B2" s="2376"/>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79" t="s">
        <v>1106</v>
      </c>
      <c r="B3" s="2380"/>
      <c r="C3" s="2368"/>
      <c r="D3" s="2369"/>
      <c r="E3" s="2369"/>
      <c r="F3" s="2370"/>
    </row>
    <row r="4" spans="1:7" ht="12.75" customHeight="1" thickBot="1" x14ac:dyDescent="0.25">
      <c r="A4" s="2377" t="s">
        <v>626</v>
      </c>
      <c r="B4" s="2378"/>
      <c r="C4" s="1706"/>
      <c r="D4" s="1706"/>
      <c r="E4" s="1706"/>
      <c r="F4" s="1782">
        <f>SUM(C4+D4)-E4</f>
        <v>0</v>
      </c>
    </row>
    <row r="5" spans="1:7" ht="15.75" customHeight="1" thickTop="1" x14ac:dyDescent="0.2">
      <c r="A5" s="2362" t="s">
        <v>1103</v>
      </c>
      <c r="B5" s="2363"/>
      <c r="C5" s="2371"/>
      <c r="D5" s="2372"/>
      <c r="E5" s="2372"/>
      <c r="F5" s="2373"/>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64" t="s">
        <v>627</v>
      </c>
      <c r="B15" s="2365"/>
      <c r="C15" s="1782">
        <f>SUM(C6:C14)</f>
        <v>0</v>
      </c>
      <c r="D15" s="1782">
        <f>SUM(D6:D14)</f>
        <v>0</v>
      </c>
      <c r="E15" s="1782">
        <f>SUM(E6:E14)</f>
        <v>0</v>
      </c>
      <c r="F15" s="1782">
        <f>SUM(F6:F14)</f>
        <v>0</v>
      </c>
      <c r="G15" s="473"/>
    </row>
    <row r="16" spans="1:7" s="197" customFormat="1" ht="15.75" customHeight="1" thickTop="1" x14ac:dyDescent="0.2">
      <c r="A16" s="2374" t="s">
        <v>1104</v>
      </c>
      <c r="B16" s="2363"/>
      <c r="C16" s="2371"/>
      <c r="D16" s="2372"/>
      <c r="E16" s="2372"/>
      <c r="F16" s="2373"/>
    </row>
    <row r="17" spans="1:11" ht="12.75" customHeight="1" thickBot="1" x14ac:dyDescent="0.25">
      <c r="A17" s="2387" t="s">
        <v>64</v>
      </c>
      <c r="B17" s="2388"/>
      <c r="C17" s="1783"/>
      <c r="D17" s="1714"/>
      <c r="E17" s="1783"/>
      <c r="F17" s="1782">
        <f>SUM(C17+D17)-E17</f>
        <v>0</v>
      </c>
    </row>
    <row r="18" spans="1:11" ht="12.75" customHeight="1" thickTop="1" thickBot="1" x14ac:dyDescent="0.25">
      <c r="A18" s="2387" t="s">
        <v>6</v>
      </c>
      <c r="B18" s="2388"/>
      <c r="C18" s="1783"/>
      <c r="D18" s="1714"/>
      <c r="E18" s="1783"/>
      <c r="F18" s="1782">
        <f>SUM(C18+D18)-E18</f>
        <v>0</v>
      </c>
    </row>
    <row r="19" spans="1:11" ht="12.75" customHeight="1" thickTop="1" thickBot="1" x14ac:dyDescent="0.25">
      <c r="A19" s="2387" t="s">
        <v>385</v>
      </c>
      <c r="B19" s="2388"/>
      <c r="C19" s="1783"/>
      <c r="D19" s="1714"/>
      <c r="E19" s="1783"/>
      <c r="F19" s="1782">
        <f>SUM(C19+D19)-E19</f>
        <v>0</v>
      </c>
    </row>
    <row r="20" spans="1:11" ht="12.75" customHeight="1" thickTop="1" thickBot="1" x14ac:dyDescent="0.25">
      <c r="A20" s="2387" t="s">
        <v>445</v>
      </c>
      <c r="B20" s="2388"/>
      <c r="C20" s="1783"/>
      <c r="D20" s="1714"/>
      <c r="E20" s="1783"/>
      <c r="F20" s="1782">
        <f>SUM(C20+D20)-E20</f>
        <v>0</v>
      </c>
    </row>
    <row r="21" spans="1:11" ht="14.25" thickTop="1" thickBot="1" x14ac:dyDescent="0.25">
      <c r="A21" s="2364" t="s">
        <v>628</v>
      </c>
      <c r="B21" s="2365"/>
      <c r="C21" s="1782">
        <f>SUM(C17:C20)</f>
        <v>0</v>
      </c>
      <c r="D21" s="1782">
        <f>SUM(D17:D20)</f>
        <v>0</v>
      </c>
      <c r="E21" s="1782">
        <f>SUM(E17:E20)</f>
        <v>0</v>
      </c>
      <c r="F21" s="1782">
        <f>SUM(F17:F20)</f>
        <v>0</v>
      </c>
      <c r="G21" s="473"/>
    </row>
    <row r="22" spans="1:11" ht="15.75" customHeight="1" thickTop="1" x14ac:dyDescent="0.2">
      <c r="A22" s="2389" t="s">
        <v>1105</v>
      </c>
      <c r="B22" s="2363"/>
      <c r="C22" s="2371"/>
      <c r="D22" s="2372"/>
      <c r="E22" s="2372"/>
      <c r="F22" s="2373"/>
    </row>
    <row r="23" spans="1:11" ht="13.5" thickBot="1" x14ac:dyDescent="0.25">
      <c r="A23" s="2377" t="s">
        <v>629</v>
      </c>
      <c r="B23" s="2378"/>
      <c r="C23" s="1706"/>
      <c r="D23" s="1706"/>
      <c r="E23" s="1706"/>
      <c r="F23" s="1782">
        <f>SUM(C23+D23)-E23</f>
        <v>0</v>
      </c>
      <c r="G23" s="473"/>
    </row>
    <row r="24" spans="1:11" ht="15.75" customHeight="1" thickTop="1" x14ac:dyDescent="0.2">
      <c r="A24" s="2389" t="s">
        <v>2009</v>
      </c>
      <c r="B24" s="2363"/>
      <c r="C24" s="2371"/>
      <c r="D24" s="2372"/>
      <c r="E24" s="2372"/>
      <c r="F24" s="2373"/>
    </row>
    <row r="25" spans="1:11" ht="13.5" thickBot="1" x14ac:dyDescent="0.25">
      <c r="A25" s="2377" t="s">
        <v>2010</v>
      </c>
      <c r="B25" s="2378"/>
      <c r="C25" s="1706"/>
      <c r="D25" s="1706"/>
      <c r="E25" s="1706"/>
      <c r="F25" s="1782">
        <f>SUM(C25+D25)-E25</f>
        <v>0</v>
      </c>
      <c r="G25" s="473"/>
    </row>
    <row r="26" spans="1:11" ht="15.75" customHeight="1" thickTop="1" x14ac:dyDescent="0.2">
      <c r="A26" s="2362" t="s">
        <v>652</v>
      </c>
      <c r="B26" s="2363"/>
      <c r="C26" s="589"/>
      <c r="D26" s="589"/>
      <c r="E26" s="589"/>
      <c r="F26" s="590"/>
    </row>
    <row r="27" spans="1:11" ht="13.5" thickBot="1" x14ac:dyDescent="0.25">
      <c r="A27" s="2364" t="s">
        <v>1063</v>
      </c>
      <c r="B27" s="2365"/>
      <c r="C27" s="1714"/>
      <c r="D27" s="1714"/>
      <c r="E27" s="1714"/>
      <c r="F27" s="1782">
        <f>SUM(C27+D27)-E27</f>
        <v>0</v>
      </c>
      <c r="G27" s="473"/>
    </row>
    <row r="28" spans="1:11" ht="7.5" customHeight="1" thickTop="1" x14ac:dyDescent="0.2">
      <c r="A28" s="489"/>
    </row>
    <row r="29" spans="1:11" ht="23.25" customHeight="1" x14ac:dyDescent="0.2">
      <c r="A29" s="2390" t="s">
        <v>578</v>
      </c>
      <c r="B29" s="2367"/>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c r="B31" s="595"/>
      <c r="C31" s="1784"/>
      <c r="D31" s="1785"/>
      <c r="E31" s="1784"/>
      <c r="F31" s="1784"/>
      <c r="G31" s="1784"/>
      <c r="H31" s="1784"/>
      <c r="I31" s="1786">
        <f>((E31+F31)-H31)+G31</f>
        <v>0</v>
      </c>
      <c r="J31" s="1784"/>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81" t="s">
        <v>580</v>
      </c>
      <c r="C52" s="2382"/>
      <c r="D52" s="2382"/>
      <c r="E52" s="603" t="s">
        <v>840</v>
      </c>
      <c r="F52" s="2383"/>
      <c r="G52" s="2384"/>
      <c r="H52" s="596"/>
      <c r="I52" s="596"/>
      <c r="J52" s="600"/>
    </row>
    <row r="53" spans="1:11" ht="11.25" customHeight="1" x14ac:dyDescent="0.2">
      <c r="A53" s="604" t="s">
        <v>907</v>
      </c>
      <c r="B53" s="605" t="s">
        <v>945</v>
      </c>
      <c r="C53" s="600"/>
      <c r="D53" s="597"/>
      <c r="E53" s="603" t="s">
        <v>494</v>
      </c>
      <c r="F53" s="2385"/>
      <c r="G53" s="2386"/>
      <c r="H53" s="596"/>
      <c r="I53" s="596"/>
      <c r="J53" s="600"/>
    </row>
    <row r="54" spans="1:11" ht="11.25" customHeight="1" x14ac:dyDescent="0.2">
      <c r="A54" s="606" t="s">
        <v>908</v>
      </c>
      <c r="B54" s="601" t="s">
        <v>946</v>
      </c>
      <c r="C54" s="600"/>
      <c r="D54" s="597"/>
      <c r="E54" s="603" t="s">
        <v>495</v>
      </c>
      <c r="F54" s="2385"/>
      <c r="G54" s="238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13"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7" t="s">
        <v>851</v>
      </c>
      <c r="B1" s="2418"/>
      <c r="C1" s="2418"/>
      <c r="D1" s="2418"/>
      <c r="E1" s="2418"/>
      <c r="F1" s="2418"/>
      <c r="G1" s="2419"/>
      <c r="H1" s="1343"/>
      <c r="I1" s="614"/>
      <c r="J1" s="400"/>
    </row>
    <row r="2" spans="1:11" ht="26.25" x14ac:dyDescent="0.2">
      <c r="A2" s="2394" t="s">
        <v>1661</v>
      </c>
      <c r="B2" s="2395"/>
      <c r="C2" s="2395"/>
      <c r="D2" s="2395"/>
      <c r="E2" s="2396"/>
      <c r="F2" s="615" t="s">
        <v>898</v>
      </c>
      <c r="G2" s="616" t="s">
        <v>1658</v>
      </c>
      <c r="H2" s="616" t="s">
        <v>407</v>
      </c>
      <c r="I2" s="616" t="s">
        <v>1150</v>
      </c>
      <c r="J2" s="616" t="s">
        <v>1792</v>
      </c>
      <c r="K2" s="616" t="s">
        <v>137</v>
      </c>
    </row>
    <row r="3" spans="1:11" x14ac:dyDescent="0.2">
      <c r="A3" s="2397" t="str">
        <f>"Cash Basis Fund Balance as of July 1, "&amp;'AFR20'!E2-1</f>
        <v>Cash Basis Fund Balance as of July 1, 2019</v>
      </c>
      <c r="B3" s="2398"/>
      <c r="C3" s="2398"/>
      <c r="D3" s="2398"/>
      <c r="E3" s="2399"/>
      <c r="F3" s="617"/>
      <c r="G3" s="1794"/>
      <c r="H3" s="1794"/>
      <c r="I3" s="1794"/>
      <c r="J3" s="1795"/>
      <c r="K3" s="1795"/>
    </row>
    <row r="4" spans="1:11" x14ac:dyDescent="0.2">
      <c r="A4" s="2400" t="s">
        <v>366</v>
      </c>
      <c r="B4" s="2401"/>
      <c r="C4" s="2401"/>
      <c r="D4" s="2401"/>
      <c r="E4" s="2382"/>
      <c r="F4" s="620"/>
      <c r="G4" s="1796"/>
      <c r="H4" s="1797"/>
      <c r="I4" s="1796"/>
      <c r="J4" s="1798"/>
      <c r="K4" s="1798"/>
    </row>
    <row r="5" spans="1:11" x14ac:dyDescent="0.2">
      <c r="A5" s="2420" t="s">
        <v>1062</v>
      </c>
      <c r="B5" s="2391"/>
      <c r="C5" s="2391"/>
      <c r="D5" s="2391"/>
      <c r="E5" s="2421"/>
      <c r="F5" s="622" t="s">
        <v>843</v>
      </c>
      <c r="G5" s="1799"/>
      <c r="H5" s="1794"/>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420" t="s">
        <v>1793</v>
      </c>
      <c r="B10" s="2391"/>
      <c r="C10" s="2391"/>
      <c r="D10" s="2391"/>
      <c r="E10" s="2422"/>
      <c r="F10" s="633" t="s">
        <v>857</v>
      </c>
      <c r="G10" s="1803"/>
      <c r="H10" s="1804"/>
      <c r="I10" s="1794"/>
      <c r="J10" s="1795"/>
      <c r="K10" s="1795"/>
    </row>
    <row r="11" spans="1:11" x14ac:dyDescent="0.2">
      <c r="A11" s="2420" t="s">
        <v>159</v>
      </c>
      <c r="B11" s="2391"/>
      <c r="C11" s="2391"/>
      <c r="D11" s="2391"/>
      <c r="E11" s="2421"/>
      <c r="F11" s="622" t="s">
        <v>847</v>
      </c>
      <c r="G11" s="1799"/>
      <c r="H11" s="1794"/>
      <c r="I11" s="1794"/>
      <c r="J11" s="1795"/>
      <c r="K11" s="1801"/>
    </row>
    <row r="12" spans="1:11" ht="13.5" thickBot="1" x14ac:dyDescent="0.25">
      <c r="A12" s="2408" t="s">
        <v>899</v>
      </c>
      <c r="B12" s="2409"/>
      <c r="C12" s="2409"/>
      <c r="D12" s="2409"/>
      <c r="E12" s="2410"/>
      <c r="F12" s="1482"/>
      <c r="G12" s="1805">
        <f>SUM(G5:G11)</f>
        <v>0</v>
      </c>
      <c r="H12" s="1805">
        <f>SUM(H5:H11)</f>
        <v>0</v>
      </c>
      <c r="I12" s="1805">
        <f>SUM(I5:I11)</f>
        <v>0</v>
      </c>
      <c r="J12" s="1805">
        <f>SUM(J5:J11)</f>
        <v>0</v>
      </c>
      <c r="K12" s="1805">
        <f>SUM(K5:K11)</f>
        <v>0</v>
      </c>
    </row>
    <row r="13" spans="1:11" ht="13.5" thickTop="1" x14ac:dyDescent="0.2">
      <c r="A13" s="2402" t="s">
        <v>367</v>
      </c>
      <c r="B13" s="2403"/>
      <c r="C13" s="2403"/>
      <c r="D13" s="2403"/>
      <c r="E13" s="2404"/>
      <c r="F13" s="634"/>
      <c r="G13" s="1806"/>
      <c r="H13" s="1807"/>
      <c r="I13" s="1808"/>
      <c r="J13" s="1808"/>
      <c r="K13" s="1808"/>
    </row>
    <row r="14" spans="1:11" x14ac:dyDescent="0.2">
      <c r="A14" s="2426" t="s">
        <v>453</v>
      </c>
      <c r="B14" s="2426"/>
      <c r="C14" s="2426"/>
      <c r="D14" s="2426"/>
      <c r="E14" s="2427"/>
      <c r="F14" s="635" t="s">
        <v>849</v>
      </c>
      <c r="G14" s="1803"/>
      <c r="H14" s="1794"/>
      <c r="I14" s="1799"/>
      <c r="J14" s="1801"/>
      <c r="K14" s="1795"/>
    </row>
    <row r="15" spans="1:11" x14ac:dyDescent="0.2">
      <c r="A15" s="2391" t="s">
        <v>4</v>
      </c>
      <c r="B15" s="2391"/>
      <c r="C15" s="2391"/>
      <c r="D15" s="2391"/>
      <c r="E15" s="2421"/>
      <c r="F15" s="635" t="s">
        <v>850</v>
      </c>
      <c r="G15" s="1799"/>
      <c r="H15" s="1794"/>
      <c r="I15" s="1794"/>
      <c r="J15" s="1795"/>
      <c r="K15" s="1795"/>
    </row>
    <row r="16" spans="1:11" x14ac:dyDescent="0.2">
      <c r="A16" s="2391" t="s">
        <v>295</v>
      </c>
      <c r="B16" s="2391"/>
      <c r="C16" s="2391"/>
      <c r="D16" s="2391"/>
      <c r="E16" s="2421"/>
      <c r="F16" s="635" t="s">
        <v>917</v>
      </c>
      <c r="G16" s="1800"/>
      <c r="H16" s="1796"/>
      <c r="I16" s="1796"/>
      <c r="J16" s="1798"/>
      <c r="K16" s="1798"/>
    </row>
    <row r="17" spans="1:15" x14ac:dyDescent="0.2">
      <c r="A17" s="2415" t="s">
        <v>929</v>
      </c>
      <c r="B17" s="2415"/>
      <c r="C17" s="2415"/>
      <c r="D17" s="2415"/>
      <c r="E17" s="2416"/>
      <c r="F17" s="636"/>
      <c r="G17" s="1809"/>
      <c r="H17" s="1810"/>
      <c r="I17" s="1810"/>
      <c r="J17" s="1811"/>
      <c r="K17" s="1812"/>
    </row>
    <row r="18" spans="1:15" x14ac:dyDescent="0.2">
      <c r="A18" s="2405" t="s">
        <v>365</v>
      </c>
      <c r="B18" s="2406"/>
      <c r="C18" s="2406"/>
      <c r="D18" s="2406"/>
      <c r="E18" s="2407"/>
      <c r="F18" s="635" t="s">
        <v>926</v>
      </c>
      <c r="G18" s="1803"/>
      <c r="H18" s="1803"/>
      <c r="I18" s="1803"/>
      <c r="J18" s="1795"/>
      <c r="K18" s="1813"/>
    </row>
    <row r="19" spans="1:15" ht="21.75" customHeight="1" x14ac:dyDescent="0.2">
      <c r="A19" s="2428" t="s">
        <v>1789</v>
      </c>
      <c r="B19" s="2428"/>
      <c r="C19" s="2428"/>
      <c r="D19" s="2428"/>
      <c r="E19" s="2429"/>
      <c r="F19" s="635" t="s">
        <v>927</v>
      </c>
      <c r="G19" s="1803"/>
      <c r="H19" s="1803"/>
      <c r="I19" s="1803"/>
      <c r="J19" s="1795"/>
      <c r="K19" s="1813"/>
    </row>
    <row r="20" spans="1:15" x14ac:dyDescent="0.2">
      <c r="A20" s="2405" t="s">
        <v>1794</v>
      </c>
      <c r="B20" s="2406"/>
      <c r="C20" s="2406"/>
      <c r="D20" s="2406"/>
      <c r="E20" s="2407"/>
      <c r="F20" s="635" t="s">
        <v>928</v>
      </c>
      <c r="G20" s="1803"/>
      <c r="H20" s="1803"/>
      <c r="I20" s="1803"/>
      <c r="J20" s="1795"/>
      <c r="K20" s="1813"/>
    </row>
    <row r="21" spans="1:15" ht="13.5" thickBot="1" x14ac:dyDescent="0.25">
      <c r="A21" s="2411" t="s">
        <v>633</v>
      </c>
      <c r="B21" s="2411"/>
      <c r="C21" s="2411"/>
      <c r="D21" s="2411"/>
      <c r="E21" s="2411"/>
      <c r="F21" s="1483"/>
      <c r="G21" s="1810"/>
      <c r="H21" s="1814"/>
      <c r="I21" s="1814"/>
      <c r="J21" s="1815">
        <f>SUM(J18:J20)</f>
        <v>0</v>
      </c>
      <c r="K21" s="1811"/>
    </row>
    <row r="22" spans="1:15" ht="13.5" thickTop="1" x14ac:dyDescent="0.2">
      <c r="A22" s="2391" t="s">
        <v>1795</v>
      </c>
      <c r="B22" s="2391"/>
      <c r="C22" s="2391"/>
      <c r="D22" s="2391"/>
      <c r="E22" s="2421"/>
      <c r="F22" s="635" t="s">
        <v>857</v>
      </c>
      <c r="G22" s="1803"/>
      <c r="H22" s="1794"/>
      <c r="I22" s="1794"/>
      <c r="J22" s="1816"/>
      <c r="K22" s="1795"/>
    </row>
    <row r="23" spans="1:15" ht="13.5" thickBot="1" x14ac:dyDescent="0.25">
      <c r="A23" s="2412" t="s">
        <v>900</v>
      </c>
      <c r="B23" s="2411"/>
      <c r="C23" s="2411"/>
      <c r="D23" s="2411"/>
      <c r="E23" s="2411"/>
      <c r="F23" s="1485"/>
      <c r="G23" s="1805">
        <f>SUM(G14:G16,G21,G22)</f>
        <v>0</v>
      </c>
      <c r="H23" s="1805">
        <f>SUM(H14:H16,H21,H22)</f>
        <v>0</v>
      </c>
      <c r="I23" s="1805">
        <f>SUM(I14:I16,I21,I22)</f>
        <v>0</v>
      </c>
      <c r="J23" s="1805">
        <f>SUM(J14:J16,J21,J22)</f>
        <v>0</v>
      </c>
      <c r="K23" s="1805">
        <f>SUM(K14:K16,K21,K22)</f>
        <v>0</v>
      </c>
      <c r="M23" s="1904"/>
      <c r="N23" s="1904"/>
      <c r="O23" s="1904"/>
    </row>
    <row r="24" spans="1:15" ht="14.25" thickTop="1" thickBot="1" x14ac:dyDescent="0.25">
      <c r="A24" s="2413" t="str">
        <f>"Ending Cash Basis Fund Balance as of June 30, "&amp;'AFR20'!E2</f>
        <v>Ending Cash Basis Fund Balance as of June 30, 2020</v>
      </c>
      <c r="B24" s="2414"/>
      <c r="C24" s="2414"/>
      <c r="D24" s="2414"/>
      <c r="E24" s="2414"/>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3"/>
      <c r="I31" s="2424"/>
      <c r="J31" s="2424"/>
      <c r="K31" s="2424"/>
    </row>
    <row r="32" spans="1:15" x14ac:dyDescent="0.2">
      <c r="A32" s="649"/>
      <c r="B32" s="232"/>
      <c r="C32" s="232"/>
      <c r="D32" s="232"/>
      <c r="E32" s="645"/>
      <c r="F32" s="651" t="s">
        <v>537</v>
      </c>
      <c r="G32" s="618"/>
      <c r="H32" s="2425"/>
      <c r="I32" s="2424"/>
      <c r="J32" s="2424"/>
      <c r="K32" s="2424"/>
    </row>
    <row r="33" spans="1:11" ht="1.5" customHeight="1" x14ac:dyDescent="0.2">
      <c r="A33" s="652" t="s">
        <v>1161</v>
      </c>
      <c r="B33" s="341"/>
      <c r="C33" s="341"/>
      <c r="D33" s="341"/>
      <c r="E33" s="341"/>
      <c r="F33" s="341"/>
      <c r="G33" s="653"/>
      <c r="H33" s="2425"/>
      <c r="I33" s="2424"/>
      <c r="J33" s="2424"/>
      <c r="K33" s="2424"/>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1" t="s">
        <v>538</v>
      </c>
      <c r="B41" s="2392"/>
      <c r="C41" s="2392"/>
      <c r="D41" s="2392"/>
      <c r="E41" s="2392"/>
      <c r="F41" s="239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G31" sqref="G3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2" t="s">
        <v>1878</v>
      </c>
      <c r="B1" s="2433"/>
      <c r="C1" s="2434"/>
      <c r="D1" s="666"/>
      <c r="E1" s="667"/>
      <c r="F1" s="667"/>
      <c r="G1" s="668"/>
      <c r="H1" s="669"/>
      <c r="I1" s="670"/>
      <c r="J1" s="2430"/>
      <c r="K1" s="2431"/>
      <c r="L1" s="2431"/>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c r="D5" s="1820"/>
      <c r="E5" s="1820"/>
      <c r="F5" s="1815">
        <f>(C5+D5)-E5</f>
        <v>0</v>
      </c>
      <c r="G5" s="676"/>
      <c r="H5" s="680"/>
      <c r="I5" s="680"/>
      <c r="J5" s="680"/>
      <c r="K5" s="637"/>
      <c r="L5" s="1491">
        <f>F5-K5</f>
        <v>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c r="D8" s="1821"/>
      <c r="E8" s="1821"/>
      <c r="F8" s="1815">
        <f>(C8+D8)-E8</f>
        <v>0</v>
      </c>
      <c r="G8" s="681">
        <v>50</v>
      </c>
      <c r="H8" s="619"/>
      <c r="I8" s="619"/>
      <c r="J8" s="619"/>
      <c r="K8" s="1491">
        <f>(H8+I8)-J8</f>
        <v>0</v>
      </c>
      <c r="L8" s="1491">
        <f>F8-K8</f>
        <v>0</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c r="D10" s="1822"/>
      <c r="E10" s="1822"/>
      <c r="F10" s="1823">
        <f>(C10+D10)-E10</f>
        <v>0</v>
      </c>
      <c r="G10" s="681">
        <v>20</v>
      </c>
      <c r="H10" s="683"/>
      <c r="I10" s="683"/>
      <c r="J10" s="683"/>
      <c r="K10" s="1491">
        <f>(H10+I10)-J10</f>
        <v>0</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50424</v>
      </c>
      <c r="D12" s="1821">
        <v>6432</v>
      </c>
      <c r="E12" s="1821"/>
      <c r="F12" s="1815">
        <f>(C12+D12)-E12</f>
        <v>56856</v>
      </c>
      <c r="G12" s="681">
        <v>10</v>
      </c>
      <c r="H12" s="619"/>
      <c r="I12" s="619"/>
      <c r="J12" s="619"/>
      <c r="K12" s="1491">
        <f>(H12+I12)-J12</f>
        <v>0</v>
      </c>
      <c r="L12" s="1491">
        <f>F12-K12</f>
        <v>56856</v>
      </c>
    </row>
    <row r="13" spans="1:14" ht="14.25" thickTop="1" thickBot="1" x14ac:dyDescent="0.25">
      <c r="A13" s="684" t="s">
        <v>1114</v>
      </c>
      <c r="B13" s="679">
        <v>252</v>
      </c>
      <c r="C13" s="1821"/>
      <c r="D13" s="1821"/>
      <c r="E13" s="1821"/>
      <c r="F13" s="1815">
        <f>(C13+D13)-E13</f>
        <v>0</v>
      </c>
      <c r="G13" s="681">
        <v>5</v>
      </c>
      <c r="H13" s="619"/>
      <c r="I13" s="619"/>
      <c r="J13" s="619"/>
      <c r="K13" s="1491">
        <f>(H13+I13)-J13</f>
        <v>0</v>
      </c>
      <c r="L13" s="1491">
        <f>F13-K13</f>
        <v>0</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50424</v>
      </c>
      <c r="D16" s="1815">
        <f>SUM(D3,D5:D6,D8:D10,D12:D15)</f>
        <v>6432</v>
      </c>
      <c r="E16" s="1815">
        <f>SUM(E3,E5:E6,E8:E10,E12:E15)</f>
        <v>0</v>
      </c>
      <c r="F16" s="1815">
        <f>SUM(F3,F5:F6,F8:F10,F12:F15)</f>
        <v>56856</v>
      </c>
      <c r="G16" s="681"/>
      <c r="H16" s="1484">
        <f>SUM(H3,H6,H8:H10,H12:H14,)</f>
        <v>0</v>
      </c>
      <c r="I16" s="1484">
        <f>SUM(I3,I6,I8:I10,I12:I14,)</f>
        <v>0</v>
      </c>
      <c r="J16" s="1484">
        <f>SUM(J3,J6,J8:J10,J12:J14,)</f>
        <v>0</v>
      </c>
      <c r="K16" s="1484">
        <f>(H16+I16)-J16</f>
        <v>0</v>
      </c>
      <c r="L16" s="1484">
        <f>F16-K16</f>
        <v>56856</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20" activePane="bottomLeft" state="frozen"/>
      <selection activeCell="A47" sqref="A47"/>
      <selection pane="bottomLeft"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8" t="str">
        <f>"ESTIMATED OPERATING EXPENSE PER PUPIL (OEPP)/PER CAPITA TUITION CHARGE (PCTC) COMPUTATIONS ("&amp;'AFR20'!E2-1&amp;" - "&amp;'AFR20'!E2&amp;")"</f>
        <v>ESTIMATED OPERATING EXPENSE PER PUPIL (OEPP)/PER CAPITA TUITION CHARGE (PCTC) COMPUTATIONS (2019 - 2020)</v>
      </c>
      <c r="B1" s="2439"/>
      <c r="C1" s="2439"/>
      <c r="D1" s="2439"/>
      <c r="E1" s="2439"/>
      <c r="F1" s="2440"/>
      <c r="G1" s="691"/>
      <c r="I1" s="701"/>
    </row>
    <row r="2" spans="1:9" ht="15" customHeight="1" thickBot="1" x14ac:dyDescent="0.25">
      <c r="A2" s="2441" t="s">
        <v>474</v>
      </c>
      <c r="B2" s="2442"/>
      <c r="C2" s="2442"/>
      <c r="D2" s="2442"/>
      <c r="E2" s="2442"/>
      <c r="F2" s="244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4"/>
      <c r="B5" s="2445"/>
      <c r="C5" s="2445"/>
      <c r="D5" s="2445"/>
      <c r="E5" s="2445"/>
      <c r="F5" s="2445"/>
    </row>
    <row r="6" spans="1:9" ht="13.5" customHeight="1" thickBot="1" x14ac:dyDescent="0.25">
      <c r="A6" s="2435" t="s">
        <v>1097</v>
      </c>
      <c r="B6" s="2436"/>
      <c r="C6" s="2436"/>
      <c r="D6" s="2436"/>
      <c r="E6" s="2436"/>
      <c r="F6" s="243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1549690</v>
      </c>
      <c r="G8" s="701"/>
    </row>
    <row r="9" spans="1:9" x14ac:dyDescent="0.2">
      <c r="A9" s="705" t="s">
        <v>457</v>
      </c>
      <c r="B9" s="706" t="s">
        <v>1851</v>
      </c>
      <c r="C9" s="707"/>
      <c r="D9" s="705" t="s">
        <v>498</v>
      </c>
      <c r="E9" s="704"/>
      <c r="F9" s="1825">
        <f>'Expenditures 15-22'!K151</f>
        <v>0</v>
      </c>
      <c r="G9" s="708"/>
    </row>
    <row r="10" spans="1:9" x14ac:dyDescent="0.2">
      <c r="A10" s="705" t="s">
        <v>496</v>
      </c>
      <c r="B10" s="706" t="s">
        <v>1852</v>
      </c>
      <c r="C10" s="707"/>
      <c r="D10" s="705" t="s">
        <v>498</v>
      </c>
      <c r="E10" s="704"/>
      <c r="F10" s="1825">
        <f>'Expenditures 15-22'!K174</f>
        <v>0</v>
      </c>
      <c r="G10" s="708"/>
    </row>
    <row r="11" spans="1:9" x14ac:dyDescent="0.2">
      <c r="A11" s="705" t="s">
        <v>458</v>
      </c>
      <c r="B11" s="706" t="s">
        <v>1853</v>
      </c>
      <c r="C11" s="707"/>
      <c r="D11" s="705" t="s">
        <v>498</v>
      </c>
      <c r="E11" s="704"/>
      <c r="F11" s="1825">
        <f>'Expenditures 15-22'!K210</f>
        <v>0</v>
      </c>
      <c r="G11" s="708"/>
    </row>
    <row r="12" spans="1:9" x14ac:dyDescent="0.2">
      <c r="A12" s="705" t="s">
        <v>459</v>
      </c>
      <c r="B12" s="706" t="s">
        <v>1854</v>
      </c>
      <c r="C12" s="707"/>
      <c r="D12" s="705" t="s">
        <v>498</v>
      </c>
      <c r="E12" s="704"/>
      <c r="F12" s="1825">
        <f>'Expenditures 15-22'!K295</f>
        <v>0</v>
      </c>
      <c r="G12" s="708"/>
    </row>
    <row r="13" spans="1:9" x14ac:dyDescent="0.2">
      <c r="A13" s="705" t="s">
        <v>106</v>
      </c>
      <c r="B13" s="706" t="s">
        <v>1855</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1549690</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3109</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352315</v>
      </c>
      <c r="G53" s="701"/>
    </row>
    <row r="54" spans="1:7" x14ac:dyDescent="0.2">
      <c r="A54" s="705" t="s">
        <v>456</v>
      </c>
      <c r="B54" s="705" t="s">
        <v>1462</v>
      </c>
      <c r="C54" s="724" t="s">
        <v>975</v>
      </c>
      <c r="D54" s="720" t="s">
        <v>1088</v>
      </c>
      <c r="E54" s="704"/>
      <c r="F54" s="1832">
        <f>'Expenditures 15-22'!G114</f>
        <v>6432</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0</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361856</v>
      </c>
      <c r="G77" s="701"/>
    </row>
    <row r="78" spans="1:9" s="728" customFormat="1" ht="12" customHeight="1" thickTop="1" thickBot="1" x14ac:dyDescent="0.25">
      <c r="A78" s="1499"/>
      <c r="B78" s="1497"/>
      <c r="C78" s="1494"/>
      <c r="D78" s="1498" t="s">
        <v>2015</v>
      </c>
      <c r="E78" s="1496"/>
      <c r="F78" s="1838">
        <f>(F14-F77)</f>
        <v>1187834</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0</v>
      </c>
      <c r="G79" s="733"/>
      <c r="H79" s="705"/>
      <c r="I79" s="705"/>
    </row>
    <row r="80" spans="1:9" s="728" customFormat="1" ht="12" customHeight="1" thickBot="1" x14ac:dyDescent="0.25">
      <c r="A80" s="1501"/>
      <c r="B80" s="1497"/>
      <c r="C80" s="1494"/>
      <c r="D80" s="1498" t="s">
        <v>2016</v>
      </c>
      <c r="E80" s="1496" t="s">
        <v>952</v>
      </c>
      <c r="F80" s="1840" t="str">
        <f>IF(F79&gt;0,F78/F79," Complete Line 79")</f>
        <v xml:space="preserve"> Complete Line 79</v>
      </c>
      <c r="G80" s="705"/>
    </row>
    <row r="81" spans="1:7" s="728" customFormat="1" ht="8.25" customHeight="1" thickTop="1" x14ac:dyDescent="0.2">
      <c r="A81" s="734"/>
      <c r="B81" s="705"/>
      <c r="C81" s="707"/>
      <c r="D81" s="735"/>
      <c r="E81" s="704"/>
      <c r="F81" s="1841"/>
      <c r="G81" s="705"/>
    </row>
    <row r="82" spans="1:7" s="728" customFormat="1" ht="12" thickBot="1" x14ac:dyDescent="0.25">
      <c r="A82" s="2435" t="s">
        <v>1098</v>
      </c>
      <c r="B82" s="2436"/>
      <c r="C82" s="2436"/>
      <c r="D82" s="2436"/>
      <c r="E82" s="2436"/>
      <c r="F82" s="243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0</v>
      </c>
      <c r="G95" s="745"/>
    </row>
    <row r="96" spans="1:7" x14ac:dyDescent="0.2">
      <c r="A96" s="741" t="s">
        <v>139</v>
      </c>
      <c r="B96" s="741" t="s">
        <v>174</v>
      </c>
      <c r="C96" s="743">
        <v>1700</v>
      </c>
      <c r="D96" s="751" t="str">
        <f>'Revenues 9-14'!A82</f>
        <v>Total District/School Activity Income</v>
      </c>
      <c r="E96" s="739"/>
      <c r="F96" s="1843">
        <f>SUM('Revenues 9-14'!C82,'Revenues 9-14'!D82)</f>
        <v>0</v>
      </c>
      <c r="G96" s="745"/>
    </row>
    <row r="97" spans="1:7" x14ac:dyDescent="0.2">
      <c r="A97" s="741" t="s">
        <v>456</v>
      </c>
      <c r="B97" s="741" t="s">
        <v>175</v>
      </c>
      <c r="C97" s="743">
        <f>'Revenues 9-14'!B84</f>
        <v>1811</v>
      </c>
      <c r="D97" s="744" t="str">
        <f>'Revenues 9-14'!A84</f>
        <v>Rentals - Regular Textbooks</v>
      </c>
      <c r="E97" s="739"/>
      <c r="F97" s="1843">
        <f>'Revenues 9-14'!C84</f>
        <v>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27333</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69373</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0</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6371</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0</v>
      </c>
      <c r="G126" s="763"/>
    </row>
    <row r="127" spans="1:7" x14ac:dyDescent="0.2">
      <c r="A127" s="760" t="s">
        <v>663</v>
      </c>
      <c r="B127" s="760" t="s">
        <v>1934</v>
      </c>
      <c r="C127" s="765">
        <v>4300</v>
      </c>
      <c r="D127" s="766" t="str">
        <f>'Revenues 9-14'!A204</f>
        <v>Total Title I</v>
      </c>
      <c r="E127" s="739"/>
      <c r="F127" s="1843">
        <f>SUM('Revenues 9-14'!C204,'Revenues 9-14'!D204,'Revenues 9-14'!F204,'Revenues 9-14'!G204)</f>
        <v>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18497</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5295</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43404</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c r="G172" s="760"/>
    </row>
    <row r="173" spans="1:7" x14ac:dyDescent="0.2">
      <c r="A173" s="1579" t="s">
        <v>659</v>
      </c>
      <c r="B173" s="1580" t="s">
        <v>1888</v>
      </c>
      <c r="C173" s="1581">
        <v>3300</v>
      </c>
      <c r="D173" s="1582" t="s">
        <v>1891</v>
      </c>
      <c r="E173" s="739"/>
      <c r="F173" s="1844"/>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170273</v>
      </c>
    </row>
    <row r="176" spans="1:7" ht="12" customHeight="1" x14ac:dyDescent="0.2">
      <c r="A176" s="1492"/>
      <c r="B176" s="1502"/>
      <c r="C176" s="1503"/>
      <c r="D176" s="1504" t="s">
        <v>2017</v>
      </c>
      <c r="E176" s="1505"/>
      <c r="F176" s="1843">
        <f>'PCTC-OEPP 27-28'!F78-F175</f>
        <v>1017561</v>
      </c>
    </row>
    <row r="177" spans="1:9" ht="12" customHeight="1" x14ac:dyDescent="0.2">
      <c r="A177" s="1492"/>
      <c r="B177" s="1502"/>
      <c r="C177" s="1503"/>
      <c r="D177" s="1504" t="s">
        <v>1797</v>
      </c>
      <c r="E177" s="1505"/>
      <c r="F177" s="1843">
        <f>'Cap Outlay Deprec 26'!I18</f>
        <v>0</v>
      </c>
    </row>
    <row r="178" spans="1:9" ht="12" customHeight="1" x14ac:dyDescent="0.2">
      <c r="A178" s="1492"/>
      <c r="B178" s="1502"/>
      <c r="C178" s="1503"/>
      <c r="D178" s="1504" t="s">
        <v>2018</v>
      </c>
      <c r="E178" s="1505"/>
      <c r="F178" s="1843">
        <f>F176+F177</f>
        <v>1017561</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0</v>
      </c>
      <c r="G179" s="763"/>
      <c r="I179" s="701"/>
    </row>
    <row r="180" spans="1:9" ht="12" customHeight="1" thickBot="1" x14ac:dyDescent="0.25">
      <c r="A180" s="1492"/>
      <c r="B180" s="1506"/>
      <c r="C180" s="1503"/>
      <c r="D180" s="1504" t="s">
        <v>2020</v>
      </c>
      <c r="E180" s="1505" t="s">
        <v>1531</v>
      </c>
      <c r="F180" s="1848"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3" zoomScaleNormal="100" workbookViewId="0">
      <selection activeCell="A19" sqref="A19"/>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449" t="s">
        <v>1798</v>
      </c>
      <c r="B4" s="2450"/>
      <c r="C4" s="2450"/>
      <c r="D4" s="2450"/>
      <c r="E4" s="2450"/>
      <c r="F4" s="2451"/>
    </row>
    <row r="5" spans="1:6" x14ac:dyDescent="0.25">
      <c r="A5" s="2452"/>
      <c r="B5" s="2453"/>
      <c r="C5" s="2453"/>
      <c r="D5" s="2453"/>
      <c r="E5" s="2453"/>
      <c r="F5" s="2454"/>
    </row>
    <row r="6" spans="1:6" ht="18.75" x14ac:dyDescent="0.25">
      <c r="A6" s="1930" t="s">
        <v>1799</v>
      </c>
      <c r="B6" s="1931"/>
      <c r="C6" s="1932"/>
      <c r="D6" s="1932"/>
      <c r="E6" s="1932"/>
      <c r="F6" s="1933"/>
    </row>
    <row r="7" spans="1:6" ht="47.25" customHeight="1" x14ac:dyDescent="0.25">
      <c r="A7" s="2455" t="s">
        <v>1988</v>
      </c>
      <c r="B7" s="2456"/>
      <c r="C7" s="2456"/>
      <c r="D7" s="2456"/>
      <c r="E7" s="2456"/>
      <c r="F7" s="2457"/>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458" t="s">
        <v>1984</v>
      </c>
      <c r="B10" s="2459"/>
      <c r="C10" s="2459"/>
      <c r="D10" s="2459"/>
      <c r="E10" s="2459"/>
      <c r="F10" s="2460"/>
    </row>
    <row r="11" spans="1:6" ht="33" customHeight="1" x14ac:dyDescent="0.25">
      <c r="A11" s="2455" t="s">
        <v>1989</v>
      </c>
      <c r="B11" s="2456"/>
      <c r="C11" s="2456"/>
      <c r="D11" s="2456"/>
      <c r="E11" s="2456"/>
      <c r="F11" s="2457"/>
    </row>
    <row r="12" spans="1:6" ht="15" customHeight="1" x14ac:dyDescent="0.25">
      <c r="A12" s="1936" t="s">
        <v>1985</v>
      </c>
      <c r="B12" s="1937"/>
      <c r="C12" s="1938"/>
      <c r="D12" s="1938"/>
      <c r="E12" s="1938"/>
      <c r="F12" s="1939"/>
    </row>
    <row r="13" spans="1:6" ht="17.25" customHeight="1" x14ac:dyDescent="0.25">
      <c r="A13" s="2455" t="s">
        <v>1986</v>
      </c>
      <c r="B13" s="2456"/>
      <c r="C13" s="2456"/>
      <c r="D13" s="2456"/>
      <c r="E13" s="2456"/>
      <c r="F13" s="2457"/>
    </row>
    <row r="14" spans="1:6" ht="15" customHeight="1" x14ac:dyDescent="0.25">
      <c r="A14" s="1936" t="s">
        <v>1803</v>
      </c>
      <c r="B14" s="1937"/>
      <c r="C14" s="1938"/>
      <c r="D14" s="1938"/>
      <c r="E14" s="1938"/>
      <c r="F14" s="1939"/>
    </row>
    <row r="15" spans="1:6" ht="32.25" customHeight="1" x14ac:dyDescent="0.25">
      <c r="A15" s="244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7"/>
      <c r="C15" s="2447"/>
      <c r="D15" s="2447"/>
      <c r="E15" s="2447"/>
      <c r="F15" s="2448"/>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2107" t="s">
        <v>2094</v>
      </c>
      <c r="B18" s="1971">
        <v>102520300</v>
      </c>
      <c r="C18" s="2108" t="s">
        <v>2093</v>
      </c>
      <c r="D18" s="1949">
        <v>35544</v>
      </c>
      <c r="E18" s="1969" t="str">
        <f t="shared" ref="E18:E81" si="0">IF(D18&lt;25000,D18,"25,000")</f>
        <v>25,000</v>
      </c>
      <c r="F18" s="1969">
        <f t="shared" ref="F18:F81" si="1">IF(D18&gt;=25000,(D18-E18),"0")</f>
        <v>10544</v>
      </c>
      <c r="G18" s="1950"/>
    </row>
    <row r="19" spans="1:7" x14ac:dyDescent="0.25">
      <c r="A19" s="2107" t="s">
        <v>2095</v>
      </c>
      <c r="B19" s="1971">
        <v>102200300</v>
      </c>
      <c r="C19" s="2108" t="s">
        <v>2093</v>
      </c>
      <c r="D19" s="1949">
        <v>667</v>
      </c>
      <c r="E19" s="1969">
        <f t="shared" si="0"/>
        <v>667</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36211</v>
      </c>
      <c r="E142" s="1956">
        <f>SUM(E18:E141)</f>
        <v>667</v>
      </c>
      <c r="F142" s="1957">
        <f>SUM(F18:F141)</f>
        <v>10544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1" t="s">
        <v>1663</v>
      </c>
      <c r="B5" s="2462"/>
      <c r="C5" s="2462"/>
      <c r="D5" s="2462"/>
      <c r="E5" s="2462"/>
      <c r="F5" s="2462"/>
      <c r="G5" s="2463"/>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46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7"/>
      <c r="C11" s="2467"/>
      <c r="D11" s="2468"/>
      <c r="E11" s="1851"/>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585347</v>
      </c>
      <c r="F19" s="1852"/>
      <c r="G19" s="1854">
        <f>'Expenditures 15-22'!K33-SUM('Expenditures 15-22'!G33,'Expenditures 15-22'!I33)+'Expenditures 15-22'!D229</f>
        <v>585347</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246099</v>
      </c>
      <c r="F21" s="1855"/>
      <c r="G21" s="1858">
        <f>'Expenditures 15-22'!K42-SUM('Expenditures 15-22'!G42,'Expenditures 15-22'!I42)+'Expenditures 15-22'!K120-SUM('Expenditures 15-22'!G120,'Expenditures 15-22'!I120)+'Expenditures 15-22'!K180-SUM('Expenditures 15-22'!G180,'Expenditures 15-22'!I180)+'Expenditures 15-22'!D238</f>
        <v>246099</v>
      </c>
      <c r="H21" s="817"/>
      <c r="I21" s="157"/>
    </row>
    <row r="22" spans="1:9" s="542" customFormat="1" ht="12" customHeight="1" x14ac:dyDescent="0.2">
      <c r="A22" s="824" t="s">
        <v>560</v>
      </c>
      <c r="B22" s="825"/>
      <c r="C22" s="823">
        <v>2200</v>
      </c>
      <c r="D22" s="1855"/>
      <c r="E22" s="1857">
        <f>'Expenditures 15-22'!K47-SUM('Expenditures 15-22'!G47,'Expenditures 15-22'!I47)+'Expenditures 15-22'!D243</f>
        <v>28265</v>
      </c>
      <c r="F22" s="1855"/>
      <c r="G22" s="1858">
        <f>'Expenditures 15-22'!K47-SUM('Expenditures 15-22'!G47,'Expenditures 15-22'!I47)+'Expenditures 15-22'!D243</f>
        <v>28265</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251075</v>
      </c>
      <c r="F23" s="1855"/>
      <c r="G23" s="1857">
        <f>'Expenditures 15-22'!K53-SUM('Expenditures 15-22'!G53,'Expenditures 15-22'!I53)+'Expenditures 15-22'!D257+'Expenditures 15-22'!K330-SUM('Expenditures 15-22'!G330,'Expenditures 15-22'!I330)</f>
        <v>251075</v>
      </c>
      <c r="H23" s="817"/>
      <c r="I23" s="157"/>
    </row>
    <row r="24" spans="1:9" s="542" customFormat="1" ht="12" customHeight="1" x14ac:dyDescent="0.2">
      <c r="A24" s="824" t="s">
        <v>562</v>
      </c>
      <c r="B24" s="825"/>
      <c r="C24" s="823">
        <v>2400</v>
      </c>
      <c r="D24" s="1855"/>
      <c r="E24" s="1857">
        <f>'Expenditures 15-22'!K57-SUM('Expenditures 15-22'!G57,'Expenditures 15-22'!I57)+'Expenditures 15-22'!D261</f>
        <v>35313</v>
      </c>
      <c r="F24" s="1855"/>
      <c r="G24" s="1858">
        <f>'Expenditures 15-22'!K57-SUM('Expenditures 15-22'!G57,'Expenditures 15-22'!I57)+'Expenditures 15-22'!D261</f>
        <v>35313</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44844</v>
      </c>
      <c r="E27" s="1857">
        <f>E8</f>
        <v>0</v>
      </c>
      <c r="F27" s="1857">
        <f>'Expenditures 15-22'!K60-SUM('Expenditures 15-22'!G60,'Expenditures 15-22'!I60)+'Expenditures 15-22'!D264-E8</f>
        <v>44844</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0</v>
      </c>
      <c r="F28" s="1859">
        <f>'Expenditures 15-22'!K61-SUM('Expenditures 15-22'!G61,'Expenditures 15-22'!I61)+'Expenditures 15-22'!K124-SUM('Expenditures 15-22'!G124,'Expenditures 15-22'!I124)+'Expenditures 15-22'!D266-E9</f>
        <v>0</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0</v>
      </c>
      <c r="F29" s="1855"/>
      <c r="G29" s="185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55"/>
      <c r="E30" s="1857">
        <f>'Expenditures 15-22'!K63-SUM('Expenditures 15-22'!G63,'Expenditures 15-22'!I63)+'Expenditures 15-22'!D268-E10</f>
        <v>0</v>
      </c>
      <c r="F30" s="1855"/>
      <c r="G30" s="1857">
        <f>'Expenditures 15-22'!K63-SUM('Expenditures 15-22'!G63,'Expenditures 15-22'!I63)+'Expenditures 15-22'!D268-E10</f>
        <v>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-10544</v>
      </c>
      <c r="F40" s="1855"/>
      <c r="G40" s="1859">
        <f>-'Contracts Paid in CY 29'!F142</f>
        <v>-10544</v>
      </c>
    </row>
    <row r="41" spans="1:7" ht="12" customHeight="1" x14ac:dyDescent="0.2">
      <c r="A41" s="828" t="s">
        <v>155</v>
      </c>
      <c r="B41" s="829"/>
      <c r="C41" s="830"/>
      <c r="D41" s="1859">
        <f>SUM(D19:D39)</f>
        <v>44844</v>
      </c>
      <c r="E41" s="1859">
        <f>SUM(E19:E40)</f>
        <v>1135555</v>
      </c>
      <c r="F41" s="1859">
        <f>SUM(F19:F39)</f>
        <v>44844</v>
      </c>
      <c r="G41" s="1859">
        <f>SUM(G19:G40)</f>
        <v>1135555</v>
      </c>
    </row>
    <row r="42" spans="1:7" x14ac:dyDescent="0.2">
      <c r="A42" s="817"/>
      <c r="B42" s="157"/>
      <c r="C42" s="831"/>
      <c r="D42" s="2464" t="s">
        <v>519</v>
      </c>
      <c r="E42" s="2465"/>
      <c r="F42" s="832" t="s">
        <v>520</v>
      </c>
      <c r="G42" s="833"/>
    </row>
    <row r="43" spans="1:7" ht="12" customHeight="1" x14ac:dyDescent="0.2">
      <c r="A43" s="817"/>
      <c r="B43" s="157"/>
      <c r="C43" s="831"/>
      <c r="D43" s="1507" t="s">
        <v>470</v>
      </c>
      <c r="E43" s="1860">
        <f>D41</f>
        <v>44844</v>
      </c>
      <c r="F43" s="1507" t="s">
        <v>470</v>
      </c>
      <c r="G43" s="1860">
        <f>F41</f>
        <v>44844</v>
      </c>
    </row>
    <row r="44" spans="1:7" ht="12" customHeight="1" x14ac:dyDescent="0.2">
      <c r="A44" s="817"/>
      <c r="B44" s="157"/>
      <c r="C44" s="831"/>
      <c r="D44" s="1507" t="s">
        <v>471</v>
      </c>
      <c r="E44" s="1860">
        <f>E41</f>
        <v>1135555</v>
      </c>
      <c r="F44" s="1507" t="s">
        <v>471</v>
      </c>
      <c r="G44" s="1860">
        <f>G41</f>
        <v>1135555</v>
      </c>
    </row>
    <row r="45" spans="1:7" ht="12" customHeight="1" x14ac:dyDescent="0.2">
      <c r="A45" s="817"/>
      <c r="B45" s="157"/>
      <c r="C45" s="157"/>
      <c r="D45" s="1508" t="s">
        <v>999</v>
      </c>
      <c r="E45" s="1861">
        <f>(E43/E44)</f>
        <v>3.9490821668699445E-2</v>
      </c>
      <c r="F45" s="1508" t="s">
        <v>999</v>
      </c>
      <c r="G45" s="1861">
        <f>(G43/G44)</f>
        <v>3.9490821668699445E-2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5" activePane="bottomLeft" state="frozen"/>
      <selection activeCell="A47" sqref="A47"/>
      <selection pane="bottomLeft" activeCell="A45" sqref="A45"/>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72" t="s">
        <v>1365</v>
      </c>
      <c r="B1" s="2472"/>
      <c r="C1" s="2472"/>
      <c r="D1" s="2472"/>
      <c r="E1" s="2472"/>
      <c r="F1" s="2472"/>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3" t="s">
        <v>1532</v>
      </c>
      <c r="B5" s="2474"/>
      <c r="C5" s="2475"/>
      <c r="D5" s="2475"/>
      <c r="E5" s="2475"/>
      <c r="F5" s="2475"/>
      <c r="G5" s="1556"/>
      <c r="L5" s="1556"/>
      <c r="M5" s="1913"/>
      <c r="N5" s="1913"/>
      <c r="O5" s="1913"/>
    </row>
    <row r="6" spans="1:15" ht="12" customHeight="1" x14ac:dyDescent="0.25">
      <c r="A6" s="1529"/>
      <c r="B6" s="1530"/>
      <c r="C6" s="2476" t="str">
        <f>COVER!A17</f>
        <v xml:space="preserve"> Kankakee Area Special Ed Co-op</v>
      </c>
      <c r="D6" s="2476"/>
      <c r="E6" s="2476"/>
      <c r="F6" s="1531"/>
      <c r="G6" s="1556"/>
      <c r="L6" s="1556"/>
      <c r="M6" s="1913"/>
      <c r="N6" s="1913"/>
      <c r="O6" s="1913"/>
    </row>
    <row r="7" spans="1:15" ht="11.25" customHeight="1" thickBot="1" x14ac:dyDescent="0.3">
      <c r="A7" s="1529"/>
      <c r="B7" s="1530"/>
      <c r="C7" s="2477">
        <f>COVER!A13</f>
        <v>32046850060</v>
      </c>
      <c r="D7" s="2477"/>
      <c r="E7" s="2477"/>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t="s">
        <v>2021</v>
      </c>
      <c r="D14" s="1544" t="s">
        <v>2021</v>
      </c>
      <c r="E14" s="1547"/>
      <c r="F14" s="1546" t="s">
        <v>2079</v>
      </c>
      <c r="G14" s="1556"/>
      <c r="H14" s="1556">
        <f t="shared" si="0"/>
        <v>5</v>
      </c>
      <c r="I14" s="1556">
        <f t="shared" si="1"/>
        <v>5</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t="s">
        <v>2021</v>
      </c>
      <c r="D16" s="1544" t="s">
        <v>2021</v>
      </c>
      <c r="E16" s="1547"/>
      <c r="F16" s="1546" t="s">
        <v>2080</v>
      </c>
      <c r="G16" s="1556"/>
      <c r="H16" s="1556">
        <f t="shared" si="0"/>
        <v>5</v>
      </c>
      <c r="I16" s="1556">
        <f t="shared" si="1"/>
        <v>5</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t="s">
        <v>2021</v>
      </c>
      <c r="D19" s="1544" t="s">
        <v>2021</v>
      </c>
      <c r="E19" s="1547"/>
      <c r="F19" s="1546" t="s">
        <v>2079</v>
      </c>
      <c r="G19" s="1556"/>
      <c r="H19" s="1556">
        <f t="shared" si="0"/>
        <v>5</v>
      </c>
      <c r="I19" s="1556">
        <f t="shared" si="1"/>
        <v>5</v>
      </c>
      <c r="J19" s="1556">
        <f t="shared" si="2"/>
        <v>0</v>
      </c>
      <c r="L19" s="1556"/>
      <c r="M19" s="1913"/>
      <c r="N19" s="1913"/>
      <c r="O19" s="1913"/>
    </row>
    <row r="20" spans="1:15" ht="12" customHeight="1" x14ac:dyDescent="0.2">
      <c r="A20" s="1542" t="s">
        <v>1514</v>
      </c>
      <c r="B20" s="1543"/>
      <c r="C20" s="1544" t="s">
        <v>2021</v>
      </c>
      <c r="D20" s="1544" t="s">
        <v>2021</v>
      </c>
      <c r="E20" s="1547"/>
      <c r="F20" s="1546" t="s">
        <v>2079</v>
      </c>
      <c r="G20" s="1556"/>
      <c r="H20" s="1556">
        <f t="shared" si="0"/>
        <v>5</v>
      </c>
      <c r="I20" s="1556">
        <f t="shared" si="1"/>
        <v>5</v>
      </c>
      <c r="J20" s="1556">
        <f t="shared" si="2"/>
        <v>0</v>
      </c>
      <c r="L20" s="1556"/>
      <c r="M20" s="1913"/>
      <c r="N20" s="1913"/>
      <c r="O20" s="1913"/>
    </row>
    <row r="21" spans="1:15" ht="12" customHeight="1" x14ac:dyDescent="0.2">
      <c r="A21" s="1542" t="s">
        <v>1515</v>
      </c>
      <c r="B21" s="1543"/>
      <c r="C21" s="1544" t="s">
        <v>2021</v>
      </c>
      <c r="D21" s="1544" t="s">
        <v>2021</v>
      </c>
      <c r="E21" s="1547"/>
      <c r="F21" s="1546" t="s">
        <v>2079</v>
      </c>
      <c r="G21" s="1556"/>
      <c r="H21" s="1556">
        <f t="shared" si="0"/>
        <v>5</v>
      </c>
      <c r="I21" s="1556">
        <f t="shared" si="1"/>
        <v>5</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t="s">
        <v>2021</v>
      </c>
      <c r="D25" s="1544" t="s">
        <v>2021</v>
      </c>
      <c r="E25" s="1547"/>
      <c r="F25" s="1546" t="s">
        <v>2081</v>
      </c>
      <c r="G25" s="1556"/>
      <c r="H25" s="1556">
        <f t="shared" si="0"/>
        <v>5</v>
      </c>
      <c r="I25" s="1556">
        <f t="shared" si="1"/>
        <v>5</v>
      </c>
      <c r="J25" s="1556">
        <f t="shared" si="2"/>
        <v>0</v>
      </c>
      <c r="L25" s="1556"/>
      <c r="M25" s="1913"/>
      <c r="N25" s="1913"/>
      <c r="O25" s="1913"/>
    </row>
    <row r="26" spans="1:15" ht="12" customHeight="1" x14ac:dyDescent="0.2">
      <c r="A26" s="1542" t="s">
        <v>1520</v>
      </c>
      <c r="B26" s="1543"/>
      <c r="C26" s="1544" t="s">
        <v>2021</v>
      </c>
      <c r="D26" s="1544" t="s">
        <v>2021</v>
      </c>
      <c r="E26" s="1547"/>
      <c r="F26" s="1546" t="s">
        <v>2082</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t="s">
        <v>2021</v>
      </c>
      <c r="D28" s="1544" t="s">
        <v>2021</v>
      </c>
      <c r="E28" s="1547"/>
      <c r="F28" s="1546" t="s">
        <v>2083</v>
      </c>
      <c r="G28" s="1556"/>
      <c r="H28" s="1556">
        <f t="shared" si="0"/>
        <v>5</v>
      </c>
      <c r="I28" s="1556">
        <f t="shared" si="1"/>
        <v>5</v>
      </c>
      <c r="J28" s="1556">
        <f t="shared" si="2"/>
        <v>0</v>
      </c>
      <c r="L28" s="1556"/>
      <c r="M28" s="1913"/>
      <c r="N28" s="1913"/>
      <c r="O28" s="1913"/>
    </row>
    <row r="29" spans="1:15" ht="12" customHeight="1" x14ac:dyDescent="0.2">
      <c r="A29" s="1542" t="s">
        <v>1523</v>
      </c>
      <c r="B29" s="1543"/>
      <c r="C29" s="1544" t="s">
        <v>2021</v>
      </c>
      <c r="D29" s="1544" t="s">
        <v>2021</v>
      </c>
      <c r="E29" s="1547"/>
      <c r="F29" s="1546" t="s">
        <v>2081</v>
      </c>
      <c r="G29" s="1556"/>
      <c r="H29" s="1556">
        <f t="shared" si="0"/>
        <v>5</v>
      </c>
      <c r="I29" s="1556">
        <f t="shared" si="1"/>
        <v>5</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t="s">
        <v>2021</v>
      </c>
      <c r="D33" s="1544" t="s">
        <v>2021</v>
      </c>
      <c r="E33" s="1547"/>
      <c r="F33" s="1546" t="s">
        <v>2084</v>
      </c>
      <c r="G33" s="1556"/>
      <c r="H33" s="1556">
        <f t="shared" si="0"/>
        <v>5</v>
      </c>
      <c r="I33" s="1556">
        <f t="shared" si="1"/>
        <v>5</v>
      </c>
      <c r="J33" s="1556">
        <f t="shared" si="2"/>
        <v>0</v>
      </c>
      <c r="L33" s="1556"/>
      <c r="M33" s="1913"/>
      <c r="N33" s="1913"/>
      <c r="O33" s="1913"/>
    </row>
    <row r="34" spans="1:15" ht="12" customHeight="1" x14ac:dyDescent="0.25">
      <c r="A34" s="1548"/>
      <c r="B34" s="1548"/>
      <c r="C34" s="1548"/>
      <c r="D34" s="1548"/>
      <c r="E34" s="1548"/>
      <c r="F34" s="1548"/>
      <c r="G34" s="1556"/>
      <c r="H34" s="1556">
        <f>SUM(H11:H32)</f>
        <v>45</v>
      </c>
      <c r="I34" s="1556">
        <f>SUM(I11:I32)</f>
        <v>45</v>
      </c>
      <c r="J34" s="1556">
        <f>SUM(J11:J32)</f>
        <v>0</v>
      </c>
      <c r="K34" s="1556">
        <f>SUM(H34:J34)</f>
        <v>90</v>
      </c>
      <c r="L34" s="1556"/>
      <c r="M34" s="1913"/>
      <c r="N34" s="1913"/>
      <c r="O34" s="1913"/>
    </row>
    <row r="35" spans="1:15" ht="12" customHeight="1" x14ac:dyDescent="0.2">
      <c r="A35" s="1549" t="s">
        <v>1378</v>
      </c>
      <c r="B35" s="1550"/>
      <c r="C35" s="2478"/>
      <c r="D35" s="2478"/>
      <c r="E35" s="2478"/>
      <c r="F35" s="2479"/>
    </row>
    <row r="36" spans="1:15" ht="12" customHeight="1" x14ac:dyDescent="0.2">
      <c r="A36" s="2469"/>
      <c r="B36" s="2470"/>
      <c r="C36" s="2470"/>
      <c r="D36" s="2470"/>
      <c r="E36" s="2470"/>
      <c r="F36" s="2471"/>
    </row>
    <row r="37" spans="1:15" ht="12" customHeight="1" x14ac:dyDescent="0.2">
      <c r="A37" s="2469"/>
      <c r="B37" s="2470"/>
      <c r="C37" s="2470"/>
      <c r="D37" s="2470"/>
      <c r="E37" s="2470"/>
      <c r="F37" s="2471"/>
    </row>
    <row r="38" spans="1:15" ht="12" customHeight="1" x14ac:dyDescent="0.2">
      <c r="A38" s="2483"/>
      <c r="B38" s="2484"/>
      <c r="C38" s="2484"/>
      <c r="D38" s="2484"/>
      <c r="E38" s="2484"/>
      <c r="F38" s="2485"/>
    </row>
    <row r="39" spans="1:15" ht="4.5" hidden="1" customHeight="1" x14ac:dyDescent="0.2">
      <c r="A39" s="1551"/>
      <c r="B39" s="1551"/>
      <c r="C39" s="1551"/>
      <c r="D39" s="1551"/>
      <c r="E39" s="1551"/>
      <c r="F39" s="1551"/>
    </row>
    <row r="40" spans="1:15" s="1548" customFormat="1" ht="12" customHeight="1" x14ac:dyDescent="0.25">
      <c r="A40" s="1552" t="s">
        <v>1377</v>
      </c>
      <c r="B40" s="1553"/>
      <c r="C40" s="2486"/>
      <c r="D40" s="2486"/>
      <c r="E40" s="2486"/>
      <c r="F40" s="2487"/>
      <c r="H40" s="1557"/>
      <c r="I40" s="1557"/>
      <c r="J40" s="1557"/>
      <c r="K40" s="1557"/>
    </row>
    <row r="41" spans="1:15" s="1548" customFormat="1" ht="12" customHeight="1" x14ac:dyDescent="0.25">
      <c r="A41" s="2488" t="s">
        <v>2085</v>
      </c>
      <c r="B41" s="2489"/>
      <c r="C41" s="2489"/>
      <c r="D41" s="2489"/>
      <c r="E41" s="2489"/>
      <c r="F41" s="2490"/>
      <c r="H41" s="1557"/>
      <c r="I41" s="1557"/>
      <c r="J41" s="1557"/>
      <c r="K41" s="1557"/>
    </row>
    <row r="42" spans="1:15" s="1548" customFormat="1" ht="12" customHeight="1" x14ac:dyDescent="0.25">
      <c r="A42" s="2488" t="s">
        <v>2086</v>
      </c>
      <c r="B42" s="2489"/>
      <c r="C42" s="2489"/>
      <c r="D42" s="2489"/>
      <c r="E42" s="2489"/>
      <c r="F42" s="2490"/>
      <c r="H42" s="1557"/>
      <c r="I42" s="1557"/>
      <c r="J42" s="1557"/>
      <c r="K42" s="1557"/>
    </row>
    <row r="43" spans="1:15" s="1548" customFormat="1" ht="15" x14ac:dyDescent="0.25">
      <c r="A43" s="2480" t="s">
        <v>2087</v>
      </c>
      <c r="B43" s="2481"/>
      <c r="C43" s="2481"/>
      <c r="D43" s="2481"/>
      <c r="E43" s="2481"/>
      <c r="F43" s="2482"/>
      <c r="H43" s="1557"/>
      <c r="I43" s="1557"/>
      <c r="J43" s="1557"/>
      <c r="K43" s="1557"/>
    </row>
    <row r="44" spans="1:15" s="1548" customFormat="1" ht="12" hidden="1" customHeight="1" x14ac:dyDescent="0.25">
      <c r="A44" s="2480"/>
      <c r="B44" s="2481"/>
      <c r="C44" s="2481"/>
      <c r="D44" s="2481"/>
      <c r="E44" s="2481"/>
      <c r="F44" s="2482"/>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colorId="8" zoomScaleNormal="100" workbookViewId="0">
      <selection activeCell="N28" sqref="N28"/>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6" t="str">
        <f>COVER!A17</f>
        <v xml:space="preserve"> Kankakee Area Special Ed Co-op</v>
      </c>
      <c r="J6" s="2497"/>
      <c r="K6" s="2498"/>
      <c r="R6" s="1427"/>
    </row>
    <row r="7" spans="1:18" x14ac:dyDescent="0.2">
      <c r="A7" s="2499" t="s">
        <v>864</v>
      </c>
      <c r="B7" s="2500"/>
      <c r="C7" s="2500"/>
      <c r="D7" s="2500"/>
      <c r="E7" s="2501"/>
      <c r="F7" s="847"/>
      <c r="G7" s="839"/>
      <c r="H7" s="846" t="s">
        <v>369</v>
      </c>
      <c r="I7" s="2502">
        <f>COVER!A13</f>
        <v>32046850060</v>
      </c>
      <c r="J7" s="2502"/>
      <c r="K7" s="2502"/>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3" t="s">
        <v>478</v>
      </c>
      <c r="B11" s="2504"/>
      <c r="C11" s="2505"/>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157102</v>
      </c>
      <c r="F12" s="1864"/>
      <c r="G12" s="1863">
        <f t="shared" ref="G12:G18" si="0">SUM(E12:F12)</f>
        <v>157102</v>
      </c>
      <c r="H12" s="1865"/>
      <c r="I12" s="1864"/>
      <c r="J12" s="1865"/>
      <c r="K12" s="1863">
        <f t="shared" ref="K12:K18" si="1">SUM(H12:J12)</f>
        <v>0</v>
      </c>
    </row>
    <row r="13" spans="1:18" ht="15" customHeight="1" x14ac:dyDescent="0.2">
      <c r="A13" s="863">
        <v>2</v>
      </c>
      <c r="B13" s="864" t="s">
        <v>42</v>
      </c>
      <c r="C13" s="865"/>
      <c r="D13" s="866">
        <v>2330</v>
      </c>
      <c r="E13" s="1863">
        <f>'Expenditures 15-22'!K51</f>
        <v>58338</v>
      </c>
      <c r="F13" s="1864"/>
      <c r="G13" s="1863">
        <f t="shared" si="0"/>
        <v>58338</v>
      </c>
      <c r="H13" s="1865"/>
      <c r="I13" s="1864"/>
      <c r="J13" s="1865"/>
      <c r="K13" s="1863">
        <f t="shared" si="1"/>
        <v>0</v>
      </c>
    </row>
    <row r="14" spans="1:18" ht="15" customHeight="1" x14ac:dyDescent="0.2">
      <c r="A14" s="863">
        <v>3</v>
      </c>
      <c r="B14" s="864" t="s">
        <v>43</v>
      </c>
      <c r="C14" s="865"/>
      <c r="D14" s="867">
        <v>2490</v>
      </c>
      <c r="E14" s="1863">
        <f>'Expenditures 15-22'!K56</f>
        <v>35313</v>
      </c>
      <c r="F14" s="1864"/>
      <c r="G14" s="1863">
        <f t="shared" si="0"/>
        <v>35313</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6" t="s">
        <v>7</v>
      </c>
      <c r="C18" s="2507"/>
      <c r="D18" s="2508"/>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250753</v>
      </c>
      <c r="F19" s="1868">
        <f t="shared" si="2"/>
        <v>0</v>
      </c>
      <c r="G19" s="1868">
        <f t="shared" si="2"/>
        <v>250753</v>
      </c>
      <c r="H19" s="1868">
        <f t="shared" si="2"/>
        <v>0</v>
      </c>
      <c r="I19" s="1868">
        <f t="shared" si="2"/>
        <v>0</v>
      </c>
      <c r="J19" s="1868">
        <f t="shared" si="2"/>
        <v>0</v>
      </c>
      <c r="K19" s="1868">
        <f t="shared" si="2"/>
        <v>0</v>
      </c>
    </row>
    <row r="20" spans="1:11" ht="13.5" thickTop="1" x14ac:dyDescent="0.2">
      <c r="A20" s="863">
        <v>9</v>
      </c>
      <c r="B20" s="2509" t="str">
        <f>"Percent Increase (Decrease) for FY"&amp;'AFR20'!E2+1&amp;" (Budgeted) over FY"&amp;'AFR20'!E2&amp;" (Actual)"</f>
        <v>Percent Increase (Decrease) for FY2021 (Budgeted) over FY2020 (Actual)</v>
      </c>
      <c r="C20" s="2509"/>
      <c r="D20" s="2510"/>
      <c r="E20" s="1869"/>
      <c r="F20" s="1869"/>
      <c r="G20" s="1869"/>
      <c r="H20" s="1869"/>
      <c r="I20" s="1869"/>
      <c r="J20" s="1978"/>
      <c r="K20" s="1870" t="str">
        <f>IF(AND(G19&gt;0,K19&gt;0),(((K19-G19)/G19)),"Enter Budget Data")</f>
        <v>Enter Budget Data</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5"/>
      <c r="D26" s="2515"/>
      <c r="E26" s="874"/>
      <c r="F26" s="2514"/>
      <c r="G26" s="2514"/>
    </row>
    <row r="27" spans="1:11" x14ac:dyDescent="0.2">
      <c r="B27" s="871"/>
      <c r="C27" s="875" t="s">
        <v>1026</v>
      </c>
      <c r="D27" s="876"/>
      <c r="E27" s="877"/>
      <c r="F27" s="2511" t="s">
        <v>1495</v>
      </c>
      <c r="G27" s="2511"/>
    </row>
    <row r="28" spans="1:11" ht="28.5" customHeight="1" x14ac:dyDescent="0.2">
      <c r="B28" s="871"/>
      <c r="C28" s="2513"/>
      <c r="D28" s="2513"/>
      <c r="E28" s="878"/>
      <c r="F28" s="2513"/>
      <c r="G28" s="2513"/>
    </row>
    <row r="29" spans="1:11" x14ac:dyDescent="0.2">
      <c r="B29" s="871"/>
      <c r="C29" s="879" t="s">
        <v>1547</v>
      </c>
      <c r="E29" s="880"/>
      <c r="F29" s="2512" t="s">
        <v>1496</v>
      </c>
      <c r="G29" s="2512"/>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4"/>
      <c r="E33" s="2494"/>
      <c r="F33" s="2494"/>
      <c r="G33" s="2494"/>
      <c r="H33" s="2494"/>
      <c r="I33" s="2494"/>
      <c r="J33" s="1976"/>
    </row>
    <row r="34" spans="1:11" ht="10.35" customHeight="1" x14ac:dyDescent="0.2">
      <c r="C34" s="2494"/>
      <c r="D34" s="2494"/>
      <c r="E34" s="2494"/>
      <c r="F34" s="2494"/>
      <c r="G34" s="2494"/>
      <c r="H34" s="2494"/>
      <c r="I34" s="2494"/>
      <c r="J34" s="1976"/>
    </row>
    <row r="35" spans="1:11" ht="7.5" customHeight="1" x14ac:dyDescent="0.2">
      <c r="C35" s="886"/>
    </row>
    <row r="36" spans="1:11" ht="13.5" customHeight="1" x14ac:dyDescent="0.2">
      <c r="B36" s="885"/>
      <c r="C36" s="249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4"/>
      <c r="E36" s="2494"/>
      <c r="F36" s="2494"/>
      <c r="G36" s="2494"/>
      <c r="H36" s="2494"/>
      <c r="I36" s="2494"/>
      <c r="J36" s="1976"/>
      <c r="K36" s="887"/>
    </row>
    <row r="37" spans="1:11" ht="22.5" customHeight="1" x14ac:dyDescent="0.2">
      <c r="C37" s="2494"/>
      <c r="D37" s="2494"/>
      <c r="E37" s="2494"/>
      <c r="F37" s="2494"/>
      <c r="G37" s="2494"/>
      <c r="H37" s="2494"/>
      <c r="I37" s="2494"/>
      <c r="J37" s="1976"/>
      <c r="K37" s="887"/>
    </row>
    <row r="38" spans="1:11" ht="7.5" customHeight="1" x14ac:dyDescent="0.2">
      <c r="C38" s="886"/>
      <c r="D38" s="888"/>
      <c r="E38" s="889"/>
      <c r="F38" s="890"/>
      <c r="G38" s="889"/>
    </row>
    <row r="39" spans="1:11" ht="13.5" customHeight="1" x14ac:dyDescent="0.2">
      <c r="B39" s="885"/>
      <c r="C39" s="2491" t="str">
        <f>"The district will amend their budget to become in compliance with the limitation."</f>
        <v>The district will amend their budget to become in compliance with the limitation.</v>
      </c>
      <c r="D39" s="2492"/>
      <c r="E39" s="2492"/>
      <c r="F39" s="2492"/>
      <c r="G39" s="2492"/>
      <c r="H39" s="2492"/>
      <c r="I39" s="2492"/>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057B7-CD05-4F92-B4BE-8564226FAB6B}">
  <sheetPr>
    <tabColor rgb="FF92D050"/>
    <pageSetUpPr fitToPage="1"/>
  </sheetPr>
  <dimension ref="A1:N72"/>
  <sheetViews>
    <sheetView showGridLines="0" zoomScaleNormal="100" workbookViewId="0">
      <selection activeCell="E65" sqref="E65"/>
    </sheetView>
  </sheetViews>
  <sheetFormatPr defaultRowHeight="15" x14ac:dyDescent="0.25"/>
  <cols>
    <col min="1" max="1" width="2.7109375" style="1990" customWidth="1"/>
    <col min="2" max="2" width="3" style="1990" customWidth="1"/>
    <col min="3" max="3" width="38" style="1990" customWidth="1"/>
    <col min="4" max="4" width="7.7109375" style="1990" customWidth="1"/>
    <col min="5" max="5" width="10.7109375" style="1990" customWidth="1"/>
    <col min="6" max="6" width="11" style="1990" customWidth="1"/>
    <col min="7" max="8" width="9.140625" style="1990"/>
    <col min="9" max="9" width="10.85546875" style="1990" customWidth="1"/>
    <col min="10" max="10" width="12.42578125" style="1990" customWidth="1"/>
    <col min="11" max="11" width="9.140625" style="1990"/>
    <col min="12" max="12" width="13.140625" style="1990" customWidth="1"/>
    <col min="13" max="13" width="9.140625" style="1990"/>
    <col min="14" max="14" width="17.85546875" style="1990" customWidth="1"/>
    <col min="15" max="16384" width="9.140625" style="1990"/>
  </cols>
  <sheetData>
    <row r="1" spans="1:14" x14ac:dyDescent="0.25">
      <c r="A1" s="2106"/>
      <c r="B1" s="2103"/>
      <c r="C1" s="2103"/>
      <c r="D1" s="2103"/>
      <c r="E1" s="2103"/>
      <c r="F1" s="2103"/>
      <c r="G1" s="2105" t="s">
        <v>402</v>
      </c>
      <c r="H1" s="2104"/>
      <c r="I1" s="2103"/>
      <c r="J1" s="2103"/>
      <c r="K1" s="2103"/>
      <c r="L1" s="2103"/>
      <c r="M1" s="2103"/>
      <c r="N1" s="2102"/>
    </row>
    <row r="2" spans="1:14" x14ac:dyDescent="0.25">
      <c r="A2" s="2035"/>
      <c r="B2" s="899"/>
      <c r="C2" s="899"/>
      <c r="D2" s="899"/>
      <c r="E2" s="899"/>
      <c r="F2" s="899"/>
      <c r="G2" s="1988" t="s">
        <v>2005</v>
      </c>
      <c r="H2" s="2101"/>
      <c r="I2" s="899"/>
      <c r="J2" s="899"/>
      <c r="K2" s="899"/>
      <c r="L2" s="899"/>
      <c r="M2" s="899"/>
      <c r="N2" s="2034"/>
    </row>
    <row r="3" spans="1:14" x14ac:dyDescent="0.25">
      <c r="A3" s="2035"/>
      <c r="B3" s="899"/>
      <c r="C3" s="899"/>
      <c r="D3" s="899"/>
      <c r="E3" s="899"/>
      <c r="F3" s="899"/>
      <c r="G3" s="1988" t="s">
        <v>403</v>
      </c>
      <c r="H3" s="899"/>
      <c r="I3" s="899"/>
      <c r="J3" s="899"/>
      <c r="K3" s="899"/>
      <c r="L3" s="899"/>
      <c r="M3" s="899"/>
      <c r="N3" s="2034"/>
    </row>
    <row r="4" spans="1:14" x14ac:dyDescent="0.25">
      <c r="A4" s="2035"/>
      <c r="B4" s="899"/>
      <c r="C4" s="899"/>
      <c r="D4" s="899"/>
      <c r="E4" s="899"/>
      <c r="F4" s="899"/>
      <c r="G4" s="1988" t="s">
        <v>863</v>
      </c>
      <c r="H4" s="899"/>
      <c r="I4" s="899"/>
      <c r="J4" s="899"/>
      <c r="K4" s="899"/>
      <c r="L4" s="899"/>
      <c r="M4" s="899"/>
      <c r="N4" s="2034"/>
    </row>
    <row r="5" spans="1:14" x14ac:dyDescent="0.25">
      <c r="A5" s="2035"/>
      <c r="B5" s="899"/>
      <c r="C5" s="899"/>
      <c r="D5" s="899"/>
      <c r="E5" s="899"/>
      <c r="F5" s="1988"/>
      <c r="G5" s="1988"/>
      <c r="H5" s="899"/>
      <c r="I5" s="899"/>
      <c r="J5" s="899"/>
      <c r="K5" s="899"/>
      <c r="L5" s="899"/>
      <c r="M5" s="899"/>
      <c r="N5" s="2034"/>
    </row>
    <row r="6" spans="1:14" x14ac:dyDescent="0.25">
      <c r="A6" s="2100" t="s">
        <v>667</v>
      </c>
      <c r="B6" s="1422"/>
      <c r="C6" s="1422"/>
      <c r="D6" s="1422"/>
      <c r="E6" s="1423"/>
      <c r="F6" s="2099"/>
      <c r="G6" s="1988"/>
      <c r="H6" s="899"/>
      <c r="I6" s="2023" t="s">
        <v>1021</v>
      </c>
      <c r="J6" s="2557" t="str">
        <f>COVER!A17</f>
        <v xml:space="preserve"> Kankakee Area Special Ed Co-op</v>
      </c>
      <c r="K6" s="2558"/>
      <c r="L6" s="2559"/>
      <c r="M6" s="899"/>
      <c r="N6" s="2034"/>
    </row>
    <row r="7" spans="1:14" x14ac:dyDescent="0.25">
      <c r="A7" s="2560" t="s">
        <v>864</v>
      </c>
      <c r="B7" s="2561"/>
      <c r="C7" s="2561"/>
      <c r="D7" s="2561"/>
      <c r="E7" s="2562"/>
      <c r="F7" s="2098"/>
      <c r="G7" s="899"/>
      <c r="H7" s="899"/>
      <c r="I7" s="2023" t="s">
        <v>369</v>
      </c>
      <c r="J7" s="2563">
        <f>COVER!A13</f>
        <v>32046850060</v>
      </c>
      <c r="K7" s="2563"/>
      <c r="L7" s="2563"/>
      <c r="M7" s="899"/>
      <c r="N7" s="2034"/>
    </row>
    <row r="8" spans="1:14" x14ac:dyDescent="0.25">
      <c r="A8" s="2097"/>
      <c r="B8" s="2096"/>
      <c r="C8" s="2096"/>
      <c r="D8" s="2096"/>
      <c r="E8" s="2095"/>
      <c r="F8" s="2094"/>
      <c r="G8" s="2093"/>
      <c r="H8" s="2093"/>
      <c r="I8" s="2093"/>
      <c r="J8" s="2093"/>
      <c r="K8" s="2093"/>
      <c r="L8" s="2093"/>
      <c r="M8" s="899"/>
      <c r="N8" s="2034"/>
    </row>
    <row r="9" spans="1:14" x14ac:dyDescent="0.25">
      <c r="A9" s="2092"/>
      <c r="B9" s="2091"/>
      <c r="C9" s="2091"/>
      <c r="D9" s="2090"/>
      <c r="E9" s="2089" t="s">
        <v>2077</v>
      </c>
      <c r="F9" s="2087"/>
      <c r="G9" s="2087"/>
      <c r="H9" s="2087"/>
      <c r="I9" s="2088" t="s">
        <v>2076</v>
      </c>
      <c r="J9" s="2087"/>
      <c r="K9" s="2087"/>
      <c r="L9" s="2086"/>
      <c r="M9" s="899"/>
      <c r="N9" s="2034"/>
    </row>
    <row r="10" spans="1:14" x14ac:dyDescent="0.25">
      <c r="A10" s="2035"/>
      <c r="B10" s="899"/>
      <c r="C10" s="1988"/>
      <c r="D10" s="2085"/>
      <c r="E10" s="2084" t="s">
        <v>422</v>
      </c>
      <c r="F10" s="2081" t="s">
        <v>423</v>
      </c>
      <c r="G10" s="2082" t="s">
        <v>429</v>
      </c>
      <c r="H10" s="2083"/>
      <c r="I10" s="2081" t="s">
        <v>422</v>
      </c>
      <c r="J10" s="2081" t="s">
        <v>423</v>
      </c>
      <c r="K10" s="2082" t="s">
        <v>429</v>
      </c>
      <c r="L10" s="2081"/>
      <c r="M10" s="899"/>
      <c r="N10" s="2034"/>
    </row>
    <row r="11" spans="1:14" ht="51" x14ac:dyDescent="0.25">
      <c r="A11" s="2564" t="s">
        <v>478</v>
      </c>
      <c r="B11" s="2565"/>
      <c r="C11" s="2566"/>
      <c r="D11" s="2080" t="s">
        <v>866</v>
      </c>
      <c r="E11" s="2080" t="s">
        <v>64</v>
      </c>
      <c r="F11" s="2080" t="s">
        <v>6</v>
      </c>
      <c r="G11" s="2079" t="s">
        <v>2075</v>
      </c>
      <c r="H11" s="2078" t="s">
        <v>155</v>
      </c>
      <c r="I11" s="2080" t="s">
        <v>64</v>
      </c>
      <c r="J11" s="2080" t="s">
        <v>6</v>
      </c>
      <c r="K11" s="2079" t="s">
        <v>2004</v>
      </c>
      <c r="L11" s="2078" t="s">
        <v>155</v>
      </c>
      <c r="M11" s="899"/>
      <c r="N11" s="2034"/>
    </row>
    <row r="12" spans="1:14" x14ac:dyDescent="0.25">
      <c r="A12" s="2064">
        <v>1</v>
      </c>
      <c r="B12" s="2076" t="s">
        <v>813</v>
      </c>
      <c r="C12" s="2075"/>
      <c r="D12" s="2074">
        <v>2320</v>
      </c>
      <c r="E12" s="2073">
        <f>'Expenditures 15-22'!K50</f>
        <v>157102</v>
      </c>
      <c r="F12" s="2071"/>
      <c r="G12" s="2072">
        <f>G68</f>
        <v>0</v>
      </c>
      <c r="H12" s="2068">
        <f t="shared" ref="H12:H18" si="0">SUM(E12:G12)</f>
        <v>157102</v>
      </c>
      <c r="I12" s="2069"/>
      <c r="J12" s="2071"/>
      <c r="K12" s="2069"/>
      <c r="L12" s="2068">
        <f t="shared" ref="L12:L18" si="1">SUM(I12:K12)</f>
        <v>0</v>
      </c>
      <c r="M12" s="899"/>
      <c r="N12" s="2034"/>
    </row>
    <row r="13" spans="1:14" x14ac:dyDescent="0.25">
      <c r="A13" s="2064">
        <v>2</v>
      </c>
      <c r="B13" s="2076" t="s">
        <v>42</v>
      </c>
      <c r="C13" s="2075"/>
      <c r="D13" s="2074">
        <v>2330</v>
      </c>
      <c r="E13" s="2073">
        <f>'Expenditures 15-22'!K51</f>
        <v>58338</v>
      </c>
      <c r="F13" s="2071"/>
      <c r="G13" s="2072">
        <f>H68</f>
        <v>0</v>
      </c>
      <c r="H13" s="2068">
        <f t="shared" si="0"/>
        <v>58338</v>
      </c>
      <c r="I13" s="2069"/>
      <c r="J13" s="2071"/>
      <c r="K13" s="2069"/>
      <c r="L13" s="2068">
        <f t="shared" si="1"/>
        <v>0</v>
      </c>
      <c r="M13" s="899"/>
      <c r="N13" s="2034"/>
    </row>
    <row r="14" spans="1:14" x14ac:dyDescent="0.25">
      <c r="A14" s="2064">
        <v>3</v>
      </c>
      <c r="B14" s="2076" t="s">
        <v>43</v>
      </c>
      <c r="C14" s="2075"/>
      <c r="D14" s="2077">
        <v>2490</v>
      </c>
      <c r="E14" s="2073">
        <f>'Expenditures 15-22'!K56</f>
        <v>35313</v>
      </c>
      <c r="F14" s="2071"/>
      <c r="G14" s="2072">
        <f>I68</f>
        <v>0</v>
      </c>
      <c r="H14" s="2068">
        <f t="shared" si="0"/>
        <v>35313</v>
      </c>
      <c r="I14" s="2069"/>
      <c r="J14" s="2071"/>
      <c r="K14" s="2069"/>
      <c r="L14" s="2068">
        <f t="shared" si="1"/>
        <v>0</v>
      </c>
      <c r="M14" s="899"/>
      <c r="N14" s="2034"/>
    </row>
    <row r="15" spans="1:14" x14ac:dyDescent="0.25">
      <c r="A15" s="2064">
        <v>4</v>
      </c>
      <c r="B15" s="2076" t="s">
        <v>1061</v>
      </c>
      <c r="C15" s="2075"/>
      <c r="D15" s="2074">
        <v>2510</v>
      </c>
      <c r="E15" s="2073">
        <f>'Expenditures 15-22'!K59</f>
        <v>0</v>
      </c>
      <c r="F15" s="2073">
        <f>'Expenditures 15-22'!K122</f>
        <v>0</v>
      </c>
      <c r="G15" s="2072">
        <f>J68</f>
        <v>0</v>
      </c>
      <c r="H15" s="2068">
        <f t="shared" si="0"/>
        <v>0</v>
      </c>
      <c r="I15" s="2069"/>
      <c r="J15" s="2069"/>
      <c r="K15" s="2069"/>
      <c r="L15" s="2068">
        <f t="shared" si="1"/>
        <v>0</v>
      </c>
      <c r="M15" s="899"/>
      <c r="N15" s="2034"/>
    </row>
    <row r="16" spans="1:14" x14ac:dyDescent="0.25">
      <c r="A16" s="2064">
        <v>5</v>
      </c>
      <c r="B16" s="2076" t="s">
        <v>101</v>
      </c>
      <c r="C16" s="2075"/>
      <c r="D16" s="2074">
        <v>2570</v>
      </c>
      <c r="E16" s="2073">
        <f>'Expenditures 15-22'!K64</f>
        <v>0</v>
      </c>
      <c r="F16" s="2071"/>
      <c r="G16" s="2072">
        <f>K68</f>
        <v>0</v>
      </c>
      <c r="H16" s="2068">
        <f t="shared" si="0"/>
        <v>0</v>
      </c>
      <c r="I16" s="2069"/>
      <c r="J16" s="2071"/>
      <c r="K16" s="2069"/>
      <c r="L16" s="2068">
        <f t="shared" si="1"/>
        <v>0</v>
      </c>
      <c r="M16" s="899"/>
      <c r="N16" s="2034"/>
    </row>
    <row r="17" spans="1:14" x14ac:dyDescent="0.25">
      <c r="A17" s="2064">
        <v>6</v>
      </c>
      <c r="B17" s="2076" t="s">
        <v>1053</v>
      </c>
      <c r="C17" s="2075"/>
      <c r="D17" s="2074">
        <v>2610</v>
      </c>
      <c r="E17" s="2073">
        <f>'Expenditures 15-22'!K67</f>
        <v>0</v>
      </c>
      <c r="F17" s="2071"/>
      <c r="G17" s="2072">
        <f>L68</f>
        <v>0</v>
      </c>
      <c r="H17" s="2068">
        <f t="shared" si="0"/>
        <v>0</v>
      </c>
      <c r="I17" s="2069"/>
      <c r="J17" s="2071"/>
      <c r="K17" s="2069"/>
      <c r="L17" s="2068">
        <f t="shared" si="1"/>
        <v>0</v>
      </c>
      <c r="M17" s="899"/>
      <c r="N17" s="2034"/>
    </row>
    <row r="18" spans="1:14" ht="28.5" customHeight="1" x14ac:dyDescent="0.25">
      <c r="A18" s="2070">
        <v>7</v>
      </c>
      <c r="B18" s="2507" t="s">
        <v>7</v>
      </c>
      <c r="C18" s="2507"/>
      <c r="D18" s="2508"/>
      <c r="E18" s="2069"/>
      <c r="F18" s="2069"/>
      <c r="G18" s="2069"/>
      <c r="H18" s="2068">
        <f t="shared" si="0"/>
        <v>0</v>
      </c>
      <c r="I18" s="2069"/>
      <c r="J18" s="2069"/>
      <c r="K18" s="2069"/>
      <c r="L18" s="2068">
        <f t="shared" si="1"/>
        <v>0</v>
      </c>
      <c r="M18" s="899"/>
      <c r="N18" s="2034"/>
    </row>
    <row r="19" spans="1:14" ht="15.75" thickBot="1" x14ac:dyDescent="0.3">
      <c r="A19" s="2064">
        <v>8</v>
      </c>
      <c r="B19" s="2067" t="s">
        <v>1153</v>
      </c>
      <c r="C19" s="899"/>
      <c r="D19" s="2066"/>
      <c r="E19" s="2065">
        <f t="shared" ref="E19:L19" si="2">SUM(E12:E17)-E18</f>
        <v>250753</v>
      </c>
      <c r="F19" s="2065">
        <f t="shared" si="2"/>
        <v>0</v>
      </c>
      <c r="G19" s="2065">
        <f t="shared" si="2"/>
        <v>0</v>
      </c>
      <c r="H19" s="2065">
        <f t="shared" si="2"/>
        <v>250753</v>
      </c>
      <c r="I19" s="2065">
        <f t="shared" si="2"/>
        <v>0</v>
      </c>
      <c r="J19" s="2065">
        <f t="shared" si="2"/>
        <v>0</v>
      </c>
      <c r="K19" s="2065">
        <f t="shared" si="2"/>
        <v>0</v>
      </c>
      <c r="L19" s="2065">
        <f t="shared" si="2"/>
        <v>0</v>
      </c>
      <c r="M19" s="899"/>
      <c r="N19" s="2034"/>
    </row>
    <row r="20" spans="1:14" ht="15.75" thickTop="1" x14ac:dyDescent="0.25">
      <c r="A20" s="2064">
        <v>9</v>
      </c>
      <c r="B20" s="2552" t="s">
        <v>2074</v>
      </c>
      <c r="C20" s="2552"/>
      <c r="D20" s="2553"/>
      <c r="E20" s="2063"/>
      <c r="F20" s="2063"/>
      <c r="G20" s="2063"/>
      <c r="H20" s="2063"/>
      <c r="I20" s="2063"/>
      <c r="J20" s="2063"/>
      <c r="K20" s="2063"/>
      <c r="L20" s="2062" t="str">
        <f>IF(AND(H19&gt;0,L19&gt;0),(((L19-H19)/H19)),"Enter Budget Data")</f>
        <v>Enter Budget Data</v>
      </c>
      <c r="M20" s="899"/>
      <c r="N20" s="2034"/>
    </row>
    <row r="21" spans="1:14" x14ac:dyDescent="0.25">
      <c r="A21" s="2061" t="s">
        <v>194</v>
      </c>
      <c r="B21" s="294" t="s">
        <v>2073</v>
      </c>
      <c r="C21" s="899"/>
      <c r="D21" s="2045"/>
      <c r="E21" s="2044"/>
      <c r="F21" s="2060"/>
      <c r="G21" s="2060"/>
      <c r="H21" s="2060"/>
      <c r="I21" s="2060"/>
      <c r="J21" s="2060"/>
      <c r="K21" s="2060"/>
      <c r="L21" s="2059"/>
      <c r="M21" s="899"/>
      <c r="N21" s="2034"/>
    </row>
    <row r="22" spans="1:14" x14ac:dyDescent="0.25">
      <c r="A22" s="2035"/>
      <c r="B22" s="2047"/>
      <c r="C22" s="899"/>
      <c r="D22" s="899"/>
      <c r="E22" s="899"/>
      <c r="F22" s="899"/>
      <c r="G22" s="899"/>
      <c r="H22" s="899"/>
      <c r="I22" s="899"/>
      <c r="J22" s="899"/>
      <c r="K22" s="899"/>
      <c r="L22" s="899"/>
      <c r="M22" s="899"/>
      <c r="N22" s="2034"/>
    </row>
    <row r="23" spans="1:14" x14ac:dyDescent="0.25">
      <c r="A23" s="2058" t="s">
        <v>132</v>
      </c>
      <c r="B23" s="2047"/>
      <c r="C23" s="899"/>
      <c r="D23" s="899"/>
      <c r="E23" s="899"/>
      <c r="F23" s="899"/>
      <c r="G23" s="899"/>
      <c r="H23" s="899"/>
      <c r="I23" s="899"/>
      <c r="J23" s="899"/>
      <c r="K23" s="899"/>
      <c r="L23" s="899"/>
      <c r="M23" s="899"/>
      <c r="N23" s="2034"/>
    </row>
    <row r="24" spans="1:14" x14ac:dyDescent="0.25">
      <c r="A24" s="2057" t="s">
        <v>2072</v>
      </c>
      <c r="B24" s="2056"/>
      <c r="C24" s="2055"/>
      <c r="D24" s="2055"/>
      <c r="E24" s="2055"/>
      <c r="F24" s="2055"/>
      <c r="G24" s="2055"/>
      <c r="H24" s="2055"/>
      <c r="I24" s="2055"/>
      <c r="J24" s="2055"/>
      <c r="K24" s="2055"/>
      <c r="L24" s="899"/>
      <c r="M24" s="899"/>
      <c r="N24" s="2034"/>
    </row>
    <row r="25" spans="1:14" x14ac:dyDescent="0.25">
      <c r="A25" s="2057" t="s">
        <v>2071</v>
      </c>
      <c r="B25" s="2056"/>
      <c r="C25" s="2055"/>
      <c r="D25" s="2055"/>
      <c r="E25" s="2055"/>
      <c r="F25" s="2055"/>
      <c r="G25" s="2055"/>
      <c r="H25" s="2055"/>
      <c r="I25" s="2055"/>
      <c r="J25" s="2055"/>
      <c r="K25" s="2055"/>
      <c r="L25" s="899"/>
      <c r="M25" s="899"/>
      <c r="N25" s="2034"/>
    </row>
    <row r="26" spans="1:14" x14ac:dyDescent="0.25">
      <c r="A26" s="2054"/>
      <c r="B26" s="2047"/>
      <c r="C26" s="899"/>
      <c r="D26" s="899"/>
      <c r="E26" s="899"/>
      <c r="F26" s="899"/>
      <c r="G26" s="899"/>
      <c r="H26" s="899"/>
      <c r="I26" s="899"/>
      <c r="J26" s="899"/>
      <c r="K26" s="899"/>
      <c r="L26" s="899"/>
      <c r="M26" s="899"/>
      <c r="N26" s="2034"/>
    </row>
    <row r="27" spans="1:14" x14ac:dyDescent="0.25">
      <c r="A27" s="2035"/>
      <c r="B27" s="2047"/>
      <c r="C27" s="2554"/>
      <c r="D27" s="2554"/>
      <c r="E27" s="2053"/>
      <c r="F27" s="2514"/>
      <c r="G27" s="2514"/>
      <c r="H27" s="2514"/>
      <c r="I27" s="899"/>
      <c r="J27" s="899"/>
      <c r="K27" s="899"/>
      <c r="L27" s="899"/>
      <c r="M27" s="899"/>
      <c r="N27" s="2034"/>
    </row>
    <row r="28" spans="1:14" x14ac:dyDescent="0.25">
      <c r="A28" s="2035"/>
      <c r="B28" s="2047"/>
      <c r="C28" s="2052" t="s">
        <v>1026</v>
      </c>
      <c r="D28" s="2051"/>
      <c r="E28" s="2050"/>
      <c r="F28" s="2555" t="s">
        <v>1495</v>
      </c>
      <c r="G28" s="2555"/>
      <c r="H28" s="2555"/>
      <c r="I28" s="899"/>
      <c r="J28" s="899"/>
      <c r="K28" s="899"/>
      <c r="L28" s="899"/>
      <c r="M28" s="899"/>
      <c r="N28" s="2034"/>
    </row>
    <row r="29" spans="1:14" x14ac:dyDescent="0.25">
      <c r="A29" s="2035"/>
      <c r="B29" s="2047"/>
      <c r="C29" s="2556"/>
      <c r="D29" s="2556"/>
      <c r="E29" s="898"/>
      <c r="F29" s="2556"/>
      <c r="G29" s="2556"/>
      <c r="H29" s="2556"/>
      <c r="I29" s="899"/>
      <c r="J29" s="899"/>
      <c r="K29" s="899"/>
      <c r="L29" s="899"/>
      <c r="M29" s="899"/>
      <c r="N29" s="2034"/>
    </row>
    <row r="30" spans="1:14" x14ac:dyDescent="0.25">
      <c r="A30" s="2035"/>
      <c r="B30" s="2047"/>
      <c r="C30" s="2049" t="s">
        <v>1547</v>
      </c>
      <c r="D30" s="899"/>
      <c r="E30" s="2048"/>
      <c r="F30" s="2548" t="s">
        <v>1496</v>
      </c>
      <c r="G30" s="2548"/>
      <c r="H30" s="2548"/>
      <c r="I30" s="899"/>
      <c r="J30" s="899"/>
      <c r="K30" s="899"/>
      <c r="L30" s="899"/>
      <c r="M30" s="899"/>
      <c r="N30" s="2034"/>
    </row>
    <row r="31" spans="1:14" x14ac:dyDescent="0.25">
      <c r="A31" s="2035"/>
      <c r="B31" s="2047"/>
      <c r="C31" s="2046"/>
      <c r="D31" s="899"/>
      <c r="E31" s="2045"/>
      <c r="F31" s="2044"/>
      <c r="G31" s="2044"/>
      <c r="H31" s="2044"/>
      <c r="I31" s="899"/>
      <c r="J31" s="899"/>
      <c r="K31" s="899"/>
      <c r="L31" s="899"/>
      <c r="M31" s="899"/>
      <c r="N31" s="2034"/>
    </row>
    <row r="32" spans="1:14" x14ac:dyDescent="0.25">
      <c r="A32" s="2035"/>
      <c r="B32" s="2043" t="s">
        <v>1027</v>
      </c>
      <c r="C32" s="899"/>
      <c r="D32" s="899"/>
      <c r="E32" s="899"/>
      <c r="F32" s="899"/>
      <c r="G32" s="899"/>
      <c r="H32" s="899"/>
      <c r="I32" s="899"/>
      <c r="J32" s="899"/>
      <c r="K32" s="899"/>
      <c r="L32" s="899"/>
      <c r="M32" s="899"/>
      <c r="N32" s="2034"/>
    </row>
    <row r="33" spans="1:14" x14ac:dyDescent="0.25">
      <c r="A33" s="2035"/>
      <c r="B33" s="2042"/>
      <c r="C33" s="899"/>
      <c r="D33" s="899"/>
      <c r="E33" s="899"/>
      <c r="F33" s="899"/>
      <c r="G33" s="899"/>
      <c r="H33" s="899"/>
      <c r="I33" s="899"/>
      <c r="J33" s="899"/>
      <c r="K33" s="899"/>
      <c r="L33" s="899"/>
      <c r="M33" s="899"/>
      <c r="N33" s="2034"/>
    </row>
    <row r="34" spans="1:14" x14ac:dyDescent="0.25">
      <c r="A34" s="2035"/>
      <c r="B34" s="2037"/>
      <c r="C34" s="2549" t="s">
        <v>2070</v>
      </c>
      <c r="D34" s="2549"/>
      <c r="E34" s="2549"/>
      <c r="F34" s="2549"/>
      <c r="G34" s="2549"/>
      <c r="H34" s="2549"/>
      <c r="I34" s="2549"/>
      <c r="J34" s="2549"/>
      <c r="K34" s="2041"/>
      <c r="L34" s="899"/>
      <c r="M34" s="899"/>
      <c r="N34" s="2034"/>
    </row>
    <row r="35" spans="1:14" x14ac:dyDescent="0.25">
      <c r="A35" s="2035"/>
      <c r="B35" s="899"/>
      <c r="C35" s="2549"/>
      <c r="D35" s="2549"/>
      <c r="E35" s="2549"/>
      <c r="F35" s="2549"/>
      <c r="G35" s="2549"/>
      <c r="H35" s="2549"/>
      <c r="I35" s="2549"/>
      <c r="J35" s="2549"/>
      <c r="K35" s="2041"/>
      <c r="L35" s="899"/>
      <c r="M35" s="899"/>
      <c r="N35" s="2034"/>
    </row>
    <row r="36" spans="1:14" x14ac:dyDescent="0.25">
      <c r="A36" s="2035"/>
      <c r="B36" s="899"/>
      <c r="C36" s="2040"/>
      <c r="D36" s="899"/>
      <c r="E36" s="899"/>
      <c r="F36" s="899"/>
      <c r="G36" s="899"/>
      <c r="H36" s="899"/>
      <c r="I36" s="899"/>
      <c r="J36" s="899"/>
      <c r="K36" s="899"/>
      <c r="L36" s="899"/>
      <c r="M36" s="899"/>
      <c r="N36" s="2034"/>
    </row>
    <row r="37" spans="1:14" x14ac:dyDescent="0.25">
      <c r="A37" s="2035"/>
      <c r="B37" s="2037"/>
      <c r="C37" s="2549" t="s">
        <v>2069</v>
      </c>
      <c r="D37" s="2549"/>
      <c r="E37" s="2549"/>
      <c r="F37" s="2549"/>
      <c r="G37" s="2549"/>
      <c r="H37" s="2549"/>
      <c r="I37" s="2549"/>
      <c r="J37" s="2549"/>
      <c r="K37" s="2041"/>
      <c r="L37" s="887"/>
      <c r="M37" s="899"/>
      <c r="N37" s="2034"/>
    </row>
    <row r="38" spans="1:14" x14ac:dyDescent="0.25">
      <c r="A38" s="2035"/>
      <c r="B38" s="899"/>
      <c r="C38" s="2549"/>
      <c r="D38" s="2549"/>
      <c r="E38" s="2549"/>
      <c r="F38" s="2549"/>
      <c r="G38" s="2549"/>
      <c r="H38" s="2549"/>
      <c r="I38" s="2549"/>
      <c r="J38" s="2549"/>
      <c r="K38" s="2041"/>
      <c r="L38" s="887"/>
      <c r="M38" s="899"/>
      <c r="N38" s="2034"/>
    </row>
    <row r="39" spans="1:14" x14ac:dyDescent="0.25">
      <c r="A39" s="2035"/>
      <c r="B39" s="899"/>
      <c r="C39" s="2040"/>
      <c r="D39" s="899"/>
      <c r="E39" s="2038"/>
      <c r="F39" s="2039"/>
      <c r="G39" s="2039"/>
      <c r="H39" s="2038"/>
      <c r="I39" s="899"/>
      <c r="J39" s="899"/>
      <c r="K39" s="899"/>
      <c r="L39" s="899"/>
      <c r="M39" s="899"/>
      <c r="N39" s="2034"/>
    </row>
    <row r="40" spans="1:14" x14ac:dyDescent="0.25">
      <c r="A40" s="2035"/>
      <c r="B40" s="2037"/>
      <c r="C40" s="2550" t="s">
        <v>2068</v>
      </c>
      <c r="D40" s="2551"/>
      <c r="E40" s="2551"/>
      <c r="F40" s="2551"/>
      <c r="G40" s="2551"/>
      <c r="H40" s="2551"/>
      <c r="I40" s="2551"/>
      <c r="J40" s="2551"/>
      <c r="K40" s="2036"/>
      <c r="L40" s="899"/>
      <c r="M40" s="899"/>
      <c r="N40" s="2034"/>
    </row>
    <row r="41" spans="1:14" x14ac:dyDescent="0.25">
      <c r="A41" s="2035"/>
      <c r="B41" s="899"/>
      <c r="C41" s="891"/>
      <c r="D41" s="891"/>
      <c r="E41" s="891"/>
      <c r="F41" s="891"/>
      <c r="G41" s="891"/>
      <c r="H41" s="891"/>
      <c r="I41" s="891"/>
      <c r="J41" s="891"/>
      <c r="K41" s="891"/>
      <c r="L41" s="899"/>
      <c r="M41" s="899"/>
      <c r="N41" s="2034"/>
    </row>
    <row r="42" spans="1:14" ht="15.75" thickBot="1" x14ac:dyDescent="0.3">
      <c r="A42" s="2033"/>
      <c r="B42" s="2032"/>
      <c r="C42" s="2032"/>
      <c r="D42" s="2032"/>
      <c r="E42" s="2032"/>
      <c r="F42" s="2032"/>
      <c r="G42" s="2032"/>
      <c r="H42" s="2032"/>
      <c r="I42" s="2032"/>
      <c r="J42" s="2032"/>
      <c r="K42" s="2032"/>
      <c r="L42" s="2032"/>
      <c r="M42" s="2032"/>
      <c r="N42" s="2031"/>
    </row>
    <row r="43" spans="1:14" ht="27" thickBot="1" x14ac:dyDescent="0.45">
      <c r="A43" s="2527" t="s">
        <v>2067</v>
      </c>
      <c r="B43" s="2528"/>
      <c r="C43" s="2528"/>
      <c r="D43" s="2528"/>
      <c r="E43" s="2528"/>
      <c r="F43" s="2528"/>
      <c r="G43" s="2528"/>
      <c r="H43" s="2528"/>
      <c r="I43" s="2528"/>
      <c r="J43" s="2528"/>
      <c r="K43" s="2528"/>
      <c r="L43" s="2528"/>
      <c r="M43" s="2528"/>
      <c r="N43" s="2529"/>
    </row>
    <row r="44" spans="1:14" x14ac:dyDescent="0.25">
      <c r="A44" s="2022"/>
      <c r="B44" s="2021"/>
      <c r="C44" s="2021"/>
      <c r="D44" s="2021"/>
      <c r="E44" s="2021"/>
      <c r="F44" s="2021"/>
      <c r="G44" s="2021"/>
      <c r="H44" s="2021"/>
      <c r="I44" s="2021"/>
      <c r="J44" s="2021"/>
      <c r="K44" s="2021"/>
      <c r="L44" s="2021"/>
      <c r="M44" s="2021"/>
      <c r="N44" s="2020"/>
    </row>
    <row r="45" spans="1:14" x14ac:dyDescent="0.25">
      <c r="A45" s="2022" t="s">
        <v>2066</v>
      </c>
      <c r="B45" s="2021"/>
      <c r="C45" s="2021"/>
      <c r="D45" s="2021"/>
      <c r="E45" s="2021"/>
      <c r="F45" s="2021"/>
      <c r="G45" s="2021"/>
      <c r="H45" s="2021"/>
      <c r="I45" s="2021"/>
      <c r="J45" s="2021"/>
      <c r="K45" s="2021"/>
      <c r="L45" s="2021"/>
      <c r="M45" s="2021"/>
      <c r="N45" s="2020"/>
    </row>
    <row r="46" spans="1:14" x14ac:dyDescent="0.25">
      <c r="A46" s="2530" t="s">
        <v>2065</v>
      </c>
      <c r="B46" s="2531"/>
      <c r="C46" s="2531"/>
      <c r="D46" s="2531"/>
      <c r="E46" s="2531"/>
      <c r="F46" s="2531"/>
      <c r="G46" s="2531"/>
      <c r="H46" s="2531"/>
      <c r="I46" s="2531"/>
      <c r="J46" s="2531"/>
      <c r="K46" s="2531"/>
      <c r="L46" s="2531"/>
      <c r="M46" s="2531"/>
      <c r="N46" s="2532"/>
    </row>
    <row r="47" spans="1:14" x14ac:dyDescent="0.25">
      <c r="A47" s="2530"/>
      <c r="B47" s="2531"/>
      <c r="C47" s="2531"/>
      <c r="D47" s="2531"/>
      <c r="E47" s="2531"/>
      <c r="F47" s="2531"/>
      <c r="G47" s="2531"/>
      <c r="H47" s="2531"/>
      <c r="I47" s="2531"/>
      <c r="J47" s="2531"/>
      <c r="K47" s="2531"/>
      <c r="L47" s="2531"/>
      <c r="M47" s="2531"/>
      <c r="N47" s="2532"/>
    </row>
    <row r="48" spans="1:14" x14ac:dyDescent="0.25">
      <c r="A48" s="2030"/>
      <c r="B48" s="2021"/>
      <c r="C48" s="2021"/>
      <c r="D48" s="2029"/>
      <c r="E48" s="2029"/>
      <c r="F48" s="2029"/>
      <c r="G48" s="2029"/>
      <c r="H48" s="2029"/>
      <c r="I48" s="2029"/>
      <c r="J48" s="2029"/>
      <c r="K48" s="2029"/>
      <c r="L48" s="2029"/>
      <c r="M48" s="2029"/>
      <c r="N48" s="2028"/>
    </row>
    <row r="49" spans="1:14" ht="15.75" x14ac:dyDescent="0.25">
      <c r="A49" s="2024" t="s">
        <v>2064</v>
      </c>
      <c r="B49" s="2027"/>
      <c r="C49" s="2027"/>
      <c r="D49" s="2026"/>
      <c r="E49" s="2026"/>
      <c r="F49" s="2026"/>
      <c r="G49" s="2026"/>
      <c r="H49" s="2026"/>
      <c r="I49" s="2026"/>
      <c r="J49" s="2026"/>
      <c r="K49" s="2026"/>
      <c r="L49" s="2026"/>
      <c r="M49" s="2026"/>
      <c r="N49" s="2025"/>
    </row>
    <row r="50" spans="1:14" x14ac:dyDescent="0.25">
      <c r="A50" s="2024" t="s">
        <v>2063</v>
      </c>
      <c r="B50" s="2021"/>
      <c r="C50" s="2021"/>
      <c r="D50" s="2021"/>
      <c r="E50" s="2021"/>
      <c r="F50" s="2021"/>
      <c r="G50" s="2021"/>
      <c r="H50" s="2021"/>
      <c r="I50" s="2021"/>
      <c r="J50" s="2021"/>
      <c r="K50" s="2021"/>
      <c r="L50" s="2021"/>
      <c r="M50" s="2021"/>
      <c r="N50" s="2020"/>
    </row>
    <row r="51" spans="1:14" x14ac:dyDescent="0.25">
      <c r="A51" s="2022"/>
      <c r="B51" s="2021"/>
      <c r="C51" s="2021"/>
      <c r="D51" s="2021"/>
      <c r="E51" s="2021"/>
      <c r="F51" s="2021"/>
      <c r="G51" s="2021"/>
      <c r="H51" s="2021"/>
      <c r="I51" s="2021"/>
      <c r="J51" s="2021"/>
      <c r="K51" s="2021"/>
      <c r="L51" s="2021"/>
      <c r="M51" s="2021"/>
      <c r="N51" s="2020"/>
    </row>
    <row r="52" spans="1:14" x14ac:dyDescent="0.25">
      <c r="A52" s="2022"/>
      <c r="B52" s="2021"/>
      <c r="C52" s="2021"/>
      <c r="D52" s="2021"/>
      <c r="E52" s="2021"/>
      <c r="F52" s="2021"/>
      <c r="G52" s="2021"/>
      <c r="H52" s="2021"/>
      <c r="I52" s="2021"/>
      <c r="J52" s="2021"/>
      <c r="K52" s="2023" t="s">
        <v>1021</v>
      </c>
      <c r="L52" s="2546" t="str">
        <f>J6</f>
        <v xml:space="preserve"> Kankakee Area Special Ed Co-op</v>
      </c>
      <c r="M52" s="2546"/>
      <c r="N52" s="2547"/>
    </row>
    <row r="53" spans="1:14" x14ac:dyDescent="0.25">
      <c r="A53" s="2022"/>
      <c r="B53" s="2021"/>
      <c r="C53" s="2021"/>
      <c r="D53" s="2021"/>
      <c r="E53" s="2021"/>
      <c r="F53" s="2021"/>
      <c r="G53" s="2021"/>
      <c r="H53" s="2021"/>
      <c r="I53" s="2021"/>
      <c r="J53" s="2021"/>
      <c r="K53" s="2023" t="s">
        <v>369</v>
      </c>
      <c r="L53" s="2533">
        <f>J7</f>
        <v>32046850060</v>
      </c>
      <c r="M53" s="2533"/>
      <c r="N53" s="2534"/>
    </row>
    <row r="54" spans="1:14" ht="15.75" thickBot="1" x14ac:dyDescent="0.3">
      <c r="A54" s="2022"/>
      <c r="B54" s="2021"/>
      <c r="C54" s="2021"/>
      <c r="D54" s="2021"/>
      <c r="E54" s="2021"/>
      <c r="F54" s="2021"/>
      <c r="G54" s="2021"/>
      <c r="H54" s="2021"/>
      <c r="I54" s="2021"/>
      <c r="J54" s="2021"/>
      <c r="K54" s="2021"/>
      <c r="L54" s="2021"/>
      <c r="M54" s="2021"/>
      <c r="N54" s="2020"/>
    </row>
    <row r="55" spans="1:14" x14ac:dyDescent="0.25">
      <c r="A55" s="2535"/>
      <c r="B55" s="2536"/>
      <c r="C55" s="2536"/>
      <c r="D55" s="2002"/>
      <c r="E55" s="2002"/>
      <c r="F55" s="2002"/>
      <c r="G55" s="2537" t="s">
        <v>2062</v>
      </c>
      <c r="H55" s="2537"/>
      <c r="I55" s="2537"/>
      <c r="J55" s="2537"/>
      <c r="K55" s="2537"/>
      <c r="L55" s="2537"/>
      <c r="M55" s="2537"/>
      <c r="N55" s="2538"/>
    </row>
    <row r="56" spans="1:14" ht="64.5" x14ac:dyDescent="0.25">
      <c r="A56" s="2539" t="s">
        <v>2061</v>
      </c>
      <c r="B56" s="2540"/>
      <c r="C56" s="2541"/>
      <c r="D56" s="2018" t="s">
        <v>2060</v>
      </c>
      <c r="E56" s="2018" t="s">
        <v>2059</v>
      </c>
      <c r="F56" s="2019"/>
      <c r="G56" s="2018" t="s">
        <v>2058</v>
      </c>
      <c r="H56" s="2018" t="s">
        <v>2057</v>
      </c>
      <c r="I56" s="2018" t="s">
        <v>2056</v>
      </c>
      <c r="J56" s="2018" t="s">
        <v>2055</v>
      </c>
      <c r="K56" s="2018" t="s">
        <v>2054</v>
      </c>
      <c r="L56" s="2018" t="s">
        <v>2053</v>
      </c>
      <c r="M56" s="2018" t="s">
        <v>2052</v>
      </c>
      <c r="N56" s="2017" t="s">
        <v>2051</v>
      </c>
    </row>
    <row r="57" spans="1:14" ht="24" customHeight="1" x14ac:dyDescent="0.25">
      <c r="A57" s="2542" t="s">
        <v>296</v>
      </c>
      <c r="B57" s="2543"/>
      <c r="C57" s="2543"/>
      <c r="D57" s="2016">
        <v>2361</v>
      </c>
      <c r="E57" s="2015">
        <f>'Expenditures 15-22'!K319</f>
        <v>0</v>
      </c>
      <c r="F57" s="2006"/>
      <c r="G57" s="2014"/>
      <c r="H57" s="2013"/>
      <c r="I57" s="2013"/>
      <c r="J57" s="2013"/>
      <c r="K57" s="2013"/>
      <c r="L57" s="2013"/>
      <c r="M57" s="2013"/>
      <c r="N57" s="2003">
        <f t="shared" ref="N57:N67" si="3">IF((SUM(G57:M57))=E57,SUM(G57:M57),"Column N does not agree with Column E")</f>
        <v>0</v>
      </c>
    </row>
    <row r="58" spans="1:14" ht="24.75" customHeight="1" x14ac:dyDescent="0.25">
      <c r="A58" s="2544" t="s">
        <v>2050</v>
      </c>
      <c r="B58" s="2545"/>
      <c r="C58" s="2545"/>
      <c r="D58" s="2012">
        <v>2362</v>
      </c>
      <c r="E58" s="2011">
        <f>'Expenditures 15-22'!K320</f>
        <v>0</v>
      </c>
      <c r="F58" s="2006"/>
      <c r="G58" s="2010"/>
      <c r="H58" s="2009"/>
      <c r="I58" s="2009"/>
      <c r="J58" s="2009"/>
      <c r="K58" s="2009"/>
      <c r="L58" s="2009"/>
      <c r="M58" s="2009"/>
      <c r="N58" s="2003">
        <f t="shared" si="3"/>
        <v>0</v>
      </c>
    </row>
    <row r="59" spans="1:14" ht="24.75" customHeight="1" x14ac:dyDescent="0.25">
      <c r="A59" s="2521" t="s">
        <v>297</v>
      </c>
      <c r="B59" s="2522"/>
      <c r="C59" s="2522"/>
      <c r="D59" s="2012">
        <v>2363</v>
      </c>
      <c r="E59" s="2011">
        <f>'Expenditures 15-22'!K321</f>
        <v>0</v>
      </c>
      <c r="F59" s="2006"/>
      <c r="G59" s="2010"/>
      <c r="H59" s="2009"/>
      <c r="I59" s="2009"/>
      <c r="J59" s="2009"/>
      <c r="K59" s="2009"/>
      <c r="L59" s="2009"/>
      <c r="M59" s="2009"/>
      <c r="N59" s="2003">
        <f t="shared" si="3"/>
        <v>0</v>
      </c>
    </row>
    <row r="60" spans="1:14" ht="24.75" customHeight="1" x14ac:dyDescent="0.25">
      <c r="A60" s="2521" t="s">
        <v>236</v>
      </c>
      <c r="B60" s="2522"/>
      <c r="C60" s="2522"/>
      <c r="D60" s="2012">
        <v>2364</v>
      </c>
      <c r="E60" s="2011">
        <f>'Expenditures 15-22'!K322</f>
        <v>0</v>
      </c>
      <c r="F60" s="2006"/>
      <c r="G60" s="2010"/>
      <c r="H60" s="2009"/>
      <c r="I60" s="2009"/>
      <c r="J60" s="2009"/>
      <c r="K60" s="2009"/>
      <c r="L60" s="2009"/>
      <c r="M60" s="2009"/>
      <c r="N60" s="2003">
        <f t="shared" si="3"/>
        <v>0</v>
      </c>
    </row>
    <row r="61" spans="1:14" ht="24.75" customHeight="1" x14ac:dyDescent="0.25">
      <c r="A61" s="2521" t="s">
        <v>697</v>
      </c>
      <c r="B61" s="2522"/>
      <c r="C61" s="2522"/>
      <c r="D61" s="2012">
        <v>2365</v>
      </c>
      <c r="E61" s="2011">
        <f>'Expenditures 15-22'!K323</f>
        <v>0</v>
      </c>
      <c r="F61" s="2006"/>
      <c r="G61" s="2010"/>
      <c r="H61" s="2009"/>
      <c r="I61" s="2009"/>
      <c r="J61" s="2009"/>
      <c r="K61" s="2009"/>
      <c r="L61" s="2009"/>
      <c r="M61" s="2009"/>
      <c r="N61" s="2003">
        <f t="shared" si="3"/>
        <v>0</v>
      </c>
    </row>
    <row r="62" spans="1:14" ht="24.75" customHeight="1" x14ac:dyDescent="0.25">
      <c r="A62" s="2521" t="s">
        <v>237</v>
      </c>
      <c r="B62" s="2522"/>
      <c r="C62" s="2522"/>
      <c r="D62" s="2012">
        <v>2366</v>
      </c>
      <c r="E62" s="2011">
        <f>'Expenditures 15-22'!K324</f>
        <v>0</v>
      </c>
      <c r="F62" s="2006"/>
      <c r="G62" s="2010"/>
      <c r="H62" s="2009"/>
      <c r="I62" s="2009"/>
      <c r="J62" s="2009"/>
      <c r="K62" s="2009"/>
      <c r="L62" s="2009"/>
      <c r="M62" s="2009"/>
      <c r="N62" s="2003">
        <f t="shared" si="3"/>
        <v>0</v>
      </c>
    </row>
    <row r="63" spans="1:14" ht="24.75" customHeight="1" x14ac:dyDescent="0.25">
      <c r="A63" s="2544" t="s">
        <v>1022</v>
      </c>
      <c r="B63" s="2545"/>
      <c r="C63" s="2545"/>
      <c r="D63" s="2012">
        <v>2367</v>
      </c>
      <c r="E63" s="2011">
        <f>'Expenditures 15-22'!K325</f>
        <v>0</v>
      </c>
      <c r="F63" s="2006"/>
      <c r="G63" s="2010"/>
      <c r="H63" s="2009"/>
      <c r="I63" s="2009"/>
      <c r="J63" s="2009"/>
      <c r="K63" s="2009"/>
      <c r="L63" s="2009"/>
      <c r="M63" s="2009"/>
      <c r="N63" s="2003">
        <f t="shared" si="3"/>
        <v>0</v>
      </c>
    </row>
    <row r="64" spans="1:14" ht="24.75" customHeight="1" x14ac:dyDescent="0.25">
      <c r="A64" s="2521" t="s">
        <v>1023</v>
      </c>
      <c r="B64" s="2522"/>
      <c r="C64" s="2522"/>
      <c r="D64" s="2012">
        <v>2368</v>
      </c>
      <c r="E64" s="2011">
        <f>'Expenditures 15-22'!K326</f>
        <v>0</v>
      </c>
      <c r="F64" s="2006"/>
      <c r="G64" s="2010"/>
      <c r="H64" s="2009"/>
      <c r="I64" s="2009"/>
      <c r="J64" s="2009"/>
      <c r="K64" s="2009"/>
      <c r="L64" s="2009"/>
      <c r="M64" s="2009"/>
      <c r="N64" s="2003">
        <f t="shared" si="3"/>
        <v>0</v>
      </c>
    </row>
    <row r="65" spans="1:14" ht="24" customHeight="1" x14ac:dyDescent="0.25">
      <c r="A65" s="2521" t="s">
        <v>965</v>
      </c>
      <c r="B65" s="2522"/>
      <c r="C65" s="2522"/>
      <c r="D65" s="2012">
        <v>2369</v>
      </c>
      <c r="E65" s="2011">
        <f>'Expenditures 15-22'!K327</f>
        <v>0</v>
      </c>
      <c r="F65" s="2006"/>
      <c r="G65" s="2010"/>
      <c r="H65" s="2009"/>
      <c r="I65" s="2009"/>
      <c r="J65" s="2009"/>
      <c r="K65" s="2009"/>
      <c r="L65" s="2009"/>
      <c r="M65" s="2009"/>
      <c r="N65" s="2003">
        <f t="shared" si="3"/>
        <v>0</v>
      </c>
    </row>
    <row r="66" spans="1:14" ht="24.75" customHeight="1" x14ac:dyDescent="0.25">
      <c r="A66" s="2521" t="s">
        <v>469</v>
      </c>
      <c r="B66" s="2522"/>
      <c r="C66" s="2522"/>
      <c r="D66" s="2012">
        <v>2371</v>
      </c>
      <c r="E66" s="2011">
        <f>'Expenditures 15-22'!K328</f>
        <v>0</v>
      </c>
      <c r="F66" s="2006"/>
      <c r="G66" s="2010"/>
      <c r="H66" s="2009"/>
      <c r="I66" s="2009"/>
      <c r="J66" s="2009"/>
      <c r="K66" s="2009"/>
      <c r="L66" s="2009"/>
      <c r="M66" s="2009"/>
      <c r="N66" s="2003">
        <f t="shared" si="3"/>
        <v>0</v>
      </c>
    </row>
    <row r="67" spans="1:14" ht="24.75" customHeight="1" x14ac:dyDescent="0.25">
      <c r="A67" s="2523" t="s">
        <v>2049</v>
      </c>
      <c r="B67" s="2524"/>
      <c r="C67" s="2524"/>
      <c r="D67" s="2008">
        <v>2372</v>
      </c>
      <c r="E67" s="2007">
        <f>'Expenditures 15-22'!K329</f>
        <v>0</v>
      </c>
      <c r="F67" s="2006"/>
      <c r="G67" s="2005"/>
      <c r="H67" s="2004"/>
      <c r="I67" s="2004"/>
      <c r="J67" s="2004"/>
      <c r="K67" s="2004"/>
      <c r="L67" s="2004"/>
      <c r="M67" s="2004"/>
      <c r="N67" s="2003">
        <f t="shared" si="3"/>
        <v>0</v>
      </c>
    </row>
    <row r="68" spans="1:14" x14ac:dyDescent="0.25">
      <c r="A68" s="2525" t="s">
        <v>1153</v>
      </c>
      <c r="B68" s="2526"/>
      <c r="C68" s="2526"/>
      <c r="D68" s="2002"/>
      <c r="E68" s="2000">
        <f>SUM(E57:E67)</f>
        <v>0</v>
      </c>
      <c r="F68" s="2001"/>
      <c r="G68" s="2000">
        <f t="shared" ref="G68:N68" si="4">SUM(G57:G67)</f>
        <v>0</v>
      </c>
      <c r="H68" s="2000">
        <f t="shared" si="4"/>
        <v>0</v>
      </c>
      <c r="I68" s="2000">
        <f t="shared" si="4"/>
        <v>0</v>
      </c>
      <c r="J68" s="2000">
        <f t="shared" si="4"/>
        <v>0</v>
      </c>
      <c r="K68" s="2000">
        <f t="shared" si="4"/>
        <v>0</v>
      </c>
      <c r="L68" s="2000">
        <f t="shared" si="4"/>
        <v>0</v>
      </c>
      <c r="M68" s="2000">
        <f t="shared" si="4"/>
        <v>0</v>
      </c>
      <c r="N68" s="1999">
        <f t="shared" si="4"/>
        <v>0</v>
      </c>
    </row>
    <row r="69" spans="1:14" x14ac:dyDescent="0.25">
      <c r="A69" s="1995"/>
      <c r="B69" s="1994"/>
      <c r="C69" s="1994"/>
      <c r="D69" s="1994"/>
      <c r="E69" s="1994"/>
      <c r="F69" s="1994"/>
      <c r="G69" s="1994"/>
      <c r="H69" s="1998" t="s">
        <v>2048</v>
      </c>
      <c r="I69" s="1994"/>
      <c r="J69" s="1994"/>
      <c r="K69" s="1994"/>
      <c r="L69" s="1998" t="s">
        <v>2047</v>
      </c>
      <c r="M69" s="1994"/>
      <c r="N69" s="1997"/>
    </row>
    <row r="70" spans="1:14" ht="46.5" customHeight="1" x14ac:dyDescent="0.25">
      <c r="A70" s="1996" t="s">
        <v>2046</v>
      </c>
      <c r="B70" s="1994"/>
      <c r="C70" s="1994"/>
      <c r="D70" s="1994"/>
      <c r="E70" s="1994"/>
      <c r="F70" s="1994"/>
      <c r="G70" s="1994"/>
      <c r="H70" s="2517" t="s">
        <v>2045</v>
      </c>
      <c r="I70" s="2517"/>
      <c r="J70" s="2517"/>
      <c r="K70" s="1994"/>
      <c r="L70" s="2517" t="s">
        <v>2044</v>
      </c>
      <c r="M70" s="2517"/>
      <c r="N70" s="2518"/>
    </row>
    <row r="71" spans="1:14" ht="42.75" customHeight="1" x14ac:dyDescent="0.25">
      <c r="A71" s="1995"/>
      <c r="B71" s="1994"/>
      <c r="C71" s="1994"/>
      <c r="D71" s="1994"/>
      <c r="E71" s="1994"/>
      <c r="F71" s="1994"/>
      <c r="G71" s="1994"/>
      <c r="H71" s="2517" t="s">
        <v>2043</v>
      </c>
      <c r="I71" s="2517"/>
      <c r="J71" s="2517"/>
      <c r="K71" s="1994"/>
      <c r="L71" s="2519" t="s">
        <v>2042</v>
      </c>
      <c r="M71" s="2519"/>
      <c r="N71" s="2520"/>
    </row>
    <row r="72" spans="1:14" ht="52.5" customHeight="1" thickBot="1" x14ac:dyDescent="0.3">
      <c r="A72" s="1993"/>
      <c r="B72" s="1992"/>
      <c r="C72" s="1992"/>
      <c r="D72" s="1992"/>
      <c r="E72" s="1992"/>
      <c r="F72" s="1992"/>
      <c r="G72" s="1992"/>
      <c r="H72" s="2516" t="s">
        <v>2041</v>
      </c>
      <c r="I72" s="2516"/>
      <c r="J72" s="2516"/>
      <c r="K72" s="1992"/>
      <c r="L72" s="1992"/>
      <c r="M72" s="1992"/>
      <c r="N72" s="1991"/>
    </row>
  </sheetData>
  <sheetProtection algorithmName="SHA-512" hashValue="wvV9QtWobMydH3zGoZz4VH+4X7hhi5SFuwYWT02VSVdUMMTuzYuDKS4SLK3LuMMhVy9kUHZEYRZOaax5h3gvwA==" saltValue="UOJPWUTUEcLsbKlWyYUckw==" spinCount="100000" sheet="1" objects="1" scenarios="1"/>
  <mergeCells count="39">
    <mergeCell ref="J6:L6"/>
    <mergeCell ref="A7:E7"/>
    <mergeCell ref="J7:L7"/>
    <mergeCell ref="A11:C11"/>
    <mergeCell ref="B18:D18"/>
    <mergeCell ref="F30:H30"/>
    <mergeCell ref="C34:J35"/>
    <mergeCell ref="C37:J38"/>
    <mergeCell ref="C40:J40"/>
    <mergeCell ref="B20:D20"/>
    <mergeCell ref="C27:D27"/>
    <mergeCell ref="F27:H27"/>
    <mergeCell ref="F28:H28"/>
    <mergeCell ref="C29:D29"/>
    <mergeCell ref="F29:H29"/>
    <mergeCell ref="A43:N43"/>
    <mergeCell ref="A46:N47"/>
    <mergeCell ref="A64:C64"/>
    <mergeCell ref="L53:N53"/>
    <mergeCell ref="A55:C55"/>
    <mergeCell ref="G55:N55"/>
    <mergeCell ref="A56:C56"/>
    <mergeCell ref="A57:C57"/>
    <mergeCell ref="A58:C58"/>
    <mergeCell ref="A59:C59"/>
    <mergeCell ref="L52:N52"/>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A17 from &quot;Cover&quot; tab" sqref="J6:L6" xr:uid="{00000000-0002-0000-0000-000000000000}"/>
    <dataValidation allowBlank="1" showInputMessage="1" showErrorMessage="1" prompt="Link cell A13 from &quot;Cover&quot; tab" sqref="J7:L7" xr:uid="{00000000-0002-0000-0000-000001000000}"/>
    <dataValidation allowBlank="1" showInputMessage="1" showErrorMessage="1" prompt="Link cell K50 from &quot;Expenditures 15-22&quot; tab " sqref="E12" xr:uid="{00000000-0002-0000-0000-000002000000}"/>
    <dataValidation allowBlank="1" showInputMessage="1" showErrorMessage="1" prompt="Link cell K51 from &quot;Expenditures 15-22&quot; tab" sqref="E13" xr:uid="{00000000-0002-0000-0000-000003000000}"/>
    <dataValidation allowBlank="1" showInputMessage="1" showErrorMessage="1" prompt="Link cell K56 from &quot;Expenditures 15-22&quot; tab" sqref="E14" xr:uid="{00000000-0002-0000-0000-000004000000}"/>
    <dataValidation allowBlank="1" showInputMessage="1" showErrorMessage="1" prompt="Link cell K59 from &quot;Expenditures 15-22&quot; tab" sqref="E15" xr:uid="{00000000-0002-0000-0000-000005000000}"/>
    <dataValidation allowBlank="1" showInputMessage="1" showErrorMessage="1" prompt="Link cell K64 from &quot;Expenditures 15-22&quot; tab" sqref="E16" xr:uid="{00000000-0002-0000-0000-000006000000}"/>
    <dataValidation allowBlank="1" showInputMessage="1" showErrorMessage="1" prompt="Link cell K67 from &quot;Expenditures 15-22&quot; tab" sqref="E17" xr:uid="{00000000-0002-0000-0000-000007000000}"/>
    <dataValidation allowBlank="1" showInputMessage="1" showErrorMessage="1" prompt="Link cell K122 from &quot;Expenditures 15-22&quot; tab" sqref="F15" xr:uid="{00000000-0002-0000-0000-000008000000}"/>
    <dataValidation allowBlank="1" showInputMessage="1" showErrorMessage="1" prompt="Link cell K319 from &quot;Expenditures 15-22&quot; tab" sqref="E57" xr:uid="{00000000-0002-0000-0000-000009000000}"/>
    <dataValidation allowBlank="1" showInputMessage="1" showErrorMessage="1" prompt="Link cell K320 from &quot;Expenditures 15-22&quot; tab" sqref="E58" xr:uid="{00000000-0002-0000-0000-00000A000000}"/>
    <dataValidation allowBlank="1" showInputMessage="1" showErrorMessage="1" prompt="Link cell K321 from &quot;Expenditures 15-22&quot; tab" sqref="E59" xr:uid="{00000000-0002-0000-0000-00000B000000}"/>
    <dataValidation allowBlank="1" showInputMessage="1" showErrorMessage="1" prompt="Link cell K322 from &quot;Expenditures 15-22&quot; tab" sqref="E60" xr:uid="{00000000-0002-0000-0000-00000C000000}"/>
    <dataValidation allowBlank="1" showInputMessage="1" showErrorMessage="1" prompt="Link cell K323 from &quot;Expenditures 15-22&quot; tab" sqref="E61" xr:uid="{00000000-0002-0000-0000-00000D000000}"/>
    <dataValidation allowBlank="1" showInputMessage="1" showErrorMessage="1" prompt="Link cell K324 from &quot;Expenditures 15-22&quot; tab" sqref="E62" xr:uid="{00000000-0002-0000-0000-00000E000000}"/>
    <dataValidation allowBlank="1" showInputMessage="1" showErrorMessage="1" prompt="Link cell K325 from &quot;Expenditures 15-22&quot; tab" sqref="E63" xr:uid="{00000000-0002-0000-0000-00000F000000}"/>
    <dataValidation allowBlank="1" showInputMessage="1" showErrorMessage="1" prompt="Link cell K326 from &quot;Expenditures 15-22&quot; tab" sqref="E64" xr:uid="{00000000-0002-0000-0000-000010000000}"/>
    <dataValidation allowBlank="1" showInputMessage="1" showErrorMessage="1" prompt="Link cell K327 from &quot;Expenditures 15-22&quot; tab" sqref="E65" xr:uid="{00000000-0002-0000-0000-000011000000}"/>
    <dataValidation allowBlank="1" showInputMessage="1" showErrorMessage="1" prompt="Link cell K328 from &quot;Expenditures 15-22&quot; tab" sqref="E66" xr:uid="{00000000-0002-0000-0000-000012000000}"/>
    <dataValidation allowBlank="1" showInputMessage="1" showErrorMessage="1" prompt="Link cell K329 from &quot;Expenditures 15-22&quot; tab" sqref="E67" xr:uid="{00000000-0002-0000-00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34"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5" t="s">
        <v>1058</v>
      </c>
      <c r="B35" s="2225"/>
      <c r="C35" s="2225"/>
      <c r="D35" s="2225"/>
      <c r="E35" s="222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2" t="s">
        <v>686</v>
      </c>
      <c r="B40" s="2222"/>
      <c r="C40" s="2222"/>
      <c r="D40" s="2222"/>
      <c r="E40" s="2222"/>
    </row>
    <row r="41" spans="1:5" x14ac:dyDescent="0.2">
      <c r="A41" s="2223" t="s">
        <v>1594</v>
      </c>
      <c r="B41" s="2223"/>
      <c r="C41" s="2223"/>
      <c r="D41" s="2223"/>
      <c r="E41" s="2223"/>
    </row>
    <row r="42" spans="1:5" ht="12.75" customHeight="1" x14ac:dyDescent="0.2">
      <c r="A42" s="2224" t="s">
        <v>1015</v>
      </c>
      <c r="B42" s="2224"/>
      <c r="C42" s="2224"/>
      <c r="D42" s="2224"/>
      <c r="E42" s="222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0" sqref="B10"/>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2088</v>
      </c>
    </row>
    <row r="6" spans="1:2" x14ac:dyDescent="0.2">
      <c r="A6" s="892">
        <v>2</v>
      </c>
      <c r="B6" s="307" t="s">
        <v>2089</v>
      </c>
    </row>
    <row r="7" spans="1:2" ht="51" x14ac:dyDescent="0.2">
      <c r="A7" s="892">
        <v>3</v>
      </c>
      <c r="B7" s="1989" t="s">
        <v>2091</v>
      </c>
    </row>
    <row r="8" spans="1:2" x14ac:dyDescent="0.2">
      <c r="A8" s="892">
        <v>4</v>
      </c>
      <c r="B8" s="307" t="s">
        <v>2090</v>
      </c>
    </row>
    <row r="9" spans="1:2" ht="25.5" x14ac:dyDescent="0.2">
      <c r="A9" s="892">
        <v>5</v>
      </c>
      <c r="B9" s="1989" t="s">
        <v>2092</v>
      </c>
    </row>
    <row r="10" spans="1:2" x14ac:dyDescent="0.2">
      <c r="A10" s="893"/>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Kankakee Area Special Ed Co-op</v>
      </c>
    </row>
    <row r="65" spans="2:2" x14ac:dyDescent="0.2">
      <c r="B65" s="894">
        <f>COVER!A13</f>
        <v>32046850060</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567" t="s">
        <v>1668</v>
      </c>
      <c r="B18" s="256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7" dvAspect="DVASPECT_ICON" shapeId="43010" r:id="rId4">
          <objectPr defaultSize="0" r:id="rId5">
            <anchor moveWithCells="1">
              <from>
                <xdr:col>0</xdr:col>
                <xdr:colOff>57150</xdr:colOff>
                <xdr:row>3</xdr:row>
                <xdr:rowOff>85725</xdr:rowOff>
              </from>
              <to>
                <xdr:col>1</xdr:col>
                <xdr:colOff>866775</xdr:colOff>
                <xdr:row>8</xdr:row>
                <xdr:rowOff>152400</xdr:rowOff>
              </to>
            </anchor>
          </objectPr>
        </oleObject>
      </mc:Choice>
      <mc:Fallback>
        <oleObject progId="Acrobat.Document.2017" dvAspect="DVASPECT_ICON" shapeId="43010" r:id="rId4"/>
      </mc:Fallback>
    </mc:AlternateContent>
    <mc:AlternateContent xmlns:mc="http://schemas.openxmlformats.org/markup-compatibility/2006">
      <mc:Choice Requires="x14">
        <oleObject progId="Acrobat.Document.2017" dvAspect="DVASPECT_ICON" shapeId="43011" r:id="rId6">
          <objectPr defaultSize="0" r:id="rId7">
            <anchor moveWithCells="1">
              <from>
                <xdr:col>1</xdr:col>
                <xdr:colOff>981075</xdr:colOff>
                <xdr:row>3</xdr:row>
                <xdr:rowOff>133350</xdr:rowOff>
              </from>
              <to>
                <xdr:col>1</xdr:col>
                <xdr:colOff>1895475</xdr:colOff>
                <xdr:row>8</xdr:row>
                <xdr:rowOff>9525</xdr:rowOff>
              </to>
            </anchor>
          </objectPr>
        </oleObject>
      </mc:Choice>
      <mc:Fallback>
        <oleObject progId="Acrobat.Document.2017" dvAspect="DVASPECT_ICON" shapeId="43011" r:id="rId6"/>
      </mc:Fallback>
    </mc:AlternateContent>
    <mc:AlternateContent xmlns:mc="http://schemas.openxmlformats.org/markup-compatibility/2006">
      <mc:Choice Requires="x14">
        <oleObject progId="Acrobat.Document.2017" dvAspect="DVASPECT_ICON" shapeId="43014" r:id="rId8">
          <objectPr defaultSize="0" r:id="rId9">
            <anchor moveWithCells="1">
              <from>
                <xdr:col>1</xdr:col>
                <xdr:colOff>3086100</xdr:colOff>
                <xdr:row>3</xdr:row>
                <xdr:rowOff>114300</xdr:rowOff>
              </from>
              <to>
                <xdr:col>2</xdr:col>
                <xdr:colOff>38100</xdr:colOff>
                <xdr:row>9</xdr:row>
                <xdr:rowOff>19050</xdr:rowOff>
              </to>
            </anchor>
          </objectPr>
        </oleObject>
      </mc:Choice>
      <mc:Fallback>
        <oleObject progId="Acrobat.Document.2017" dvAspect="DVASPECT_ICON" shapeId="43014" r:id="rId8"/>
      </mc:Fallback>
    </mc:AlternateContent>
    <mc:AlternateContent xmlns:mc="http://schemas.openxmlformats.org/markup-compatibility/2006">
      <mc:Choice Requires="x14">
        <oleObject progId="Acrobat Document" dvAspect="DVASPECT_ICON" shapeId="43015" r:id="rId10">
          <objectPr defaultSize="0" r:id="rId11">
            <anchor moveWithCells="1">
              <from>
                <xdr:col>1</xdr:col>
                <xdr:colOff>2009775</xdr:colOff>
                <xdr:row>4</xdr:row>
                <xdr:rowOff>85725</xdr:rowOff>
              </from>
              <to>
                <xdr:col>1</xdr:col>
                <xdr:colOff>3324225</xdr:colOff>
                <xdr:row>12</xdr:row>
                <xdr:rowOff>19050</xdr:rowOff>
              </to>
            </anchor>
          </objectPr>
        </oleObject>
      </mc:Choice>
      <mc:Fallback>
        <oleObject progId="Acrobat Document" dvAspect="DVASPECT_ICON" shapeId="43015"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8" t="s">
        <v>1672</v>
      </c>
      <c r="B1" s="2569"/>
      <c r="C1" s="2569"/>
      <c r="D1" s="2569"/>
      <c r="E1" s="2569"/>
      <c r="F1" s="2570"/>
    </row>
    <row r="2" spans="1:8" ht="45" customHeight="1" x14ac:dyDescent="0.2">
      <c r="A2" s="25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9"/>
      <c r="C2" s="2579"/>
      <c r="D2" s="2579"/>
      <c r="E2" s="2579"/>
      <c r="F2" s="2580"/>
      <c r="G2" s="898"/>
      <c r="H2" s="898"/>
    </row>
    <row r="3" spans="1:8" ht="57" customHeight="1" x14ac:dyDescent="0.2">
      <c r="A3" s="2581" t="s">
        <v>1975</v>
      </c>
      <c r="B3" s="2582"/>
      <c r="C3" s="2582"/>
      <c r="D3" s="2582"/>
      <c r="E3" s="2582"/>
      <c r="F3" s="2583"/>
      <c r="G3" s="898"/>
      <c r="H3" s="898"/>
    </row>
    <row r="4" spans="1:8" ht="14.25" customHeight="1" x14ac:dyDescent="0.2">
      <c r="A4" s="25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8"/>
      <c r="C4" s="2588"/>
      <c r="D4" s="2588"/>
      <c r="E4" s="2588"/>
      <c r="F4" s="2589"/>
      <c r="G4" s="898"/>
      <c r="H4" s="898"/>
    </row>
    <row r="5" spans="1:8" ht="14.25" customHeight="1" x14ac:dyDescent="0.2">
      <c r="A5" s="25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1"/>
      <c r="C5" s="2591"/>
      <c r="D5" s="2591"/>
      <c r="E5" s="2591"/>
      <c r="F5" s="2592"/>
      <c r="G5" s="898"/>
      <c r="H5" s="898"/>
    </row>
    <row r="6" spans="1:8" s="899" customFormat="1" ht="41.25" customHeight="1" x14ac:dyDescent="0.2">
      <c r="A6" s="2584" t="s">
        <v>1673</v>
      </c>
      <c r="B6" s="2585"/>
      <c r="C6" s="2585"/>
      <c r="D6" s="2585"/>
      <c r="E6" s="2585"/>
      <c r="F6" s="2586"/>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1453422</v>
      </c>
      <c r="C8" s="1871">
        <f>'Acct Summary 7-8'!D8</f>
        <v>0</v>
      </c>
      <c r="D8" s="1871">
        <f>'Acct Summary 7-8'!F8</f>
        <v>0</v>
      </c>
      <c r="E8" s="1871">
        <f>'Acct Summary 7-8'!I8</f>
        <v>0</v>
      </c>
      <c r="F8" s="1871">
        <f>SUM(B8:E8)</f>
        <v>1453422</v>
      </c>
    </row>
    <row r="9" spans="1:8" s="903" customFormat="1" ht="14.25" customHeight="1" thickBot="1" x14ac:dyDescent="0.25">
      <c r="A9" s="902" t="s">
        <v>1355</v>
      </c>
      <c r="B9" s="1872">
        <f>'Acct Summary 7-8'!C17</f>
        <v>1549690</v>
      </c>
      <c r="C9" s="1872">
        <f>'Acct Summary 7-8'!D17</f>
        <v>0</v>
      </c>
      <c r="D9" s="1872">
        <f>'Acct Summary 7-8'!F17</f>
        <v>0</v>
      </c>
      <c r="E9" s="1871"/>
      <c r="F9" s="1871">
        <f>SUM(B9:E9)</f>
        <v>1549690</v>
      </c>
    </row>
    <row r="10" spans="1:8" s="903" customFormat="1" ht="14.25" thickTop="1" thickBot="1" x14ac:dyDescent="0.25">
      <c r="A10" s="904" t="s">
        <v>1356</v>
      </c>
      <c r="B10" s="1873">
        <f>(B8-B9)</f>
        <v>-96268</v>
      </c>
      <c r="C10" s="1873">
        <f>(C8-C9)</f>
        <v>0</v>
      </c>
      <c r="D10" s="1873">
        <f>(D8-D9)</f>
        <v>0</v>
      </c>
      <c r="E10" s="1872">
        <f>(E8-E9)</f>
        <v>0</v>
      </c>
      <c r="F10" s="1874">
        <f>SUM(F8-F9)</f>
        <v>-96268</v>
      </c>
    </row>
    <row r="11" spans="1:8" s="903" customFormat="1" ht="14.25" thickTop="1" thickBot="1" x14ac:dyDescent="0.25">
      <c r="A11" s="905" t="s">
        <v>1906</v>
      </c>
      <c r="B11" s="1875">
        <f>'Acct Summary 7-8'!C81</f>
        <v>812315</v>
      </c>
      <c r="C11" s="1875">
        <f>'Acct Summary 7-8'!D81</f>
        <v>0</v>
      </c>
      <c r="D11" s="1875">
        <f>'Acct Summary 7-8'!F81</f>
        <v>5336</v>
      </c>
      <c r="E11" s="1875">
        <f>'Acct Summary 7-8'!I81</f>
        <v>0</v>
      </c>
      <c r="F11" s="1876">
        <f>SUM(B11:E11)</f>
        <v>817651</v>
      </c>
    </row>
    <row r="12" spans="1:8" ht="16.5" customHeight="1" thickTop="1" x14ac:dyDescent="0.2">
      <c r="A12" s="906"/>
      <c r="B12" s="907"/>
      <c r="C12" s="2572" t="str">
        <f>IF(AND(F10&lt;0,F11&gt;=0,ABS(F10*3)&gt;ABS(F11)),A16,IF(AND(F10&lt;0,F11&gt;0,ABS(F10*3)&lt;=ABS(F11)),A17,IF(AND(F10&lt;0,F11&lt;0),A16,IF(F11=0,A19,A18))))</f>
        <v>Unbalanced -  however, a deficit reduction plan is not required at this time.</v>
      </c>
      <c r="D12" s="2573"/>
      <c r="E12" s="2573"/>
      <c r="F12" s="2574"/>
    </row>
    <row r="13" spans="1:8" ht="19.5" customHeight="1" x14ac:dyDescent="0.2">
      <c r="A13" s="908"/>
      <c r="B13" s="909"/>
      <c r="C13" s="2572"/>
      <c r="D13" s="2573"/>
      <c r="E13" s="2573"/>
      <c r="F13" s="2574"/>
      <c r="H13" s="898"/>
    </row>
    <row r="14" spans="1:8" ht="19.5" customHeight="1" x14ac:dyDescent="0.2">
      <c r="A14" s="908"/>
      <c r="B14" s="909"/>
      <c r="C14" s="2572"/>
      <c r="D14" s="2573"/>
      <c r="E14" s="2573"/>
      <c r="F14" s="2574"/>
      <c r="H14" s="898"/>
    </row>
    <row r="15" spans="1:8" ht="17.25" customHeight="1" x14ac:dyDescent="0.2">
      <c r="A15" s="908"/>
      <c r="B15" s="909"/>
      <c r="C15" s="2575"/>
      <c r="D15" s="2576"/>
      <c r="E15" s="2576"/>
      <c r="F15" s="2577"/>
      <c r="H15" s="898"/>
    </row>
    <row r="16" spans="1:8" s="288" customFormat="1" ht="51.75" hidden="1" customHeight="1" x14ac:dyDescent="0.2">
      <c r="A16" s="2571" t="s">
        <v>1669</v>
      </c>
      <c r="B16" s="2571"/>
      <c r="C16" s="2571"/>
      <c r="D16" s="2571"/>
      <c r="E16" s="2571"/>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4" sqref="D84"/>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3" t="s">
        <v>660</v>
      </c>
      <c r="B3" s="2594"/>
      <c r="C3" s="2594"/>
      <c r="D3" s="2595"/>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4" t="s">
        <v>1490</v>
      </c>
      <c r="D7" s="2605"/>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6" t="s">
        <v>1001</v>
      </c>
      <c r="B15" s="2597"/>
      <c r="C15" s="2597"/>
      <c r="D15" s="2598"/>
    </row>
    <row r="16" spans="1:4" s="542" customFormat="1" ht="24" customHeight="1" x14ac:dyDescent="0.2">
      <c r="A16" s="2599" t="s">
        <v>658</v>
      </c>
      <c r="B16" s="2600"/>
      <c r="C16" s="2600"/>
      <c r="D16" s="2601"/>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8" t="s">
        <v>311</v>
      </c>
      <c r="D21" s="2609"/>
    </row>
    <row r="22" spans="1:10" ht="12.75" x14ac:dyDescent="0.2">
      <c r="A22" s="963"/>
      <c r="B22" s="964">
        <v>2</v>
      </c>
      <c r="C22" s="2606" t="s">
        <v>1510</v>
      </c>
      <c r="D22" s="2607"/>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10" t="s">
        <v>533</v>
      </c>
      <c r="D43" s="2611"/>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602" t="s">
        <v>779</v>
      </c>
      <c r="D56" s="2603"/>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602" t="s">
        <v>1677</v>
      </c>
      <c r="D70" s="2603"/>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32046850060</v>
      </c>
      <c r="E2" s="1592">
        <v>2020</v>
      </c>
      <c r="F2" s="1592">
        <v>1</v>
      </c>
      <c r="G2" s="1962">
        <v>101000300</v>
      </c>
    </row>
    <row r="3" spans="1:7" ht="15" x14ac:dyDescent="0.25">
      <c r="A3" t="s">
        <v>950</v>
      </c>
      <c r="B3" s="135" t="str">
        <f>COVER!A15</f>
        <v>Kankakee/Iroquois</v>
      </c>
      <c r="E3" s="1888" t="s">
        <v>1974</v>
      </c>
      <c r="F3" s="1888" t="s">
        <v>1973</v>
      </c>
      <c r="G3" s="1962">
        <v>101000400</v>
      </c>
    </row>
    <row r="4" spans="1:7" ht="15" x14ac:dyDescent="0.25">
      <c r="A4" t="s">
        <v>1000</v>
      </c>
      <c r="B4" s="135" t="str">
        <f>COVER!A17</f>
        <v xml:space="preserve"> Kankakee Area Special Ed Co-op</v>
      </c>
      <c r="E4" s="1886">
        <v>44119</v>
      </c>
      <c r="F4" s="1887">
        <v>44151</v>
      </c>
      <c r="G4" s="1962">
        <v>101000600</v>
      </c>
    </row>
    <row r="5" spans="1:7" ht="15" x14ac:dyDescent="0.25">
      <c r="A5" t="s">
        <v>699</v>
      </c>
      <c r="B5" s="135" t="str">
        <f>COVER!A38</f>
        <v>Debra Quain</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t="str">
        <f>COVER!T38</f>
        <v>Dr. Gregg Murphy</v>
      </c>
      <c r="G8" s="1962">
        <v>102100600</v>
      </c>
    </row>
    <row r="9" spans="1:7" ht="15" x14ac:dyDescent="0.25">
      <c r="A9" s="3" t="s">
        <v>951</v>
      </c>
      <c r="B9" s="153" t="str">
        <f>AUDITCHECK!D23</f>
        <v>CASH</v>
      </c>
      <c r="G9" s="1962">
        <v>102100800</v>
      </c>
    </row>
    <row r="10" spans="1:7" ht="15" x14ac:dyDescent="0.25">
      <c r="A10" t="s">
        <v>970</v>
      </c>
      <c r="B10" s="135">
        <f>COVER!B5</f>
        <v>0</v>
      </c>
      <c r="G10" s="1962">
        <v>202100300</v>
      </c>
    </row>
    <row r="11" spans="1:7" ht="15" x14ac:dyDescent="0.25">
      <c r="A11" t="s">
        <v>971</v>
      </c>
      <c r="B11" s="135" t="str">
        <f>COVER!B6</f>
        <v>x</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066-005281</v>
      </c>
      <c r="G15" s="1962">
        <v>402100400</v>
      </c>
    </row>
    <row r="16" spans="1:7" ht="15" x14ac:dyDescent="0.25">
      <c r="A16" t="s">
        <v>419</v>
      </c>
      <c r="B16" s="135" t="str">
        <f>COVER!T13</f>
        <v>SKDO, P.C.</v>
      </c>
      <c r="G16" s="1962">
        <v>402100600</v>
      </c>
    </row>
    <row r="17" spans="1:7" ht="15" x14ac:dyDescent="0.25">
      <c r="A17" t="s">
        <v>878</v>
      </c>
      <c r="B17" s="135" t="str">
        <f>COVER!T15</f>
        <v>Carmen Huizenga</v>
      </c>
      <c r="G17" s="1962">
        <v>402100800</v>
      </c>
    </row>
    <row r="18" spans="1:7" ht="15" x14ac:dyDescent="0.25">
      <c r="A18" t="s">
        <v>1142</v>
      </c>
      <c r="B18" s="135" t="str">
        <f>COVER!T17</f>
        <v xml:space="preserve">1605 N Convent </v>
      </c>
      <c r="G18" s="1962">
        <v>102200300</v>
      </c>
    </row>
    <row r="19" spans="1:7" ht="15" x14ac:dyDescent="0.25">
      <c r="A19" t="s">
        <v>880</v>
      </c>
      <c r="B19" s="135" t="str">
        <f>COVER!T25</f>
        <v>carmenh@skdocpa.com</v>
      </c>
      <c r="G19" s="1962">
        <v>102200400</v>
      </c>
    </row>
    <row r="20" spans="1:7" ht="15" x14ac:dyDescent="0.25">
      <c r="A20" t="s">
        <v>881</v>
      </c>
      <c r="B20" s="135" t="str">
        <f>COVER!T19</f>
        <v>Bourbonnais</v>
      </c>
      <c r="G20" s="1962">
        <v>102200600</v>
      </c>
    </row>
    <row r="21" spans="1:7" ht="15" x14ac:dyDescent="0.25">
      <c r="A21" t="s">
        <v>476</v>
      </c>
      <c r="B21" s="135" t="str">
        <f>COVER!X19</f>
        <v>IL</v>
      </c>
      <c r="G21" s="1962">
        <v>102200800</v>
      </c>
    </row>
    <row r="22" spans="1:7" ht="15" x14ac:dyDescent="0.25">
      <c r="A22" t="s">
        <v>882</v>
      </c>
      <c r="B22" s="135">
        <f>COVER!Z19</f>
        <v>60914</v>
      </c>
      <c r="G22" s="1962">
        <v>102300300</v>
      </c>
    </row>
    <row r="23" spans="1:7" ht="15" x14ac:dyDescent="0.25">
      <c r="A23" t="s">
        <v>1144</v>
      </c>
      <c r="B23" s="135" t="str">
        <f>COVER!T21</f>
        <v>815-937-1997</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Yes</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812634</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319</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319</v>
      </c>
      <c r="C91" s="2" t="s">
        <v>569</v>
      </c>
      <c r="D91" s="2" t="str">
        <f t="shared" si="0"/>
        <v>Error?</v>
      </c>
      <c r="G91" s="1962">
        <v>102640400</v>
      </c>
    </row>
    <row r="92" spans="1:7" ht="15" x14ac:dyDescent="0.25">
      <c r="A92" s="5">
        <v>31</v>
      </c>
      <c r="B92" s="1890">
        <f>'Assets-Liab 5-6'!C39</f>
        <v>812315</v>
      </c>
      <c r="D92" s="2" t="str">
        <f t="shared" si="0"/>
        <v>Error?</v>
      </c>
      <c r="G92" s="1962">
        <v>102640600</v>
      </c>
    </row>
    <row r="93" spans="1:7" ht="15" x14ac:dyDescent="0.25">
      <c r="A93" s="5">
        <v>32</v>
      </c>
      <c r="B93" s="1890">
        <f>'Assets-Liab 5-6'!C41</f>
        <v>812634</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0</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0</v>
      </c>
      <c r="D123" s="2" t="str">
        <f t="shared" si="0"/>
        <v>Error?</v>
      </c>
      <c r="G123" s="1962">
        <v>203000400</v>
      </c>
    </row>
    <row r="124" spans="1:7" ht="15" x14ac:dyDescent="0.25">
      <c r="A124" s="5">
        <v>63</v>
      </c>
      <c r="B124" s="1890">
        <f>'Assets-Liab 5-6'!D41</f>
        <v>0</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5336</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5336</v>
      </c>
      <c r="D170" s="2" t="str">
        <f t="shared" si="1"/>
        <v>Error?</v>
      </c>
    </row>
    <row r="171" spans="1:4" x14ac:dyDescent="0.2">
      <c r="A171" s="5">
        <v>110</v>
      </c>
      <c r="B171" s="1890">
        <f>'Assets-Liab 5-6'!F41</f>
        <v>5336</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0</v>
      </c>
      <c r="D189" s="2" t="str">
        <f t="shared" si="1"/>
        <v>Error?</v>
      </c>
    </row>
    <row r="190" spans="1:4" x14ac:dyDescent="0.2">
      <c r="A190" s="5">
        <v>129</v>
      </c>
      <c r="B190" s="1890">
        <f>'Assets-Liab 5-6'!G41</f>
        <v>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0</v>
      </c>
      <c r="D273" s="2" t="str">
        <f t="shared" si="3"/>
        <v>Error?</v>
      </c>
    </row>
    <row r="274" spans="1:4" x14ac:dyDescent="0.2">
      <c r="A274" s="5">
        <v>213</v>
      </c>
      <c r="B274" s="1890">
        <f>'Assets-Liab 5-6'!M17</f>
        <v>0</v>
      </c>
      <c r="D274" s="2" t="str">
        <f t="shared" si="3"/>
        <v>Error?</v>
      </c>
    </row>
    <row r="275" spans="1:4" x14ac:dyDescent="0.2">
      <c r="A275" s="5">
        <v>214</v>
      </c>
      <c r="B275" s="1890">
        <f>'Assets-Liab 5-6'!M18</f>
        <v>0</v>
      </c>
      <c r="D275" s="2" t="str">
        <f t="shared" si="3"/>
        <v>Error?</v>
      </c>
    </row>
    <row r="276" spans="1:4" x14ac:dyDescent="0.2">
      <c r="A276" s="5">
        <v>215</v>
      </c>
      <c r="B276" s="1890">
        <f>'Assets-Liab 5-6'!M19</f>
        <v>56856</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56856</v>
      </c>
      <c r="C279" s="2" t="s">
        <v>569</v>
      </c>
      <c r="D279" s="2" t="str">
        <f t="shared" si="3"/>
        <v>Error?</v>
      </c>
    </row>
    <row r="280" spans="1:4" x14ac:dyDescent="0.2">
      <c r="A280" s="5">
        <v>219</v>
      </c>
      <c r="B280" s="1890">
        <f>'Assets-Liab 5-6'!M40</f>
        <v>56856</v>
      </c>
      <c r="D280" s="2" t="str">
        <f t="shared" si="3"/>
        <v>Error?</v>
      </c>
    </row>
    <row r="281" spans="1:4" x14ac:dyDescent="0.2">
      <c r="A281" s="5">
        <v>220</v>
      </c>
      <c r="B281" s="1890">
        <f>'Assets-Liab 5-6'!M41</f>
        <v>56856</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0</v>
      </c>
      <c r="D283" s="2" t="str">
        <f t="shared" si="3"/>
        <v>Error?</v>
      </c>
    </row>
    <row r="284" spans="1:4" x14ac:dyDescent="0.2">
      <c r="A284" s="5">
        <v>223</v>
      </c>
      <c r="B284" s="1890">
        <f>'Assets-Liab 5-6'!N23</f>
        <v>0</v>
      </c>
      <c r="C284" s="2" t="s">
        <v>569</v>
      </c>
      <c r="D284" s="2" t="str">
        <f t="shared" si="3"/>
        <v>Error?</v>
      </c>
    </row>
    <row r="285" spans="1:4" x14ac:dyDescent="0.2">
      <c r="A285" s="5">
        <v>224</v>
      </c>
      <c r="B285" s="1890">
        <f>'Assets-Liab 5-6'!N36</f>
        <v>0</v>
      </c>
      <c r="D285" s="2" t="str">
        <f t="shared" si="3"/>
        <v>Error?</v>
      </c>
    </row>
    <row r="286" spans="1:4" x14ac:dyDescent="0.2">
      <c r="A286" s="10">
        <v>225</v>
      </c>
      <c r="B286" s="1890"/>
      <c r="D286" s="2" t="str">
        <f t="shared" si="3"/>
        <v>OK</v>
      </c>
    </row>
    <row r="287" spans="1:4" x14ac:dyDescent="0.2">
      <c r="A287" s="5">
        <v>226</v>
      </c>
      <c r="B287" s="1890">
        <f>'Assets-Liab 5-6'!N37</f>
        <v>0</v>
      </c>
      <c r="C287" s="2" t="s">
        <v>569</v>
      </c>
      <c r="D287" s="2" t="str">
        <f t="shared" si="3"/>
        <v>Error?</v>
      </c>
    </row>
    <row r="288" spans="1:4" x14ac:dyDescent="0.2">
      <c r="A288" s="5">
        <v>227</v>
      </c>
      <c r="B288" s="1890">
        <f>'Assets-Liab 5-6'!N41</f>
        <v>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0</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14613</v>
      </c>
      <c r="D717" s="2" t="str">
        <f t="shared" si="10"/>
        <v>Error?</v>
      </c>
    </row>
    <row r="718" spans="1:4" x14ac:dyDescent="0.2">
      <c r="A718" s="5">
        <v>657</v>
      </c>
      <c r="B718" s="1890">
        <f>'Expenditures 15-22'!C14</f>
        <v>0</v>
      </c>
      <c r="D718" s="2" t="str">
        <f t="shared" si="10"/>
        <v>Error?</v>
      </c>
    </row>
    <row r="719" spans="1:4" x14ac:dyDescent="0.2">
      <c r="A719" s="5">
        <v>658</v>
      </c>
      <c r="B719" s="1890">
        <f>'Expenditures 15-22'!C15</f>
        <v>3056</v>
      </c>
      <c r="D719" s="2" t="str">
        <f t="shared" si="10"/>
        <v>Error?</v>
      </c>
    </row>
    <row r="720" spans="1:4" x14ac:dyDescent="0.2">
      <c r="A720" s="5">
        <v>659</v>
      </c>
      <c r="B720" s="1890">
        <f>'Expenditures 15-22'!C33</f>
        <v>446676</v>
      </c>
      <c r="C720" s="2" t="s">
        <v>569</v>
      </c>
      <c r="D720" s="2" t="str">
        <f t="shared" si="10"/>
        <v>Error?</v>
      </c>
    </row>
    <row r="721" spans="1:4" x14ac:dyDescent="0.2">
      <c r="A721" s="5">
        <v>660</v>
      </c>
      <c r="B721" s="1890">
        <f>'Expenditures 15-22'!C36</f>
        <v>46347</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72958</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71830</v>
      </c>
      <c r="D725" s="2" t="str">
        <f t="shared" si="10"/>
        <v>Error?</v>
      </c>
    </row>
    <row r="726" spans="1:4" x14ac:dyDescent="0.2">
      <c r="A726" s="5">
        <v>665</v>
      </c>
      <c r="B726" s="1890">
        <f>'Expenditures 15-22'!C41</f>
        <v>5065</v>
      </c>
      <c r="D726" s="2" t="str">
        <f t="shared" si="10"/>
        <v>Error?</v>
      </c>
    </row>
    <row r="727" spans="1:4" x14ac:dyDescent="0.2">
      <c r="A727" s="5">
        <v>666</v>
      </c>
      <c r="B727" s="1890">
        <f>'Expenditures 15-22'!C42</f>
        <v>196200</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0</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129793</v>
      </c>
      <c r="D733" s="2" t="str">
        <f t="shared" si="10"/>
        <v>Error?</v>
      </c>
    </row>
    <row r="734" spans="1:4" x14ac:dyDescent="0.2">
      <c r="A734" s="5">
        <v>673</v>
      </c>
      <c r="B734" s="1890">
        <f>'Expenditures 15-22'!C53</f>
        <v>179793</v>
      </c>
      <c r="C734" s="2" t="s">
        <v>569</v>
      </c>
      <c r="D734" s="2" t="str">
        <f t="shared" si="10"/>
        <v>Error?</v>
      </c>
    </row>
    <row r="735" spans="1:4" x14ac:dyDescent="0.2">
      <c r="A735" s="5">
        <v>674</v>
      </c>
      <c r="B735" s="1890">
        <f>'Expenditures 15-22'!C55</f>
        <v>0</v>
      </c>
      <c r="D735" s="2" t="str">
        <f t="shared" si="10"/>
        <v>Error?</v>
      </c>
    </row>
    <row r="736" spans="1:4" x14ac:dyDescent="0.2">
      <c r="A736" s="5">
        <v>675</v>
      </c>
      <c r="B736" s="1890">
        <f>'Expenditures 15-22'!C56</f>
        <v>34460</v>
      </c>
      <c r="D736" s="2" t="str">
        <f t="shared" si="10"/>
        <v>Error?</v>
      </c>
    </row>
    <row r="737" spans="1:4" x14ac:dyDescent="0.2">
      <c r="A737" s="5">
        <v>676</v>
      </c>
      <c r="B737" s="1890">
        <f>'Expenditures 15-22'!C57</f>
        <v>34460</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0</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0</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410453</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857129</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4796</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53</v>
      </c>
      <c r="D777" s="2" t="str">
        <f t="shared" si="11"/>
        <v>Error?</v>
      </c>
    </row>
    <row r="778" spans="1:4" x14ac:dyDescent="0.2">
      <c r="A778" s="5">
        <v>717</v>
      </c>
      <c r="B778" s="1890">
        <f>'Expenditures 15-22'!D33</f>
        <v>99732</v>
      </c>
      <c r="C778" s="2" t="s">
        <v>569</v>
      </c>
      <c r="D778" s="2" t="str">
        <f t="shared" si="11"/>
        <v>Error?</v>
      </c>
    </row>
    <row r="779" spans="1:4" x14ac:dyDescent="0.2">
      <c r="A779" s="5">
        <v>718</v>
      </c>
      <c r="B779" s="1890">
        <f>'Expenditures 15-22'!D36</f>
        <v>6877</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16093</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12461</v>
      </c>
      <c r="D783" s="2" t="str">
        <f t="shared" si="11"/>
        <v>Error?</v>
      </c>
    </row>
    <row r="784" spans="1:4" x14ac:dyDescent="0.2">
      <c r="A784" s="5">
        <v>723</v>
      </c>
      <c r="B784" s="1890">
        <f>'Expenditures 15-22'!D41</f>
        <v>670</v>
      </c>
      <c r="D784" s="2" t="str">
        <f t="shared" si="11"/>
        <v>Error?</v>
      </c>
    </row>
    <row r="785" spans="1:4" x14ac:dyDescent="0.2">
      <c r="A785" s="5">
        <v>724</v>
      </c>
      <c r="B785" s="1890">
        <f>'Expenditures 15-22'!D42</f>
        <v>36101</v>
      </c>
      <c r="C785" s="2" t="s">
        <v>569</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0</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4733</v>
      </c>
      <c r="D791" s="2" t="str">
        <f t="shared" si="11"/>
        <v>Error?</v>
      </c>
    </row>
    <row r="792" spans="1:4" x14ac:dyDescent="0.2">
      <c r="A792" s="5">
        <v>731</v>
      </c>
      <c r="B792" s="1890">
        <f>'Expenditures 15-22'!D53</f>
        <v>12490</v>
      </c>
      <c r="C792" s="2" t="s">
        <v>569</v>
      </c>
      <c r="D792" s="2" t="str">
        <f t="shared" si="11"/>
        <v>Error?</v>
      </c>
    </row>
    <row r="793" spans="1:4" x14ac:dyDescent="0.2">
      <c r="A793" s="5">
        <v>732</v>
      </c>
      <c r="B793" s="1890">
        <f>'Expenditures 15-22'!D55</f>
        <v>0</v>
      </c>
      <c r="D793" s="2" t="str">
        <f t="shared" si="11"/>
        <v>Error?</v>
      </c>
    </row>
    <row r="794" spans="1:4" x14ac:dyDescent="0.2">
      <c r="A794" s="5">
        <v>733</v>
      </c>
      <c r="B794" s="1890">
        <f>'Expenditures 15-22'!D56</f>
        <v>853</v>
      </c>
      <c r="D794" s="2" t="str">
        <f t="shared" si="11"/>
        <v>Error?</v>
      </c>
    </row>
    <row r="795" spans="1:4" x14ac:dyDescent="0.2">
      <c r="A795" s="5">
        <v>734</v>
      </c>
      <c r="B795" s="1890">
        <f>'Expenditures 15-22'!D57</f>
        <v>853</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49444</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149176</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591</v>
      </c>
      <c r="D833" s="2" t="str">
        <f t="shared" si="12"/>
        <v>Error?</v>
      </c>
    </row>
    <row r="834" spans="1:4" x14ac:dyDescent="0.2">
      <c r="A834" s="5">
        <v>773</v>
      </c>
      <c r="B834" s="1890">
        <f>'Expenditures 15-22'!E14</f>
        <v>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33354</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890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16823</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17713</v>
      </c>
      <c r="C843" s="2" t="s">
        <v>569</v>
      </c>
      <c r="D843" s="2" t="str">
        <f t="shared" si="12"/>
        <v>Error?</v>
      </c>
    </row>
    <row r="844" spans="1:4" x14ac:dyDescent="0.2">
      <c r="A844" s="5">
        <v>783</v>
      </c>
      <c r="B844" s="1890">
        <f>'Expenditures 15-22'!E44</f>
        <v>27598</v>
      </c>
      <c r="D844" s="2" t="str">
        <f t="shared" si="12"/>
        <v>Error?</v>
      </c>
    </row>
    <row r="845" spans="1:4" x14ac:dyDescent="0.2">
      <c r="A845" s="5">
        <v>784</v>
      </c>
      <c r="B845" s="1890">
        <f>'Expenditures 15-22'!E45</f>
        <v>667</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28265</v>
      </c>
      <c r="C847" s="2" t="s">
        <v>569</v>
      </c>
      <c r="D847" s="2" t="str">
        <f t="shared" si="12"/>
        <v>Error?</v>
      </c>
    </row>
    <row r="848" spans="1:4" x14ac:dyDescent="0.2">
      <c r="A848" s="5">
        <v>787</v>
      </c>
      <c r="B848" s="1890">
        <f>'Expenditures 15-22'!E49</f>
        <v>12884</v>
      </c>
      <c r="D848" s="2" t="str">
        <f t="shared" si="12"/>
        <v>Error?</v>
      </c>
    </row>
    <row r="849" spans="1:4" x14ac:dyDescent="0.2">
      <c r="A849" s="5">
        <v>788</v>
      </c>
      <c r="B849" s="1890">
        <f>'Expenditures 15-22'!E50</f>
        <v>16371</v>
      </c>
      <c r="D849" s="2" t="str">
        <f t="shared" si="12"/>
        <v>Error?</v>
      </c>
    </row>
    <row r="850" spans="1:4" x14ac:dyDescent="0.2">
      <c r="A850" s="5">
        <v>789</v>
      </c>
      <c r="B850" s="1890">
        <f>'Expenditures 15-22'!E53</f>
        <v>46512</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44844</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44844</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137334</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170688</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78</v>
      </c>
      <c r="D891" s="2" t="str">
        <f t="shared" si="12"/>
        <v>Error?</v>
      </c>
    </row>
    <row r="892" spans="1:4" x14ac:dyDescent="0.2">
      <c r="A892" s="5">
        <v>831</v>
      </c>
      <c r="B892" s="1890">
        <f>'Expenditures 15-22'!F14</f>
        <v>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5585</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387</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-4302</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-3915</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0</v>
      </c>
      <c r="C905" s="2" t="s">
        <v>569</v>
      </c>
      <c r="D905" s="2" t="str">
        <f t="shared" si="13"/>
        <v>Error?</v>
      </c>
    </row>
    <row r="906" spans="1:4" x14ac:dyDescent="0.2">
      <c r="A906" s="5">
        <v>845</v>
      </c>
      <c r="B906" s="1890">
        <f>'Expenditures 15-22'!F49</f>
        <v>0</v>
      </c>
      <c r="D906" s="2" t="str">
        <f t="shared" si="13"/>
        <v>Error?</v>
      </c>
    </row>
    <row r="907" spans="1:4" x14ac:dyDescent="0.2">
      <c r="A907" s="5">
        <v>846</v>
      </c>
      <c r="B907" s="1890">
        <f>'Expenditures 15-22'!F50</f>
        <v>1285</v>
      </c>
      <c r="D907" s="2" t="str">
        <f t="shared" si="13"/>
        <v>Error?</v>
      </c>
    </row>
    <row r="908" spans="1:4" x14ac:dyDescent="0.2">
      <c r="A908" s="5">
        <v>847</v>
      </c>
      <c r="B908" s="1890">
        <f>'Expenditures 15-22'!F53</f>
        <v>1285</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0</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0</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0</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-2630</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2955</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685</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5460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374</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598</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972</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972</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6432</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4920</v>
      </c>
      <c r="D1023" s="2" t="str">
        <f t="shared" ref="D1023:D1086" si="15">IF(ISBLANK(B1023),"OK",IF(A1023-B1023=0,"OK","Error?"))</f>
        <v>Error?</v>
      </c>
    </row>
    <row r="1024" spans="1:4" x14ac:dyDescent="0.2">
      <c r="A1024" s="5">
        <v>963</v>
      </c>
      <c r="B1024" s="1890">
        <f>'Expenditures 15-22'!H53</f>
        <v>10995</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10995</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352315</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363310</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0</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20763</v>
      </c>
      <c r="C1105" s="2" t="s">
        <v>569</v>
      </c>
      <c r="D1105" s="2" t="str">
        <f t="shared" si="16"/>
        <v>Error?</v>
      </c>
    </row>
    <row r="1106" spans="1:4" x14ac:dyDescent="0.2">
      <c r="A1106" s="5">
        <v>1045</v>
      </c>
      <c r="B1106" s="1890">
        <f>'Expenditures 15-22'!K14</f>
        <v>0</v>
      </c>
      <c r="C1106" s="2" t="s">
        <v>569</v>
      </c>
      <c r="D1106" s="2" t="str">
        <f t="shared" si="16"/>
        <v>Error?</v>
      </c>
    </row>
    <row r="1107" spans="1:4" x14ac:dyDescent="0.2">
      <c r="A1107" s="5">
        <v>1046</v>
      </c>
      <c r="B1107" s="1890">
        <f>'Expenditures 15-22'!K15</f>
        <v>3109</v>
      </c>
      <c r="C1107" s="2" t="s">
        <v>569</v>
      </c>
      <c r="D1107" s="2" t="str">
        <f t="shared" si="16"/>
        <v>Error?</v>
      </c>
    </row>
    <row r="1108" spans="1:4" x14ac:dyDescent="0.2">
      <c r="A1108" s="5">
        <v>1047</v>
      </c>
      <c r="B1108" s="1890">
        <f>'Expenditures 15-22'!K33</f>
        <v>590807</v>
      </c>
      <c r="C1108" s="2" t="s">
        <v>569</v>
      </c>
      <c r="D1108" s="2" t="str">
        <f t="shared" si="16"/>
        <v>Error?</v>
      </c>
    </row>
    <row r="1109" spans="1:4" x14ac:dyDescent="0.2">
      <c r="A1109" s="5">
        <v>1048</v>
      </c>
      <c r="B1109" s="1890">
        <f>'Expenditures 15-22'!K36</f>
        <v>53224</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90702</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97410</v>
      </c>
      <c r="C1113" s="2" t="s">
        <v>569</v>
      </c>
      <c r="D1113" s="2" t="str">
        <f t="shared" si="16"/>
        <v>Error?</v>
      </c>
    </row>
    <row r="1114" spans="1:4" x14ac:dyDescent="0.2">
      <c r="A1114" s="5">
        <v>1053</v>
      </c>
      <c r="B1114" s="1890">
        <f>'Expenditures 15-22'!K41</f>
        <v>5735</v>
      </c>
      <c r="C1114" s="2" t="s">
        <v>569</v>
      </c>
      <c r="D1114" s="2" t="str">
        <f t="shared" si="16"/>
        <v>Error?</v>
      </c>
    </row>
    <row r="1115" spans="1:4" x14ac:dyDescent="0.2">
      <c r="A1115" s="5">
        <v>1054</v>
      </c>
      <c r="B1115" s="1890">
        <f>'Expenditures 15-22'!K42</f>
        <v>247071</v>
      </c>
      <c r="C1115" s="2" t="s">
        <v>569</v>
      </c>
      <c r="D1115" s="2" t="str">
        <f t="shared" si="16"/>
        <v>Error?</v>
      </c>
    </row>
    <row r="1116" spans="1:4" x14ac:dyDescent="0.2">
      <c r="A1116" s="5">
        <v>1055</v>
      </c>
      <c r="B1116" s="1890">
        <f>'Expenditures 15-22'!K44</f>
        <v>27598</v>
      </c>
      <c r="C1116" s="2" t="s">
        <v>569</v>
      </c>
      <c r="D1116" s="2" t="str">
        <f t="shared" si="16"/>
        <v>Error?</v>
      </c>
    </row>
    <row r="1117" spans="1:4" x14ac:dyDescent="0.2">
      <c r="A1117" s="5">
        <v>1056</v>
      </c>
      <c r="B1117" s="1890">
        <f>'Expenditures 15-22'!K45</f>
        <v>667</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28265</v>
      </c>
      <c r="C1119" s="2" t="s">
        <v>569</v>
      </c>
      <c r="D1119" s="2" t="str">
        <f t="shared" si="16"/>
        <v>Error?</v>
      </c>
    </row>
    <row r="1120" spans="1:4" x14ac:dyDescent="0.2">
      <c r="A1120" s="5">
        <v>1059</v>
      </c>
      <c r="B1120" s="1890">
        <f>'Expenditures 15-22'!K49</f>
        <v>12884</v>
      </c>
      <c r="C1120" s="2" t="s">
        <v>569</v>
      </c>
      <c r="D1120" s="2" t="str">
        <f t="shared" si="16"/>
        <v>Error?</v>
      </c>
    </row>
    <row r="1121" spans="1:4" x14ac:dyDescent="0.2">
      <c r="A1121" s="5">
        <v>1060</v>
      </c>
      <c r="B1121" s="1890">
        <f>'Expenditures 15-22'!K50</f>
        <v>157102</v>
      </c>
      <c r="C1121" s="2" t="s">
        <v>569</v>
      </c>
      <c r="D1121" s="2" t="str">
        <f t="shared" si="16"/>
        <v>Error?</v>
      </c>
    </row>
    <row r="1122" spans="1:4" x14ac:dyDescent="0.2">
      <c r="A1122" s="5">
        <v>1061</v>
      </c>
      <c r="B1122" s="1890">
        <f>'Expenditures 15-22'!K53</f>
        <v>251075</v>
      </c>
      <c r="C1122" s="2" t="s">
        <v>569</v>
      </c>
      <c r="D1122" s="2" t="str">
        <f t="shared" si="16"/>
        <v>Error?</v>
      </c>
    </row>
    <row r="1123" spans="1:4" x14ac:dyDescent="0.2">
      <c r="A1123" s="5">
        <v>1062</v>
      </c>
      <c r="B1123" s="1890">
        <f>'Expenditures 15-22'!K55</f>
        <v>0</v>
      </c>
      <c r="C1123" s="2" t="s">
        <v>569</v>
      </c>
      <c r="D1123" s="2" t="str">
        <f t="shared" si="16"/>
        <v>Error?</v>
      </c>
    </row>
    <row r="1124" spans="1:4" x14ac:dyDescent="0.2">
      <c r="A1124" s="5">
        <v>1063</v>
      </c>
      <c r="B1124" s="1890">
        <f>'Expenditures 15-22'!K56</f>
        <v>35313</v>
      </c>
      <c r="C1124" s="2" t="s">
        <v>569</v>
      </c>
      <c r="D1124" s="2" t="str">
        <f t="shared" si="16"/>
        <v>Error?</v>
      </c>
    </row>
    <row r="1125" spans="1:4" x14ac:dyDescent="0.2">
      <c r="A1125" s="5">
        <v>1064</v>
      </c>
      <c r="B1125" s="1890">
        <f>'Expenditures 15-22'!K57</f>
        <v>35313</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44844</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0</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44844</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606568</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352315</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1549690</v>
      </c>
      <c r="C1152" s="2" t="s">
        <v>569</v>
      </c>
      <c r="D1152" s="2" t="str">
        <f t="shared" si="17"/>
        <v>Error?</v>
      </c>
    </row>
    <row r="1153" spans="1:4" x14ac:dyDescent="0.2">
      <c r="A1153" s="5">
        <v>1092</v>
      </c>
      <c r="B1153" s="1890">
        <f>'Expenditures 15-22'!K115</f>
        <v>-96268</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0</v>
      </c>
      <c r="D1221" s="2" t="str">
        <f t="shared" si="18"/>
        <v>Error?</v>
      </c>
    </row>
    <row r="1222" spans="1:4" x14ac:dyDescent="0.2">
      <c r="A1222" s="10">
        <v>1161</v>
      </c>
      <c r="B1222" s="1890"/>
      <c r="D1222" s="2" t="str">
        <f t="shared" si="18"/>
        <v>OK</v>
      </c>
    </row>
    <row r="1223" spans="1:4" x14ac:dyDescent="0.2">
      <c r="A1223" s="5">
        <v>1162</v>
      </c>
      <c r="B1223" s="1890">
        <f>'Expenditures 15-22'!C127</f>
        <v>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0</v>
      </c>
      <c r="C1225" s="2" t="s">
        <v>569</v>
      </c>
      <c r="D1225" s="2" t="str">
        <f t="shared" si="18"/>
        <v>Error?</v>
      </c>
    </row>
    <row r="1226" spans="1:4" x14ac:dyDescent="0.2">
      <c r="A1226" s="5">
        <v>1165</v>
      </c>
      <c r="B1226" s="1890">
        <f>'Expenditures 15-22'!C151</f>
        <v>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0</v>
      </c>
      <c r="D1237" s="2" t="str">
        <f t="shared" si="18"/>
        <v>Error?</v>
      </c>
    </row>
    <row r="1238" spans="1:4" x14ac:dyDescent="0.2">
      <c r="A1238" s="10">
        <v>1177</v>
      </c>
      <c r="B1238" s="1890"/>
      <c r="D1238" s="2" t="str">
        <f t="shared" si="18"/>
        <v>OK</v>
      </c>
    </row>
    <row r="1239" spans="1:4" x14ac:dyDescent="0.2">
      <c r="A1239" s="5">
        <v>1178</v>
      </c>
      <c r="B1239" s="1890">
        <f>'Expenditures 15-22'!E127</f>
        <v>0</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0</v>
      </c>
      <c r="C1241" s="2" t="s">
        <v>569</v>
      </c>
      <c r="D1241" s="2" t="str">
        <f t="shared" si="18"/>
        <v>Error?</v>
      </c>
    </row>
    <row r="1242" spans="1:4" x14ac:dyDescent="0.2">
      <c r="A1242" s="5">
        <v>1181</v>
      </c>
      <c r="B1242" s="1890">
        <f>'Expenditures 15-22'!E151</f>
        <v>0</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0</v>
      </c>
      <c r="D1245" s="2" t="str">
        <f t="shared" si="18"/>
        <v>Error?</v>
      </c>
    </row>
    <row r="1246" spans="1:4" x14ac:dyDescent="0.2">
      <c r="A1246" s="10">
        <v>1185</v>
      </c>
      <c r="B1246" s="1890"/>
      <c r="D1246" s="2" t="str">
        <f t="shared" si="18"/>
        <v>OK</v>
      </c>
    </row>
    <row r="1247" spans="1:4" x14ac:dyDescent="0.2">
      <c r="A1247" s="5">
        <v>1186</v>
      </c>
      <c r="B1247" s="1890">
        <f>'Expenditures 15-22'!F127</f>
        <v>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0</v>
      </c>
      <c r="C1249" s="2" t="s">
        <v>569</v>
      </c>
      <c r="D1249" s="2" t="str">
        <f t="shared" si="18"/>
        <v>Error?</v>
      </c>
    </row>
    <row r="1250" spans="1:4" x14ac:dyDescent="0.2">
      <c r="A1250" s="5">
        <v>1189</v>
      </c>
      <c r="B1250" s="1890">
        <f>'Expenditures 15-22'!F151</f>
        <v>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0</v>
      </c>
      <c r="C1258" s="2" t="s">
        <v>569</v>
      </c>
      <c r="D1258" s="2" t="str">
        <f t="shared" si="18"/>
        <v>Error?</v>
      </c>
    </row>
    <row r="1259" spans="1:4" x14ac:dyDescent="0.2">
      <c r="A1259" s="5">
        <v>1198</v>
      </c>
      <c r="B1259" s="1890">
        <f>'Expenditures 15-22'!G151</f>
        <v>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0</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0</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0</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0</v>
      </c>
      <c r="C1288" s="2" t="s">
        <v>569</v>
      </c>
      <c r="D1288" s="2" t="str">
        <f t="shared" si="19"/>
        <v>Error?</v>
      </c>
    </row>
    <row r="1289" spans="1:4" x14ac:dyDescent="0.2">
      <c r="A1289" s="5">
        <v>1228</v>
      </c>
      <c r="B1289" s="1890">
        <f>'Expenditures 15-22'!K152</f>
        <v>0</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0</v>
      </c>
      <c r="C1317" s="2" t="s">
        <v>569</v>
      </c>
      <c r="D1317" s="2" t="str">
        <f t="shared" si="19"/>
        <v>Error?</v>
      </c>
    </row>
    <row r="1318" spans="1:4" x14ac:dyDescent="0.2">
      <c r="A1318" s="5">
        <v>1257</v>
      </c>
      <c r="B1318" s="1890">
        <f>'Expenditures 15-22'!H174</f>
        <v>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0</v>
      </c>
      <c r="C1331" s="2" t="s">
        <v>569</v>
      </c>
      <c r="D1331" s="2" t="str">
        <f t="shared" si="19"/>
        <v>Error?</v>
      </c>
    </row>
    <row r="1332" spans="1:4" x14ac:dyDescent="0.2">
      <c r="A1332" s="5">
        <v>1271</v>
      </c>
      <c r="B1332" s="1890">
        <f>'Expenditures 15-22'!K174</f>
        <v>0</v>
      </c>
      <c r="C1332" s="2" t="s">
        <v>569</v>
      </c>
      <c r="D1332" s="2" t="str">
        <f t="shared" si="19"/>
        <v>Error?</v>
      </c>
    </row>
    <row r="1333" spans="1:4" x14ac:dyDescent="0.2">
      <c r="A1333" s="5">
        <v>1272</v>
      </c>
      <c r="B1333" s="1890">
        <f>'Expenditures 15-22'!K175</f>
        <v>0</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0</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0</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0</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0</v>
      </c>
      <c r="C1388" s="2" t="s">
        <v>569</v>
      </c>
      <c r="D1388" s="2" t="str">
        <f t="shared" si="20"/>
        <v>Error?</v>
      </c>
    </row>
    <row r="1389" spans="1:4" x14ac:dyDescent="0.2">
      <c r="A1389" s="5">
        <v>1328</v>
      </c>
      <c r="B1389" s="1890">
        <f>'Expenditures 15-22'!K211</f>
        <v>0</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0</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0</v>
      </c>
      <c r="D1423" s="2" t="str">
        <f t="shared" si="21"/>
        <v>Error?</v>
      </c>
    </row>
    <row r="1424" spans="1:4" x14ac:dyDescent="0.2">
      <c r="A1424" s="5">
        <v>1363</v>
      </c>
      <c r="B1424" s="1890">
        <f>'Expenditures 15-22'!D257</f>
        <v>0</v>
      </c>
      <c r="C1424" s="2" t="s">
        <v>569</v>
      </c>
      <c r="D1424" s="2" t="str">
        <f t="shared" si="21"/>
        <v>Error?</v>
      </c>
    </row>
    <row r="1425" spans="1:4" x14ac:dyDescent="0.2">
      <c r="A1425" s="5">
        <v>1364</v>
      </c>
      <c r="B1425" s="1890">
        <f>'Expenditures 15-22'!D259</f>
        <v>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0</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0</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0</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0</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0</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0</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0</v>
      </c>
      <c r="C1487" s="2" t="s">
        <v>569</v>
      </c>
      <c r="D1487" s="2" t="str">
        <f t="shared" si="22"/>
        <v>Error?</v>
      </c>
    </row>
    <row r="1488" spans="1:4" x14ac:dyDescent="0.2">
      <c r="A1488" s="5">
        <v>1427</v>
      </c>
      <c r="B1488" s="1890">
        <f>'Expenditures 15-22'!K257</f>
        <v>0</v>
      </c>
      <c r="C1488" s="2" t="s">
        <v>569</v>
      </c>
      <c r="D1488" s="2" t="str">
        <f t="shared" si="22"/>
        <v>Error?</v>
      </c>
    </row>
    <row r="1489" spans="1:4" x14ac:dyDescent="0.2">
      <c r="A1489" s="5">
        <v>1428</v>
      </c>
      <c r="B1489" s="1890">
        <f>'Expenditures 15-22'!K259</f>
        <v>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0</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0</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0</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0</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0</v>
      </c>
      <c r="C1517" s="2" t="s">
        <v>569</v>
      </c>
      <c r="D1517" s="2" t="str">
        <f t="shared" si="22"/>
        <v>Error?</v>
      </c>
    </row>
    <row r="1518" spans="1:4" x14ac:dyDescent="0.2">
      <c r="A1518" s="5">
        <v>1457</v>
      </c>
      <c r="B1518" s="1890">
        <f>'Expenditures 15-22'!K296</f>
        <v>0</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893583</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812315</v>
      </c>
      <c r="C1630" s="2" t="s">
        <v>569</v>
      </c>
      <c r="D1630" s="2" t="str">
        <f t="shared" si="24"/>
        <v>Error?</v>
      </c>
    </row>
    <row r="1631" spans="1:4" x14ac:dyDescent="0.2">
      <c r="A1631" s="5">
        <v>1570</v>
      </c>
      <c r="B1631" s="1890">
        <f>'Acct Summary 7-8'!D79</f>
        <v>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0</v>
      </c>
      <c r="C1644" s="2" t="s">
        <v>569</v>
      </c>
      <c r="D1644" s="2" t="str">
        <f t="shared" si="24"/>
        <v>Error?</v>
      </c>
    </row>
    <row r="1645" spans="1:4" x14ac:dyDescent="0.2">
      <c r="A1645" s="5">
        <v>1584</v>
      </c>
      <c r="B1645" s="1890">
        <f>'Acct Summary 7-8'!E79</f>
        <v>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569</v>
      </c>
      <c r="D1658" s="2" t="str">
        <f t="shared" si="24"/>
        <v>Error?</v>
      </c>
    </row>
    <row r="1659" spans="1:4" x14ac:dyDescent="0.2">
      <c r="A1659" s="5">
        <v>1598</v>
      </c>
      <c r="B1659" s="1890">
        <f>'Acct Summary 7-8'!F79</f>
        <v>20336</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5336</v>
      </c>
      <c r="C1672" s="2" t="s">
        <v>569</v>
      </c>
      <c r="D1672" s="2" t="str">
        <f t="shared" si="25"/>
        <v>Error?</v>
      </c>
    </row>
    <row r="1673" spans="1:4" x14ac:dyDescent="0.2">
      <c r="A1673" s="5">
        <v>1612</v>
      </c>
      <c r="B1673" s="1890">
        <f>'Acct Summary 7-8'!G79</f>
        <v>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0</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0</v>
      </c>
      <c r="C1744" s="2" t="s">
        <v>569</v>
      </c>
      <c r="D1744" s="2" t="str">
        <f t="shared" si="26"/>
        <v>Error?</v>
      </c>
    </row>
    <row r="1745" spans="1:5" x14ac:dyDescent="0.2">
      <c r="A1745" s="5">
        <v>1684</v>
      </c>
      <c r="B1745" s="1890">
        <f>'Tax Sched 23'!B5</f>
        <v>0</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0</v>
      </c>
      <c r="C1747" s="2" t="s">
        <v>569</v>
      </c>
      <c r="D1747" s="2" t="str">
        <f t="shared" si="26"/>
        <v>Error?</v>
      </c>
    </row>
    <row r="1748" spans="1:5" x14ac:dyDescent="0.2">
      <c r="A1748" s="5">
        <v>1687</v>
      </c>
      <c r="B1748" s="1890">
        <f>'Tax Sched 23'!B8</f>
        <v>0</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0</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0</v>
      </c>
      <c r="C1759" s="2" t="s">
        <v>569</v>
      </c>
      <c r="D1759" s="2" t="str">
        <f t="shared" si="26"/>
        <v>Error?</v>
      </c>
    </row>
    <row r="1760" spans="1:5" x14ac:dyDescent="0.2">
      <c r="A1760" s="5">
        <v>1699</v>
      </c>
      <c r="B1760" s="1890">
        <f>'Tax Sched 23'!D4</f>
        <v>0</v>
      </c>
      <c r="C1760" s="2" t="s">
        <v>569</v>
      </c>
      <c r="D1760" s="2" t="str">
        <f t="shared" si="26"/>
        <v>Error?</v>
      </c>
    </row>
    <row r="1761" spans="1:7" x14ac:dyDescent="0.2">
      <c r="A1761" s="5">
        <v>1700</v>
      </c>
      <c r="B1761" s="1890">
        <f>'Tax Sched 23'!D5</f>
        <v>0</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0</v>
      </c>
      <c r="C1763" s="2" t="s">
        <v>569</v>
      </c>
      <c r="D1763" s="2" t="str">
        <f t="shared" si="26"/>
        <v>Error?</v>
      </c>
    </row>
    <row r="1764" spans="1:7" x14ac:dyDescent="0.2">
      <c r="A1764" s="5">
        <v>1703</v>
      </c>
      <c r="B1764" s="1890">
        <f>'Tax Sched 23'!D8</f>
        <v>0</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0</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0</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0</v>
      </c>
      <c r="C1792" s="2" t="s">
        <v>569</v>
      </c>
      <c r="D1792" s="2" t="str">
        <f t="shared" si="27"/>
        <v>Error?</v>
      </c>
    </row>
    <row r="1793" spans="1:4" x14ac:dyDescent="0.2">
      <c r="A1793" s="5">
        <v>1732</v>
      </c>
      <c r="B1793" s="1890">
        <f>'Tax Sched 23'!F5</f>
        <v>0</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0</v>
      </c>
      <c r="C1795" s="2" t="s">
        <v>569</v>
      </c>
      <c r="D1795" s="2" t="str">
        <f t="shared" si="27"/>
        <v>Error?</v>
      </c>
    </row>
    <row r="1796" spans="1:4" x14ac:dyDescent="0.2">
      <c r="A1796" s="5">
        <v>1735</v>
      </c>
      <c r="B1796" s="1890">
        <f>'Tax Sched 23'!F8</f>
        <v>0</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0</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0</v>
      </c>
      <c r="C1807" s="2" t="s">
        <v>569</v>
      </c>
      <c r="D1807" s="2" t="str">
        <f t="shared" si="27"/>
        <v>Error?</v>
      </c>
    </row>
    <row r="1808" spans="1:4" x14ac:dyDescent="0.2">
      <c r="A1808" s="5">
        <v>1747</v>
      </c>
      <c r="B1808" s="1890">
        <f>'Tax Sched 23'!E4</f>
        <v>0</v>
      </c>
      <c r="D1808" s="2" t="str">
        <f t="shared" si="27"/>
        <v>Error?</v>
      </c>
    </row>
    <row r="1809" spans="1:4" x14ac:dyDescent="0.2">
      <c r="A1809" s="5">
        <v>1748</v>
      </c>
      <c r="B1809" s="1890">
        <f>'Tax Sched 23'!E5</f>
        <v>0</v>
      </c>
      <c r="D1809" s="2" t="str">
        <f t="shared" si="27"/>
        <v>Error?</v>
      </c>
    </row>
    <row r="1810" spans="1:4" x14ac:dyDescent="0.2">
      <c r="A1810" s="5">
        <v>1749</v>
      </c>
      <c r="B1810" s="1890">
        <f>'Tax Sched 23'!E6</f>
        <v>0</v>
      </c>
      <c r="D1810" s="2" t="str">
        <f t="shared" si="27"/>
        <v>Error?</v>
      </c>
    </row>
    <row r="1811" spans="1:4" x14ac:dyDescent="0.2">
      <c r="A1811" s="5">
        <v>1750</v>
      </c>
      <c r="B1811" s="1890">
        <f>'Tax Sched 23'!E7</f>
        <v>0</v>
      </c>
      <c r="D1811" s="2" t="str">
        <f t="shared" si="27"/>
        <v>Error?</v>
      </c>
    </row>
    <row r="1812" spans="1:4" x14ac:dyDescent="0.2">
      <c r="A1812" s="5">
        <v>1751</v>
      </c>
      <c r="B1812" s="1890">
        <f>'Tax Sched 23'!E8</f>
        <v>0</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0</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0</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0</v>
      </c>
      <c r="D2008" s="2" t="str">
        <f t="shared" si="30"/>
        <v>Error?</v>
      </c>
    </row>
    <row r="2009" spans="1:4" x14ac:dyDescent="0.2">
      <c r="A2009" s="5">
        <v>1948</v>
      </c>
      <c r="B2009" s="1890">
        <f>'Cap Outlay Deprec 26'!C8</f>
        <v>0</v>
      </c>
      <c r="D2009" s="2" t="str">
        <f t="shared" si="30"/>
        <v>Error?</v>
      </c>
    </row>
    <row r="2010" spans="1:4" x14ac:dyDescent="0.2">
      <c r="A2010" s="5">
        <v>1949</v>
      </c>
      <c r="B2010" s="1890">
        <f>'Cap Outlay Deprec 26'!C10</f>
        <v>0</v>
      </c>
      <c r="D2010" s="2" t="str">
        <f t="shared" si="30"/>
        <v>Error?</v>
      </c>
    </row>
    <row r="2011" spans="1:4" x14ac:dyDescent="0.2">
      <c r="A2011" s="5">
        <v>1950</v>
      </c>
      <c r="B2011" s="1890">
        <f>'Cap Outlay Deprec 26'!C12</f>
        <v>50424</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50424</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6432</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6432</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0</v>
      </c>
      <c r="C2026" s="2" t="s">
        <v>569</v>
      </c>
      <c r="D2026" s="2" t="str">
        <f t="shared" si="30"/>
        <v>Error?</v>
      </c>
    </row>
    <row r="2027" spans="1:4" x14ac:dyDescent="0.2">
      <c r="A2027" s="5">
        <v>1966</v>
      </c>
      <c r="B2027" s="1890">
        <f>'Cap Outlay Deprec 26'!F8</f>
        <v>0</v>
      </c>
      <c r="C2027" s="2" t="s">
        <v>569</v>
      </c>
      <c r="D2027" s="2" t="str">
        <f t="shared" si="30"/>
        <v>Error?</v>
      </c>
    </row>
    <row r="2028" spans="1:4" x14ac:dyDescent="0.2">
      <c r="A2028" s="5">
        <v>1967</v>
      </c>
      <c r="B2028" s="1890">
        <f>'Cap Outlay Deprec 26'!F10</f>
        <v>0</v>
      </c>
      <c r="C2028" s="2" t="s">
        <v>569</v>
      </c>
      <c r="D2028" s="2" t="str">
        <f t="shared" si="30"/>
        <v>Error?</v>
      </c>
    </row>
    <row r="2029" spans="1:4" x14ac:dyDescent="0.2">
      <c r="A2029" s="5">
        <v>1968</v>
      </c>
      <c r="B2029" s="1890">
        <f>'Cap Outlay Deprec 26'!F12</f>
        <v>56856</v>
      </c>
      <c r="C2029" s="2" t="s">
        <v>569</v>
      </c>
      <c r="D2029" s="2" t="str">
        <f t="shared" si="30"/>
        <v>Error?</v>
      </c>
    </row>
    <row r="2030" spans="1:4" x14ac:dyDescent="0.2">
      <c r="A2030" s="5">
        <v>1969</v>
      </c>
      <c r="B2030" s="1890">
        <f>'Cap Outlay Deprec 26'!F13</f>
        <v>0</v>
      </c>
      <c r="C2030" s="2" t="s">
        <v>569</v>
      </c>
      <c r="D2030" s="2" t="str">
        <f t="shared" si="30"/>
        <v>Error?</v>
      </c>
    </row>
    <row r="2031" spans="1:4" x14ac:dyDescent="0.2">
      <c r="A2031" s="5">
        <v>1970</v>
      </c>
      <c r="B2031" s="1890">
        <f>'Cap Outlay Deprec 26'!F16</f>
        <v>56856</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0</v>
      </c>
      <c r="D2033" s="2" t="str">
        <f t="shared" si="30"/>
        <v>Error?</v>
      </c>
    </row>
    <row r="2034" spans="1:4" x14ac:dyDescent="0.2">
      <c r="A2034" s="5">
        <v>1973</v>
      </c>
      <c r="B2034" s="1890">
        <f>'Cap Outlay Deprec 26'!H10</f>
        <v>0</v>
      </c>
      <c r="D2034" s="2" t="str">
        <f t="shared" si="30"/>
        <v>Error?</v>
      </c>
    </row>
    <row r="2035" spans="1:4" x14ac:dyDescent="0.2">
      <c r="A2035" s="5">
        <v>1974</v>
      </c>
      <c r="B2035" s="1890">
        <f>'Cap Outlay Deprec 26'!H12</f>
        <v>0</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0</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0</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0</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0</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0</v>
      </c>
      <c r="C2051" s="2" t="s">
        <v>569</v>
      </c>
      <c r="D2051" s="2" t="str">
        <f t="shared" si="31"/>
        <v>Error?</v>
      </c>
    </row>
    <row r="2052" spans="1:4" x14ac:dyDescent="0.2">
      <c r="A2052" s="5">
        <v>1991</v>
      </c>
      <c r="B2052" s="1890">
        <f>'Cap Outlay Deprec 26'!K10</f>
        <v>0</v>
      </c>
      <c r="C2052" s="2" t="s">
        <v>569</v>
      </c>
      <c r="D2052" s="2" t="str">
        <f t="shared" si="31"/>
        <v>Error?</v>
      </c>
    </row>
    <row r="2053" spans="1:4" x14ac:dyDescent="0.2">
      <c r="A2053" s="5">
        <v>1992</v>
      </c>
      <c r="B2053" s="1890">
        <f>'Cap Outlay Deprec 26'!K12</f>
        <v>0</v>
      </c>
      <c r="C2053" s="2" t="s">
        <v>569</v>
      </c>
      <c r="D2053" s="2" t="str">
        <f t="shared" si="31"/>
        <v>Error?</v>
      </c>
    </row>
    <row r="2054" spans="1:4" x14ac:dyDescent="0.2">
      <c r="A2054" s="5">
        <v>1993</v>
      </c>
      <c r="B2054" s="1890">
        <f>'Cap Outlay Deprec 26'!K13</f>
        <v>0</v>
      </c>
      <c r="C2054" s="2" t="s">
        <v>569</v>
      </c>
      <c r="D2054" s="2" t="str">
        <f t="shared" si="31"/>
        <v>Error?</v>
      </c>
    </row>
    <row r="2055" spans="1:4" x14ac:dyDescent="0.2">
      <c r="A2055" s="5">
        <v>1994</v>
      </c>
      <c r="B2055" s="1890">
        <f>'Cap Outlay Deprec 26'!K16</f>
        <v>0</v>
      </c>
      <c r="C2055" s="2" t="s">
        <v>569</v>
      </c>
      <c r="D2055" s="2" t="str">
        <f t="shared" si="31"/>
        <v>Error?</v>
      </c>
    </row>
    <row r="2056" spans="1:4" x14ac:dyDescent="0.2">
      <c r="A2056" s="5">
        <v>1995</v>
      </c>
      <c r="B2056" s="1890">
        <f>'Cap Outlay Deprec 26'!L5</f>
        <v>0</v>
      </c>
      <c r="C2056" s="2" t="s">
        <v>569</v>
      </c>
      <c r="D2056" s="2" t="str">
        <f t="shared" si="31"/>
        <v>Error?</v>
      </c>
    </row>
    <row r="2057" spans="1:4" x14ac:dyDescent="0.2">
      <c r="A2057" s="5">
        <v>1996</v>
      </c>
      <c r="B2057" s="1890">
        <f>'Cap Outlay Deprec 26'!L8</f>
        <v>0</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56856</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56856</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0</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866601</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167310</v>
      </c>
      <c r="C2553" s="2" t="s">
        <v>569</v>
      </c>
      <c r="D2553" s="2" t="str">
        <f t="shared" si="38"/>
        <v>Error?</v>
      </c>
    </row>
    <row r="2554" spans="1:4" x14ac:dyDescent="0.2">
      <c r="A2554" s="5">
        <v>2493</v>
      </c>
      <c r="B2554" s="1890">
        <f>'Acct Summary 7-8'!C7</f>
        <v>67196</v>
      </c>
      <c r="C2554" s="2" t="s">
        <v>569</v>
      </c>
      <c r="D2554" s="2" t="str">
        <f t="shared" si="38"/>
        <v>Error?</v>
      </c>
    </row>
    <row r="2555" spans="1:4" x14ac:dyDescent="0.2">
      <c r="A2555" s="5">
        <v>2494</v>
      </c>
      <c r="B2555" s="1890">
        <f>'Acct Summary 7-8'!C8</f>
        <v>1453422</v>
      </c>
      <c r="C2555" s="2" t="s">
        <v>569</v>
      </c>
      <c r="D2555" s="2" t="str">
        <f t="shared" si="38"/>
        <v>Error?</v>
      </c>
    </row>
    <row r="2556" spans="1:4" x14ac:dyDescent="0.2">
      <c r="A2556" s="5">
        <v>2495</v>
      </c>
      <c r="B2556" s="1890">
        <f>'Acct Summary 7-8'!C12</f>
        <v>590807</v>
      </c>
      <c r="C2556" s="2" t="s">
        <v>569</v>
      </c>
      <c r="D2556" s="2" t="str">
        <f t="shared" si="38"/>
        <v>Error?</v>
      </c>
    </row>
    <row r="2557" spans="1:4" x14ac:dyDescent="0.2">
      <c r="A2557" s="5">
        <v>2496</v>
      </c>
      <c r="B2557" s="1890">
        <f>'Acct Summary 7-8'!C13</f>
        <v>606568</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352315</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1549690</v>
      </c>
      <c r="C2561" s="2" t="s">
        <v>569</v>
      </c>
      <c r="D2561" s="2" t="str">
        <f t="shared" si="39"/>
        <v>Error?</v>
      </c>
    </row>
    <row r="2562" spans="1:4" x14ac:dyDescent="0.2">
      <c r="A2562" s="5">
        <v>2501</v>
      </c>
      <c r="B2562" s="1890">
        <f>'Acct Summary 7-8'!C20</f>
        <v>-96268</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0</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0</v>
      </c>
      <c r="C2568" s="2" t="s">
        <v>569</v>
      </c>
      <c r="D2568" s="2" t="str">
        <f t="shared" si="39"/>
        <v>Error?</v>
      </c>
    </row>
    <row r="2569" spans="1:4" x14ac:dyDescent="0.2">
      <c r="A2569" s="5">
        <v>2508</v>
      </c>
      <c r="B2569" s="1890">
        <f>'Acct Summary 7-8'!D13</f>
        <v>0</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0</v>
      </c>
      <c r="C2573" s="2" t="s">
        <v>569</v>
      </c>
      <c r="D2573" s="2" t="str">
        <f t="shared" si="39"/>
        <v>Error?</v>
      </c>
    </row>
    <row r="2574" spans="1:4" x14ac:dyDescent="0.2">
      <c r="A2574" s="5">
        <v>2513</v>
      </c>
      <c r="B2574" s="1890">
        <f>'Acct Summary 7-8'!D20</f>
        <v>0</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0</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0</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0</v>
      </c>
      <c r="C2595" s="2" t="s">
        <v>569</v>
      </c>
      <c r="D2595" s="2" t="str">
        <f t="shared" si="39"/>
        <v>Error?</v>
      </c>
    </row>
    <row r="2596" spans="1:4" x14ac:dyDescent="0.2">
      <c r="A2596" s="5">
        <v>2535</v>
      </c>
      <c r="B2596" s="1890">
        <f>'Acct Summary 7-8'!F13</f>
        <v>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0</v>
      </c>
      <c r="C2600" s="2" t="s">
        <v>569</v>
      </c>
      <c r="D2600" s="2" t="str">
        <f t="shared" si="39"/>
        <v>Error?</v>
      </c>
    </row>
    <row r="2601" spans="1:4" x14ac:dyDescent="0.2">
      <c r="A2601" s="5">
        <v>2540</v>
      </c>
      <c r="B2601" s="1890">
        <f>'Acct Summary 7-8'!F20</f>
        <v>0</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0</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0</v>
      </c>
      <c r="C2606" s="2" t="s">
        <v>569</v>
      </c>
      <c r="D2606" s="2" t="str">
        <f t="shared" si="39"/>
        <v>Error?</v>
      </c>
    </row>
    <row r="2607" spans="1:4" x14ac:dyDescent="0.2">
      <c r="A2607" s="5">
        <v>2546</v>
      </c>
      <c r="B2607" s="1890">
        <f>'Acct Summary 7-8'!G12</f>
        <v>0</v>
      </c>
      <c r="C2607" s="2" t="s">
        <v>569</v>
      </c>
      <c r="D2607" s="2" t="str">
        <f t="shared" si="39"/>
        <v>Error?</v>
      </c>
    </row>
    <row r="2608" spans="1:4" x14ac:dyDescent="0.2">
      <c r="A2608" s="5">
        <v>2547</v>
      </c>
      <c r="B2608" s="1890">
        <f>'Acct Summary 7-8'!G13</f>
        <v>0</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0</v>
      </c>
      <c r="C2612" s="2" t="s">
        <v>569</v>
      </c>
      <c r="D2612" s="2" t="str">
        <f t="shared" si="39"/>
        <v>Error?</v>
      </c>
    </row>
    <row r="2613" spans="1:4" x14ac:dyDescent="0.2">
      <c r="A2613" s="5">
        <v>2552</v>
      </c>
      <c r="B2613" s="1890">
        <f>'Acct Summary 7-8'!G20</f>
        <v>0</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0</v>
      </c>
      <c r="C2634" s="2" t="s">
        <v>569</v>
      </c>
      <c r="D2634" s="2" t="str">
        <f t="shared" si="40"/>
        <v>Error?</v>
      </c>
    </row>
    <row r="2635" spans="1:4" x14ac:dyDescent="0.2">
      <c r="A2635" s="5">
        <v>2574</v>
      </c>
      <c r="B2635" s="1890">
        <f>'Acct Summary 7-8'!E17</f>
        <v>0</v>
      </c>
      <c r="C2635" s="2" t="s">
        <v>569</v>
      </c>
      <c r="D2635" s="2" t="str">
        <f t="shared" si="40"/>
        <v>Error?</v>
      </c>
    </row>
    <row r="2636" spans="1:4" x14ac:dyDescent="0.2">
      <c r="A2636" s="5">
        <v>2575</v>
      </c>
      <c r="B2636" s="1890">
        <f>'Acct Summary 7-8'!E20</f>
        <v>0</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50000</v>
      </c>
      <c r="D2718" s="2" t="str">
        <f t="shared" si="41"/>
        <v>Error?</v>
      </c>
    </row>
    <row r="2719" spans="1:4" x14ac:dyDescent="0.2">
      <c r="A2719" s="5">
        <v>2658</v>
      </c>
      <c r="B2719" s="1890">
        <f>'Expenditures 15-22'!D51</f>
        <v>7757</v>
      </c>
      <c r="D2719" s="2" t="str">
        <f t="shared" si="41"/>
        <v>Error?</v>
      </c>
    </row>
    <row r="2720" spans="1:4" x14ac:dyDescent="0.2">
      <c r="A2720" s="5">
        <v>2659</v>
      </c>
      <c r="B2720" s="1890">
        <f>'Expenditures 15-22'!E51</f>
        <v>581</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58338</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0</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0</v>
      </c>
      <c r="C2913" s="2" t="s">
        <v>569</v>
      </c>
      <c r="D2913" s="2" t="str">
        <f t="shared" si="44"/>
        <v>Error?</v>
      </c>
    </row>
    <row r="2914" spans="1:4" x14ac:dyDescent="0.2">
      <c r="A2914" s="5">
        <v>2853</v>
      </c>
      <c r="B2914" s="1890">
        <f>'Assets-Liab 5-6'!L33</f>
        <v>0</v>
      </c>
      <c r="D2914" s="2" t="str">
        <f t="shared" si="44"/>
        <v>Error?</v>
      </c>
    </row>
    <row r="2915" spans="1:4" x14ac:dyDescent="0.2">
      <c r="A2915" s="10">
        <v>2854</v>
      </c>
      <c r="B2915" s="1890"/>
      <c r="D2915" s="2" t="str">
        <f t="shared" si="44"/>
        <v>OK</v>
      </c>
    </row>
    <row r="2916" spans="1:4" x14ac:dyDescent="0.2">
      <c r="A2916" s="5">
        <v>2855</v>
      </c>
      <c r="B2916" s="1890">
        <f>'Assets-Liab 5-6'!L34</f>
        <v>0</v>
      </c>
      <c r="C2916" s="2" t="s">
        <v>569</v>
      </c>
      <c r="D2916" s="2" t="str">
        <f t="shared" si="44"/>
        <v>Error?</v>
      </c>
    </row>
    <row r="2917" spans="1:4" x14ac:dyDescent="0.2">
      <c r="A2917" s="5">
        <v>2856</v>
      </c>
      <c r="B2917" s="1890">
        <f>'Assets-Liab 5-6'!L41</f>
        <v>0</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0</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0</v>
      </c>
      <c r="C3225" s="2" t="s">
        <v>569</v>
      </c>
      <c r="D3225" s="2" t="str">
        <f t="shared" si="49"/>
        <v>Error?</v>
      </c>
    </row>
    <row r="3226" spans="1:4" x14ac:dyDescent="0.2">
      <c r="A3226" s="5">
        <v>3165</v>
      </c>
      <c r="B3226" s="1890">
        <f>'Acct Summary 7-8'!I8</f>
        <v>0</v>
      </c>
      <c r="C3226" s="2" t="s">
        <v>569</v>
      </c>
      <c r="D3226" s="2" t="str">
        <f t="shared" si="49"/>
        <v>Error?</v>
      </c>
    </row>
    <row r="3227" spans="1:4" x14ac:dyDescent="0.2">
      <c r="A3227" s="5">
        <v>3166</v>
      </c>
      <c r="B3227" s="1890">
        <f>'Acct Summary 7-8'!I20</f>
        <v>0</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15000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15000</v>
      </c>
      <c r="C3232" s="2" t="s">
        <v>569</v>
      </c>
      <c r="D3232" s="2" t="str">
        <f t="shared" si="49"/>
        <v>Error?</v>
      </c>
    </row>
    <row r="3233" spans="1:4" x14ac:dyDescent="0.2">
      <c r="A3233" s="5">
        <v>3172</v>
      </c>
      <c r="B3233" s="1890">
        <f>'Acct Summary 7-8'!C78</f>
        <v>-81268</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0</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15000</v>
      </c>
      <c r="C3254" s="2" t="s">
        <v>569</v>
      </c>
      <c r="D3254" s="2" t="str">
        <f t="shared" si="49"/>
        <v>Error?</v>
      </c>
    </row>
    <row r="3255" spans="1:4" x14ac:dyDescent="0.2">
      <c r="A3255" s="5">
        <v>3194</v>
      </c>
      <c r="B3255" s="1890">
        <f>'Acct Summary 7-8'!F77</f>
        <v>-15000</v>
      </c>
      <c r="C3255" s="2" t="s">
        <v>569</v>
      </c>
      <c r="D3255" s="2" t="str">
        <f t="shared" si="49"/>
        <v>Error?</v>
      </c>
    </row>
    <row r="3256" spans="1:4" x14ac:dyDescent="0.2">
      <c r="A3256" s="5">
        <v>3195</v>
      </c>
      <c r="B3256" s="1890">
        <f>'Acct Summary 7-8'!F78</f>
        <v>-15000</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0</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0</v>
      </c>
      <c r="C3320" s="2" t="s">
        <v>569</v>
      </c>
      <c r="D3320" s="2" t="str">
        <f t="shared" si="50"/>
        <v>Error?</v>
      </c>
    </row>
    <row r="3321" spans="1:4" x14ac:dyDescent="0.2">
      <c r="A3321" s="5">
        <v>3260</v>
      </c>
      <c r="B3321" s="1890">
        <f>'Acct Summary 7-8'!I79</f>
        <v>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429007</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94883</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32763</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5507</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4775</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566935</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0</v>
      </c>
      <c r="D3387" s="2" t="str">
        <f t="shared" si="51"/>
        <v>Error?</v>
      </c>
    </row>
    <row r="3388" spans="1:4" x14ac:dyDescent="0.2">
      <c r="A3388" s="5">
        <v>3327</v>
      </c>
      <c r="B3388" s="1890">
        <f>'Expenditures 15-22'!D217</f>
        <v>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0</v>
      </c>
      <c r="C3390" s="2" t="s">
        <v>569</v>
      </c>
      <c r="D3390" s="2" t="str">
        <f t="shared" si="51"/>
        <v>Error?</v>
      </c>
    </row>
    <row r="3391" spans="1:4" x14ac:dyDescent="0.2">
      <c r="A3391" s="5">
        <v>3330</v>
      </c>
      <c r="B3391" s="1890">
        <f>'Expenditures 15-22'!K217</f>
        <v>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352315</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812634</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5336</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0</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0</v>
      </c>
      <c r="C3446" s="2" t="s">
        <v>569</v>
      </c>
      <c r="D3446" s="2" t="str">
        <f t="shared" si="52"/>
        <v>Error?</v>
      </c>
    </row>
    <row r="3447" spans="1:4" x14ac:dyDescent="0.2">
      <c r="A3447" s="5">
        <v>3386</v>
      </c>
      <c r="B3447" s="1890">
        <f>'Tax Sched 23'!D16</f>
        <v>0</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0</v>
      </c>
      <c r="C3449" s="2" t="s">
        <v>569</v>
      </c>
      <c r="D3449" s="2" t="str">
        <f t="shared" si="52"/>
        <v>Error?</v>
      </c>
    </row>
    <row r="3450" spans="1:4" x14ac:dyDescent="0.2">
      <c r="A3450" s="5">
        <v>3389</v>
      </c>
      <c r="B3450" s="1890">
        <f>'Tax Sched 23'!E16</f>
        <v>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478895</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1932317</v>
      </c>
      <c r="C4122" s="2" t="s">
        <v>569</v>
      </c>
      <c r="D4122" s="2" t="str">
        <f t="shared" si="63"/>
        <v>Error?</v>
      </c>
    </row>
    <row r="4123" spans="1:4" x14ac:dyDescent="0.2">
      <c r="A4123" s="5">
        <v>4062</v>
      </c>
      <c r="B4123" s="1890">
        <f>'Acct Summary 7-8'!D10</f>
        <v>0</v>
      </c>
      <c r="C4123" s="2" t="s">
        <v>569</v>
      </c>
      <c r="D4123" s="2" t="str">
        <f t="shared" si="63"/>
        <v>Error?</v>
      </c>
    </row>
    <row r="4124" spans="1:4" x14ac:dyDescent="0.2">
      <c r="A4124" s="5">
        <v>4063</v>
      </c>
      <c r="B4124" s="1890">
        <f>'Acct Summary 7-8'!E10</f>
        <v>0</v>
      </c>
      <c r="C4124" s="2" t="s">
        <v>569</v>
      </c>
      <c r="D4124" s="2" t="str">
        <f t="shared" si="63"/>
        <v>Error?</v>
      </c>
    </row>
    <row r="4125" spans="1:4" x14ac:dyDescent="0.2">
      <c r="A4125" s="5">
        <v>4064</v>
      </c>
      <c r="B4125" s="1890">
        <f>'Acct Summary 7-8'!F10</f>
        <v>0</v>
      </c>
      <c r="C4125" s="2" t="s">
        <v>569</v>
      </c>
      <c r="D4125" s="2" t="str">
        <f t="shared" si="63"/>
        <v>Error?</v>
      </c>
    </row>
    <row r="4126" spans="1:4" x14ac:dyDescent="0.2">
      <c r="A4126" s="5">
        <v>4065</v>
      </c>
      <c r="B4126" s="1890">
        <f>'Acct Summary 7-8'!G10</f>
        <v>0</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0</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478895</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2028585</v>
      </c>
      <c r="C4136" s="2" t="s">
        <v>569</v>
      </c>
      <c r="D4136" s="2" t="str">
        <f t="shared" si="63"/>
        <v>Error?</v>
      </c>
    </row>
    <row r="4137" spans="1:4" x14ac:dyDescent="0.2">
      <c r="A4137" s="5">
        <v>4076</v>
      </c>
      <c r="B4137" s="1890">
        <f>'Acct Summary 7-8'!D19</f>
        <v>0</v>
      </c>
      <c r="C4137" s="2" t="s">
        <v>569</v>
      </c>
      <c r="D4137" s="2" t="str">
        <f t="shared" si="63"/>
        <v>Error?</v>
      </c>
    </row>
    <row r="4138" spans="1:4" x14ac:dyDescent="0.2">
      <c r="A4138" s="5">
        <v>4077</v>
      </c>
      <c r="B4138" s="1890">
        <f>'Acct Summary 7-8'!E19</f>
        <v>0</v>
      </c>
      <c r="C4138" s="2" t="s">
        <v>569</v>
      </c>
      <c r="D4138" s="2" t="str">
        <f t="shared" si="63"/>
        <v>Error?</v>
      </c>
    </row>
    <row r="4139" spans="1:4" x14ac:dyDescent="0.2">
      <c r="A4139" s="5">
        <v>4078</v>
      </c>
      <c r="B4139" s="1890">
        <f>'Acct Summary 7-8'!F19</f>
        <v>0</v>
      </c>
      <c r="C4139" s="2" t="s">
        <v>569</v>
      </c>
      <c r="D4139" s="2" t="str">
        <f t="shared" si="63"/>
        <v>Error?</v>
      </c>
    </row>
    <row r="4140" spans="1:4" x14ac:dyDescent="0.2">
      <c r="A4140" s="5">
        <v>4079</v>
      </c>
      <c r="B4140" s="1890">
        <f>'Acct Summary 7-8'!G19</f>
        <v>0</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0</v>
      </c>
      <c r="C4171" s="2" t="s">
        <v>569</v>
      </c>
      <c r="D4171" s="2" t="str">
        <f t="shared" si="64"/>
        <v>Error?</v>
      </c>
    </row>
    <row r="4172" spans="1:4" x14ac:dyDescent="0.2">
      <c r="A4172" s="5">
        <v>4111</v>
      </c>
      <c r="B4172" s="1890">
        <f>'Short-Term Long-Term Debt 24'!J49</f>
        <v>0</v>
      </c>
      <c r="C4172" s="2" t="s">
        <v>569</v>
      </c>
      <c r="D4172" s="2" t="str">
        <f t="shared" si="64"/>
        <v>Error?</v>
      </c>
    </row>
    <row r="4173" spans="1:4" x14ac:dyDescent="0.2">
      <c r="A4173" s="5">
        <v>4112</v>
      </c>
      <c r="B4173" s="1890">
        <f>'Short-Term Long-Term Debt 24'!H49</f>
        <v>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0</v>
      </c>
      <c r="C4265" s="2" t="s">
        <v>569</v>
      </c>
      <c r="D4265" s="2" t="str">
        <f t="shared" si="65"/>
        <v>Error?</v>
      </c>
      <c r="E4265" s="125"/>
    </row>
    <row r="4266" spans="1:5" x14ac:dyDescent="0.2">
      <c r="A4266" s="12">
        <v>4205</v>
      </c>
      <c r="B4266" s="1890">
        <f>('FP Info 3'!F10)*100000</f>
        <v>0</v>
      </c>
      <c r="C4266" s="2" t="s">
        <v>569</v>
      </c>
      <c r="D4266" s="2" t="str">
        <f t="shared" si="65"/>
        <v>Error?</v>
      </c>
      <c r="E4266" s="125"/>
    </row>
    <row r="4267" spans="1:5" x14ac:dyDescent="0.2">
      <c r="A4267" s="12">
        <v>4206</v>
      </c>
      <c r="B4267" s="1890">
        <f>('FP Info 3'!H10)*100000</f>
        <v>0</v>
      </c>
      <c r="C4267" s="2" t="s">
        <v>569</v>
      </c>
      <c r="D4267" s="2" t="str">
        <f t="shared" si="65"/>
        <v>Error?</v>
      </c>
      <c r="E4267" s="125"/>
    </row>
    <row r="4268" spans="1:5" x14ac:dyDescent="0.2">
      <c r="A4268" s="12">
        <v>4207</v>
      </c>
      <c r="B4268" s="1890">
        <f>('FP Info 3'!J10)*100000</f>
        <v>0</v>
      </c>
      <c r="C4268" s="2" t="s">
        <v>569</v>
      </c>
      <c r="D4268" s="2" t="str">
        <f t="shared" si="65"/>
        <v>Error?</v>
      </c>
    </row>
    <row r="4269" spans="1:5" x14ac:dyDescent="0.2">
      <c r="A4269" s="12">
        <v>4208</v>
      </c>
      <c r="B4269" s="1890">
        <f>'FP Info 3'!J16</f>
        <v>817651</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5295</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43404</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69373</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6371</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0</v>
      </c>
      <c r="D4995" s="2" t="str">
        <f t="shared" si="77"/>
        <v>Error?</v>
      </c>
    </row>
    <row r="4996" spans="1:4" x14ac:dyDescent="0.2">
      <c r="A4996" s="12">
        <v>4935</v>
      </c>
      <c r="B4996" s="1890" t="str">
        <f>'FP Info 3'!H31</f>
        <v>Enter x in a.or b.</v>
      </c>
      <c r="D4996" s="2" t="e">
        <f t="shared" si="77"/>
        <v>#VALUE!</v>
      </c>
    </row>
    <row r="4997" spans="1:4" x14ac:dyDescent="0.2">
      <c r="A4997" s="12">
        <v>4936</v>
      </c>
      <c r="B4997" s="1890">
        <f>'FP Info 3'!H37</f>
        <v>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15000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15000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0</v>
      </c>
      <c r="D5061" s="2" t="str">
        <f t="shared" si="78"/>
        <v>Error?</v>
      </c>
    </row>
    <row r="5062" spans="1:4" x14ac:dyDescent="0.2">
      <c r="A5062" s="10">
        <v>5001</v>
      </c>
      <c r="B5062" s="1890"/>
      <c r="D5062" s="2" t="str">
        <f t="shared" si="78"/>
        <v>OK</v>
      </c>
    </row>
    <row r="5063" spans="1:4" x14ac:dyDescent="0.2">
      <c r="A5063" s="5">
        <v>5002</v>
      </c>
      <c r="B5063" s="1890">
        <f>'Revenues 9-14'!C7</f>
        <v>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766312</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766312</v>
      </c>
      <c r="C5087" s="2" t="s">
        <v>569</v>
      </c>
      <c r="D5087" s="2" t="str">
        <f t="shared" si="78"/>
        <v>Error?</v>
      </c>
    </row>
    <row r="5088" spans="1:4" x14ac:dyDescent="0.2">
      <c r="A5088" s="5">
        <v>5027</v>
      </c>
      <c r="B5088" s="1890">
        <f>'Revenues 9-14'!C65</f>
        <v>3374</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3374</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0</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0</v>
      </c>
      <c r="C5102" s="2" t="s">
        <v>569</v>
      </c>
      <c r="D5102" s="2" t="str">
        <f t="shared" si="78"/>
        <v>Error?</v>
      </c>
    </row>
    <row r="5103" spans="1:4" x14ac:dyDescent="0.2">
      <c r="A5103" s="5">
        <v>5042</v>
      </c>
      <c r="B5103" s="1890">
        <f>'Revenues 9-14'!C84</f>
        <v>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0</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27333</v>
      </c>
      <c r="D5115" s="2" t="str">
        <f t="shared" si="78"/>
        <v>Error?</v>
      </c>
    </row>
    <row r="5116" spans="1:4" x14ac:dyDescent="0.2">
      <c r="A5116" s="5">
        <v>5055</v>
      </c>
      <c r="B5116" s="1890">
        <f>'Revenues 9-14'!C99</f>
        <v>209</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0</v>
      </c>
      <c r="D5119" s="2" t="str">
        <f t="shared" ref="D5119:D5182" si="79">IF(ISBLANK(B5119),"OK",IF(A5119-B5119=0,"OK","Error?"))</f>
        <v>Error?</v>
      </c>
    </row>
    <row r="5120" spans="1:4" x14ac:dyDescent="0.2">
      <c r="A5120" s="5">
        <v>5059</v>
      </c>
      <c r="B5120" s="1890">
        <f>'Revenues 9-14'!C108</f>
        <v>96915</v>
      </c>
      <c r="C5120" s="2" t="s">
        <v>569</v>
      </c>
      <c r="D5120" s="2" t="str">
        <f t="shared" si="79"/>
        <v>Error?</v>
      </c>
    </row>
    <row r="5121" spans="1:4" x14ac:dyDescent="0.2">
      <c r="A5121" s="5">
        <v>5060</v>
      </c>
      <c r="B5121" s="1890">
        <f>'Revenues 9-14'!C109</f>
        <v>866601</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352315</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352315</v>
      </c>
      <c r="C5125" s="2" t="s">
        <v>569</v>
      </c>
      <c r="D5125" s="2" t="str">
        <f t="shared" si="79"/>
        <v>Error?</v>
      </c>
    </row>
    <row r="5126" spans="1:4" x14ac:dyDescent="0.2">
      <c r="A5126" s="5">
        <v>5065</v>
      </c>
      <c r="B5126" s="1890">
        <f>'Revenues 9-14'!C117</f>
        <v>160939</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160939</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0</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6371</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167310</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0</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0</v>
      </c>
      <c r="C5246" s="2" t="s">
        <v>569</v>
      </c>
      <c r="D5246" s="2" t="str">
        <f t="shared" si="80"/>
        <v>Error?</v>
      </c>
    </row>
    <row r="5247" spans="1:4" x14ac:dyDescent="0.2">
      <c r="A5247" s="5">
        <v>5186</v>
      </c>
      <c r="B5247" s="1890">
        <f>'Revenues 9-14'!C200</f>
        <v>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18497</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18497</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67196</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67196</v>
      </c>
      <c r="C5326" s="2" t="s">
        <v>569</v>
      </c>
      <c r="D5326" s="2" t="str">
        <f t="shared" si="82"/>
        <v>Error?</v>
      </c>
    </row>
    <row r="5327" spans="1:5" x14ac:dyDescent="0.2">
      <c r="A5327" s="5">
        <v>5266</v>
      </c>
      <c r="B5327" s="1890">
        <f>'Revenues 9-14'!C268</f>
        <v>1453422</v>
      </c>
      <c r="C5327" s="2" t="s">
        <v>569</v>
      </c>
      <c r="D5327" s="2" t="str">
        <f t="shared" si="82"/>
        <v>Error?</v>
      </c>
    </row>
    <row r="5328" spans="1:5" x14ac:dyDescent="0.2">
      <c r="A5328" s="5">
        <v>5267</v>
      </c>
      <c r="B5328" s="1890">
        <f>'Revenues 9-14'!D5</f>
        <v>0</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0</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0</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0</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569</v>
      </c>
      <c r="D5552" s="2" t="str">
        <f t="shared" si="85"/>
        <v>Error?</v>
      </c>
    </row>
    <row r="5553" spans="1:4" x14ac:dyDescent="0.2">
      <c r="A5553" s="5">
        <v>5492</v>
      </c>
      <c r="B5553" s="1890">
        <f>'Revenues 9-14'!F5</f>
        <v>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0</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0</v>
      </c>
      <c r="D5615" s="2" t="str">
        <f t="shared" si="86"/>
        <v>Error?</v>
      </c>
    </row>
    <row r="5616" spans="1:4" x14ac:dyDescent="0.2">
      <c r="A5616" s="10">
        <v>5555</v>
      </c>
      <c r="B5616" s="1890"/>
      <c r="D5616" s="2" t="str">
        <f t="shared" si="86"/>
        <v>OK</v>
      </c>
    </row>
    <row r="5617" spans="1:5" x14ac:dyDescent="0.2">
      <c r="A5617" s="5">
        <v>5556</v>
      </c>
      <c r="B5617" s="1890">
        <f>'Revenues 9-14'!F153</f>
        <v>0</v>
      </c>
      <c r="D5617" s="2" t="str">
        <f t="shared" si="86"/>
        <v>Error?</v>
      </c>
    </row>
    <row r="5618" spans="1:5" x14ac:dyDescent="0.2">
      <c r="A5618" s="5">
        <v>5557</v>
      </c>
      <c r="B5618" s="1890">
        <f>'Revenues 9-14'!F155</f>
        <v>0</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0</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0</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0</v>
      </c>
      <c r="C5720" s="2" t="s">
        <v>569</v>
      </c>
      <c r="D5720" s="2" t="str">
        <f t="shared" si="88"/>
        <v>Error?</v>
      </c>
    </row>
    <row r="5721" spans="1:4" x14ac:dyDescent="0.2">
      <c r="A5721" s="5">
        <v>5660</v>
      </c>
      <c r="B5721" s="1890">
        <f>'Revenues 9-14'!G5</f>
        <v>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0</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0</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0</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0</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0</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0</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0</v>
      </c>
      <c r="D6215" s="2" t="str">
        <f t="shared" si="96"/>
        <v>Error?</v>
      </c>
      <c r="E6215" s="2" t="s">
        <v>189</v>
      </c>
    </row>
    <row r="6216" spans="1:5" x14ac:dyDescent="0.2">
      <c r="A6216">
        <v>6155</v>
      </c>
      <c r="B6216" s="1890">
        <f>'Assets-Liab 5-6'!J41</f>
        <v>0</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0</v>
      </c>
      <c r="D6229" s="2" t="str">
        <f t="shared" si="96"/>
        <v>Error?</v>
      </c>
      <c r="E6229" s="2" t="s">
        <v>189</v>
      </c>
    </row>
    <row r="6230" spans="1:5" x14ac:dyDescent="0.2">
      <c r="A6230">
        <v>6169</v>
      </c>
      <c r="B6230" s="1890">
        <f>'Acct Summary 7-8'!J20</f>
        <v>0</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0</v>
      </c>
      <c r="D6263" s="2" t="str">
        <f t="shared" si="96"/>
        <v>Error?</v>
      </c>
      <c r="E6263" s="2" t="s">
        <v>189</v>
      </c>
    </row>
    <row r="6264" spans="1:5" x14ac:dyDescent="0.2">
      <c r="A6264">
        <v>6203</v>
      </c>
      <c r="B6264" s="1890">
        <f>'Acct Summary 7-8'!J79</f>
        <v>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0</v>
      </c>
      <c r="D6266" s="2" t="str">
        <f t="shared" si="96"/>
        <v>Error?</v>
      </c>
      <c r="E6266" s="2" t="s">
        <v>189</v>
      </c>
    </row>
    <row r="6267" spans="1:5" x14ac:dyDescent="0.2">
      <c r="A6267">
        <v>6206</v>
      </c>
      <c r="B6267" s="1890">
        <f>'Acct Summary 7-8'!C82</f>
        <v>-81268</v>
      </c>
      <c r="D6267" s="2" t="str">
        <f t="shared" si="96"/>
        <v>Error?</v>
      </c>
      <c r="E6267" s="2" t="s">
        <v>189</v>
      </c>
    </row>
    <row r="6268" spans="1:5" x14ac:dyDescent="0.2">
      <c r="A6268">
        <v>6207</v>
      </c>
      <c r="B6268" s="1890">
        <f>'Acct Summary 7-8'!D82</f>
        <v>0</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-15000</v>
      </c>
      <c r="D6270" s="2" t="str">
        <f t="shared" si="96"/>
        <v>Error?</v>
      </c>
      <c r="E6270" s="2" t="s">
        <v>189</v>
      </c>
    </row>
    <row r="6271" spans="1:5" x14ac:dyDescent="0.2">
      <c r="A6271">
        <v>6210</v>
      </c>
      <c r="B6271" s="1890">
        <f>'Acct Summary 7-8'!G82</f>
        <v>0</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0</v>
      </c>
      <c r="D6273" s="2" t="str">
        <f t="shared" si="97"/>
        <v>Error?</v>
      </c>
      <c r="E6273" s="2" t="s">
        <v>189</v>
      </c>
    </row>
    <row r="6274" spans="1:5" x14ac:dyDescent="0.2">
      <c r="A6274">
        <v>6213</v>
      </c>
      <c r="B6274" s="1890">
        <f>'Acct Summary 7-8'!J82</f>
        <v>0</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-0.10004493330789165</v>
      </c>
      <c r="D6276" s="2" t="str">
        <f t="shared" si="97"/>
        <v>Error?</v>
      </c>
      <c r="E6276" s="2" t="s">
        <v>189</v>
      </c>
    </row>
    <row r="6277" spans="1:5" x14ac:dyDescent="0.2">
      <c r="A6277">
        <v>6216</v>
      </c>
      <c r="B6277" s="1890" t="e">
        <f>'Acct Summary 7-8'!D83</f>
        <v>#DIV/0!</v>
      </c>
      <c r="D6277" s="2" t="e">
        <f t="shared" si="97"/>
        <v>#DIV/0!</v>
      </c>
      <c r="E6277" s="2" t="s">
        <v>189</v>
      </c>
    </row>
    <row r="6278" spans="1:5" x14ac:dyDescent="0.2">
      <c r="A6278">
        <v>6217</v>
      </c>
      <c r="B6278" s="1890" t="e">
        <f>'Acct Summary 7-8'!E83</f>
        <v>#DIV/0!</v>
      </c>
      <c r="D6278" s="2" t="e">
        <f t="shared" si="97"/>
        <v>#DIV/0!</v>
      </c>
      <c r="E6278" s="2" t="s">
        <v>189</v>
      </c>
    </row>
    <row r="6279" spans="1:5" x14ac:dyDescent="0.2">
      <c r="A6279">
        <v>6218</v>
      </c>
      <c r="B6279" s="1890">
        <f>'Acct Summary 7-8'!F83</f>
        <v>-2.811094452773613</v>
      </c>
      <c r="D6279" s="2" t="str">
        <f t="shared" si="97"/>
        <v>Error?</v>
      </c>
      <c r="E6279" s="2" t="s">
        <v>189</v>
      </c>
    </row>
    <row r="6280" spans="1:5" x14ac:dyDescent="0.2">
      <c r="A6280">
        <v>6219</v>
      </c>
      <c r="B6280" s="1890" t="e">
        <f>'Acct Summary 7-8'!G83</f>
        <v>#DIV/0!</v>
      </c>
      <c r="D6280" s="2" t="e">
        <f t="shared" si="97"/>
        <v>#DIV/0!</v>
      </c>
      <c r="E6280" s="2" t="s">
        <v>189</v>
      </c>
    </row>
    <row r="6281" spans="1:5" x14ac:dyDescent="0.2">
      <c r="A6281">
        <v>6220</v>
      </c>
      <c r="B6281" s="1890" t="e">
        <f>'Acct Summary 7-8'!H83</f>
        <v>#DIV/0!</v>
      </c>
      <c r="D6281" s="2" t="e">
        <f t="shared" si="97"/>
        <v>#DIV/0!</v>
      </c>
      <c r="E6281" s="2" t="s">
        <v>189</v>
      </c>
    </row>
    <row r="6282" spans="1:5" x14ac:dyDescent="0.2">
      <c r="A6282">
        <v>6221</v>
      </c>
      <c r="B6282" s="1890" t="e">
        <f>'Acct Summary 7-8'!I83</f>
        <v>#DIV/0!</v>
      </c>
      <c r="D6282" s="2" t="e">
        <f t="shared" si="97"/>
        <v>#DIV/0!</v>
      </c>
      <c r="E6282" s="2" t="s">
        <v>189</v>
      </c>
    </row>
    <row r="6283" spans="1:5" x14ac:dyDescent="0.2">
      <c r="A6283">
        <v>6222</v>
      </c>
      <c r="B6283" s="1890" t="e">
        <f>'Acct Summary 7-8'!J83</f>
        <v>#DIV/0!</v>
      </c>
      <c r="D6283" s="2" t="e">
        <f t="shared" si="97"/>
        <v>#DIV/0!</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16676</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6075</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22751</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352315</v>
      </c>
      <c r="D6998" s="2" t="str">
        <f t="shared" si="108"/>
        <v>Error?</v>
      </c>
    </row>
    <row r="6999" spans="1:4" x14ac:dyDescent="0.2">
      <c r="A6999">
        <v>6938</v>
      </c>
      <c r="B6999" s="1890">
        <f>'Expenditures 15-22'!K94</f>
        <v>352315</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352315</v>
      </c>
      <c r="D7012" s="2" t="str">
        <f t="shared" si="108"/>
        <v>Error?</v>
      </c>
    </row>
    <row r="7013" spans="1:4" x14ac:dyDescent="0.2">
      <c r="A7013">
        <v>6952</v>
      </c>
      <c r="B7013" s="1890">
        <f>'Expenditures 15-22'!K100</f>
        <v>352315</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0</v>
      </c>
      <c r="D7224" s="2" t="str">
        <f t="shared" si="111"/>
        <v>Error?</v>
      </c>
    </row>
    <row r="7225" spans="1:4" x14ac:dyDescent="0.2">
      <c r="A7225">
        <v>7164</v>
      </c>
      <c r="B7225" s="1890">
        <f>'Expenditures 15-22'!K343</f>
        <v>0</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0</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0</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0</v>
      </c>
      <c r="D7817" s="2" t="str">
        <f t="shared" si="128"/>
        <v>Error?</v>
      </c>
      <c r="E7817" s="4" t="s">
        <v>1969</v>
      </c>
    </row>
    <row r="7818" spans="1:5" x14ac:dyDescent="0.2">
      <c r="A7818">
        <v>7757</v>
      </c>
      <c r="B7818" s="1890">
        <f>'PCTC-OEPP 27-28'!F172</f>
        <v>0</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-10544</v>
      </c>
      <c r="D7820" s="2" t="str">
        <f t="shared" si="128"/>
        <v>Error?</v>
      </c>
    </row>
    <row r="7821" spans="1:5" x14ac:dyDescent="0.2">
      <c r="A7821">
        <v>7760</v>
      </c>
      <c r="B7821" s="1890">
        <f>'ICR Computation 30'!G40</f>
        <v>-10544</v>
      </c>
      <c r="D7821" s="2" t="str">
        <f t="shared" si="128"/>
        <v>Error?</v>
      </c>
    </row>
    <row r="7822" spans="1:5" x14ac:dyDescent="0.2">
      <c r="A7822" s="1">
        <v>7761</v>
      </c>
      <c r="B7822" s="1890">
        <f>'PCTC-OEPP 27-28'!F14</f>
        <v>1549690</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3109</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361856</v>
      </c>
      <c r="D7834" s="2" t="str">
        <f t="shared" si="129"/>
        <v>Error?</v>
      </c>
      <c r="E7834" s="4" t="s">
        <v>2001</v>
      </c>
    </row>
    <row r="7835" spans="1:5" x14ac:dyDescent="0.2">
      <c r="A7835">
        <v>7774</v>
      </c>
      <c r="B7835" s="1890">
        <f>'PCTC-OEPP 27-28'!F78</f>
        <v>1187834</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t="str">
        <f>'PCTC-OEPP 27-28'!F80</f>
        <v xml:space="preserve"> Complete Line 79</v>
      </c>
      <c r="D7837" s="2" t="e">
        <f t="shared" si="129"/>
        <v>#VALUE!</v>
      </c>
      <c r="E7837" s="4" t="s">
        <v>2001</v>
      </c>
    </row>
    <row r="7838" spans="1:5" x14ac:dyDescent="0.2">
      <c r="A7838">
        <v>7777</v>
      </c>
      <c r="B7838" s="1890">
        <f>'PCTC-OEPP 27-28'!F96</f>
        <v>0</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27333</v>
      </c>
      <c r="D7840" s="2" t="str">
        <f t="shared" si="129"/>
        <v>Error?</v>
      </c>
      <c r="E7840" s="4" t="s">
        <v>2001</v>
      </c>
    </row>
    <row r="7841" spans="1:5" x14ac:dyDescent="0.2">
      <c r="A7841">
        <v>7780</v>
      </c>
      <c r="B7841" s="1890">
        <f>'PCTC-OEPP 27-28'!F104</f>
        <v>69373</v>
      </c>
      <c r="D7841" s="2" t="str">
        <f t="shared" si="129"/>
        <v>Error?</v>
      </c>
      <c r="E7841" s="4" t="s">
        <v>2001</v>
      </c>
    </row>
    <row r="7842" spans="1:5" x14ac:dyDescent="0.2">
      <c r="A7842">
        <v>7781</v>
      </c>
      <c r="B7842" s="1890">
        <f>'PCTC-OEPP 27-28'!F106</f>
        <v>0</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0</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6371</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0</v>
      </c>
      <c r="D7858" s="2" t="str">
        <f t="shared" si="129"/>
        <v>Error?</v>
      </c>
      <c r="E7858" s="4" t="s">
        <v>2001</v>
      </c>
    </row>
    <row r="7859" spans="1:5" x14ac:dyDescent="0.2">
      <c r="A7859">
        <v>7798</v>
      </c>
      <c r="B7859" s="1890">
        <f>'PCTC-OEPP 27-28'!F127</f>
        <v>0</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18497</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0</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5295</v>
      </c>
      <c r="D7874" s="2" t="str">
        <f t="shared" si="129"/>
        <v>Error?</v>
      </c>
      <c r="E7874" s="4" t="s">
        <v>2001</v>
      </c>
    </row>
    <row r="7875" spans="1:5" x14ac:dyDescent="0.2">
      <c r="A7875">
        <v>7814</v>
      </c>
      <c r="B7875" s="1890">
        <f>'PCTC-OEPP 27-28'!F170</f>
        <v>43404</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170273</v>
      </c>
      <c r="D7877" s="2" t="str">
        <f t="shared" si="129"/>
        <v>Error?</v>
      </c>
      <c r="E7877" s="4" t="s">
        <v>2001</v>
      </c>
    </row>
    <row r="7878" spans="1:5" x14ac:dyDescent="0.2">
      <c r="A7878">
        <v>7817</v>
      </c>
      <c r="B7878" s="1890">
        <f>'PCTC-OEPP 27-28'!F176</f>
        <v>1017561</v>
      </c>
      <c r="D7878" s="2" t="str">
        <f t="shared" si="129"/>
        <v>Error?</v>
      </c>
      <c r="E7878" s="4" t="s">
        <v>2001</v>
      </c>
    </row>
    <row r="7879" spans="1:5" x14ac:dyDescent="0.2">
      <c r="A7879">
        <v>7818</v>
      </c>
      <c r="B7879" s="1890">
        <f>'PCTC-OEPP 27-28'!F178</f>
        <v>1017561</v>
      </c>
      <c r="D7879" s="2" t="str">
        <f t="shared" si="129"/>
        <v>Error?</v>
      </c>
      <c r="E7879" s="4" t="s">
        <v>2001</v>
      </c>
    </row>
    <row r="7880" spans="1:5" x14ac:dyDescent="0.2">
      <c r="A7880">
        <v>7819</v>
      </c>
      <c r="B7880" s="1890"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7" zoomScale="110" zoomScaleNormal="110" workbookViewId="0">
      <selection activeCell="G10" sqref="G10:L10"/>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12" t="s">
        <v>1183</v>
      </c>
      <c r="B2" s="2612"/>
      <c r="C2" s="2612"/>
      <c r="D2" s="2612"/>
      <c r="E2" s="2612"/>
      <c r="F2" s="2612"/>
      <c r="G2" s="2612"/>
      <c r="H2" s="2612"/>
      <c r="I2" s="2612"/>
      <c r="J2" s="2612"/>
      <c r="K2" s="2612"/>
      <c r="L2" s="2612"/>
    </row>
    <row r="3" spans="1:29" ht="13.5" customHeight="1" x14ac:dyDescent="0.2">
      <c r="A3" s="2644" t="s">
        <v>1182</v>
      </c>
      <c r="B3" s="2644"/>
      <c r="C3" s="2644"/>
      <c r="D3" s="2644"/>
      <c r="E3" s="2644"/>
      <c r="F3" s="2644"/>
      <c r="G3" s="2644"/>
      <c r="H3" s="2644"/>
      <c r="I3" s="2644"/>
      <c r="J3" s="2644"/>
      <c r="K3" s="2644"/>
      <c r="L3" s="2644"/>
    </row>
    <row r="4" spans="1:29" ht="13.5" customHeight="1" x14ac:dyDescent="0.2">
      <c r="A4" s="2633" t="str">
        <f>"Year Ending June 30, "&amp;'AFR20'!E2</f>
        <v>Year Ending June 30, 2020</v>
      </c>
      <c r="B4" s="2634"/>
      <c r="C4" s="2634"/>
      <c r="D4" s="2634"/>
      <c r="E4" s="2634"/>
      <c r="F4" s="2634"/>
      <c r="G4" s="2634"/>
      <c r="H4" s="2634"/>
      <c r="I4" s="2634"/>
      <c r="J4" s="2634"/>
      <c r="K4" s="2634"/>
      <c r="L4" s="2634"/>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35" t="str">
        <f>COVER!A17</f>
        <v xml:space="preserve"> Kankakee Area Special Ed Co-op</v>
      </c>
      <c r="B7" s="2636"/>
      <c r="C7" s="2636"/>
      <c r="D7" s="2637"/>
      <c r="E7" s="2638">
        <f>COVER!A13</f>
        <v>32046850060</v>
      </c>
      <c r="F7" s="2639"/>
      <c r="G7" s="2645" t="str">
        <f>COVER!T23</f>
        <v>066-005281</v>
      </c>
      <c r="H7" s="2646"/>
      <c r="I7" s="2646"/>
      <c r="J7" s="2646"/>
      <c r="K7" s="2646"/>
      <c r="L7" s="2647"/>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48"/>
      <c r="B9" s="2649"/>
      <c r="C9" s="2649"/>
      <c r="D9" s="2649"/>
      <c r="E9" s="2649"/>
      <c r="F9" s="2650"/>
      <c r="G9" s="2618" t="str">
        <f>COVER!T13</f>
        <v>SKDO, P.C.</v>
      </c>
      <c r="H9" s="2651"/>
      <c r="I9" s="2651"/>
      <c r="J9" s="2651"/>
      <c r="K9" s="2651"/>
      <c r="L9" s="2652"/>
    </row>
    <row r="10" spans="1:29" ht="13.5" customHeight="1" x14ac:dyDescent="0.2">
      <c r="A10" s="2624" t="str">
        <f>COVER!A38</f>
        <v>Debra Quain</v>
      </c>
      <c r="B10" s="2625"/>
      <c r="C10" s="2625"/>
      <c r="D10" s="2625"/>
      <c r="E10" s="2625"/>
      <c r="F10" s="2626"/>
      <c r="G10" s="2618" t="str">
        <f>COVER!T17</f>
        <v xml:space="preserve">1605 N Convent </v>
      </c>
      <c r="H10" s="2619"/>
      <c r="I10" s="2619"/>
      <c r="J10" s="2619"/>
      <c r="K10" s="2619"/>
      <c r="L10" s="2620"/>
    </row>
    <row r="11" spans="1:29" ht="13.5" customHeight="1" x14ac:dyDescent="0.2">
      <c r="A11" s="1008" t="s">
        <v>1505</v>
      </c>
      <c r="B11" s="1009"/>
      <c r="C11" s="1010"/>
      <c r="D11" s="1015"/>
      <c r="E11" s="1010"/>
      <c r="F11" s="1014"/>
      <c r="G11" s="2618" t="str">
        <f>COVER!T19</f>
        <v>Bourbonnais</v>
      </c>
      <c r="H11" s="2619"/>
      <c r="I11" s="2619"/>
      <c r="J11" s="2619"/>
      <c r="K11" s="2619"/>
      <c r="L11" s="2620"/>
    </row>
    <row r="12" spans="1:29" ht="13.5" customHeight="1" x14ac:dyDescent="0.2">
      <c r="A12" s="2627" t="s">
        <v>1504</v>
      </c>
      <c r="B12" s="2628"/>
      <c r="C12" s="2628"/>
      <c r="D12" s="2628"/>
      <c r="E12" s="2628"/>
      <c r="F12" s="2629"/>
      <c r="G12" s="2621"/>
      <c r="H12" s="2622"/>
      <c r="I12" s="2622"/>
      <c r="J12" s="2622"/>
      <c r="K12" s="2622"/>
      <c r="L12" s="2623"/>
    </row>
    <row r="13" spans="1:29" ht="13.5" customHeight="1" x14ac:dyDescent="0.2">
      <c r="A13" s="2618"/>
      <c r="B13" s="2619"/>
      <c r="C13" s="2619"/>
      <c r="D13" s="2619"/>
      <c r="E13" s="2619"/>
      <c r="F13" s="2620"/>
      <c r="G13" s="2613" t="s">
        <v>1506</v>
      </c>
      <c r="H13" s="2614"/>
      <c r="I13" s="2630" t="str">
        <f>COVER!T25</f>
        <v>carmenh@skdocpa.com</v>
      </c>
      <c r="J13" s="2631"/>
      <c r="K13" s="2631"/>
      <c r="L13" s="2632"/>
    </row>
    <row r="14" spans="1:29" ht="13.5" customHeight="1" x14ac:dyDescent="0.2">
      <c r="A14" s="2618" t="str">
        <f>COVER!A19</f>
        <v>P.O. Box 71</v>
      </c>
      <c r="B14" s="2619"/>
      <c r="C14" s="2619"/>
      <c r="D14" s="2619"/>
      <c r="E14" s="2619"/>
      <c r="F14" s="2620"/>
      <c r="G14" s="1019" t="s">
        <v>1177</v>
      </c>
      <c r="H14" s="1017"/>
      <c r="I14" s="1017"/>
      <c r="J14" s="1017"/>
      <c r="K14" s="1017"/>
      <c r="L14" s="1018"/>
    </row>
    <row r="15" spans="1:29" ht="13.5" customHeight="1" x14ac:dyDescent="0.2">
      <c r="A15" s="2618" t="str">
        <f>COVER!A21</f>
        <v>St. Anne</v>
      </c>
      <c r="B15" s="2619"/>
      <c r="C15" s="2619"/>
      <c r="D15" s="2619"/>
      <c r="E15" s="2619"/>
      <c r="F15" s="2620"/>
      <c r="G15" s="2615" t="str">
        <f>COVER!T15</f>
        <v>Carmen Huizenga</v>
      </c>
      <c r="H15" s="2616"/>
      <c r="I15" s="2616"/>
      <c r="J15" s="2616"/>
      <c r="K15" s="2616"/>
      <c r="L15" s="2617"/>
    </row>
    <row r="16" spans="1:29" ht="12.2" customHeight="1" x14ac:dyDescent="0.2">
      <c r="A16" s="2641">
        <f>COVER!A25</f>
        <v>60964</v>
      </c>
      <c r="B16" s="2642"/>
      <c r="C16" s="2642"/>
      <c r="D16" s="2642"/>
      <c r="E16" s="2642"/>
      <c r="F16" s="2643"/>
      <c r="G16" s="2653"/>
      <c r="H16" s="2654"/>
      <c r="I16" s="2654"/>
      <c r="J16" s="2654"/>
      <c r="K16" s="2654"/>
      <c r="L16" s="2655"/>
    </row>
    <row r="17" spans="1:13" ht="12.2" customHeight="1" x14ac:dyDescent="0.2">
      <c r="A17" s="2656"/>
      <c r="B17" s="2642"/>
      <c r="C17" s="2642"/>
      <c r="D17" s="2642"/>
      <c r="E17" s="2642"/>
      <c r="F17" s="2643"/>
      <c r="G17" s="1019" t="s">
        <v>1176</v>
      </c>
      <c r="H17" s="1017"/>
      <c r="I17" s="1017"/>
      <c r="J17" s="1017"/>
      <c r="K17" s="1021" t="s">
        <v>1175</v>
      </c>
      <c r="L17" s="1014"/>
      <c r="M17" s="1007"/>
    </row>
    <row r="18" spans="1:13" ht="12.2" customHeight="1" x14ac:dyDescent="0.2">
      <c r="A18" s="2624"/>
      <c r="B18" s="2625"/>
      <c r="C18" s="2625"/>
      <c r="D18" s="2625"/>
      <c r="E18" s="2625"/>
      <c r="F18" s="2626"/>
      <c r="G18" s="2635" t="str">
        <f>COVER!T21</f>
        <v>815-937-1997</v>
      </c>
      <c r="H18" s="2636"/>
      <c r="I18" s="2636"/>
      <c r="J18" s="2636"/>
      <c r="K18" s="2635" t="str">
        <f>COVER!X21</f>
        <v>815-935-0360</v>
      </c>
      <c r="L18" s="2640"/>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7" t="str">
        <f>'Single Audit Cover'!A7</f>
        <v xml:space="preserve"> Kankakee Area Special Ed Co-op</v>
      </c>
      <c r="B1" s="2658"/>
      <c r="C1" s="2658"/>
      <c r="D1" s="2658"/>
    </row>
    <row r="2" spans="1:11" s="1036" customFormat="1" ht="12.75" x14ac:dyDescent="0.2">
      <c r="A2" s="2659">
        <f>'Single Audit Cover'!E7</f>
        <v>32046850060</v>
      </c>
      <c r="B2" s="2660"/>
      <c r="C2" s="2660"/>
      <c r="D2" s="2660"/>
    </row>
    <row r="3" spans="1:11" s="1036" customFormat="1" ht="12.75" x14ac:dyDescent="0.2">
      <c r="A3" s="2657" t="s">
        <v>1499</v>
      </c>
      <c r="B3" s="2658"/>
      <c r="C3" s="2658"/>
      <c r="D3" s="2658"/>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2" t="str">
        <f>'Single Audit Cover'!A7</f>
        <v xml:space="preserve"> Kankakee Area Special Ed Co-op</v>
      </c>
      <c r="B1" s="2662"/>
      <c r="C1" s="2662"/>
      <c r="D1" s="2662"/>
      <c r="E1" s="2662"/>
    </row>
    <row r="2" spans="1:5" x14ac:dyDescent="0.2">
      <c r="A2" s="2663">
        <f>'Single Audit Cover'!E7</f>
        <v>32046850060</v>
      </c>
      <c r="B2" s="2663"/>
      <c r="C2" s="2663"/>
      <c r="D2" s="2663"/>
      <c r="E2" s="2663"/>
    </row>
    <row r="3" spans="1:5" ht="4.5" customHeight="1" x14ac:dyDescent="0.2"/>
    <row r="4" spans="1:5" x14ac:dyDescent="0.2">
      <c r="A4" s="2662" t="s">
        <v>1236</v>
      </c>
      <c r="B4" s="2662"/>
      <c r="C4" s="2662"/>
      <c r="D4" s="2662"/>
      <c r="E4" s="2662"/>
    </row>
    <row r="5" spans="1:5" x14ac:dyDescent="0.2">
      <c r="A5" s="2665" t="str">
        <f>'Single Audit Cover'!A4</f>
        <v>Year Ending June 30, 2020</v>
      </c>
      <c r="B5" s="2665"/>
      <c r="C5" s="2665"/>
      <c r="D5" s="2665"/>
      <c r="E5" s="2665"/>
    </row>
    <row r="6" spans="1:5" x14ac:dyDescent="0.2">
      <c r="A6" s="2662" t="s">
        <v>1235</v>
      </c>
      <c r="B6" s="2662"/>
      <c r="C6" s="2662"/>
      <c r="D6" s="2662"/>
      <c r="E6" s="2662"/>
    </row>
    <row r="8" spans="1:5" x14ac:dyDescent="0.2">
      <c r="A8" s="1081" t="s">
        <v>1234</v>
      </c>
    </row>
    <row r="10" spans="1:5" x14ac:dyDescent="0.2">
      <c r="A10" s="1082" t="s">
        <v>1233</v>
      </c>
      <c r="B10" s="1083" t="s">
        <v>1232</v>
      </c>
      <c r="C10" s="1083"/>
      <c r="D10" s="1084">
        <f>SUM('Acct Summary 7-8'!C7:K7)</f>
        <v>67196</v>
      </c>
    </row>
    <row r="11" spans="1:5" ht="18" customHeight="1" x14ac:dyDescent="0.2">
      <c r="A11" s="1082" t="s">
        <v>1231</v>
      </c>
      <c r="B11" s="1083"/>
      <c r="C11" s="1083"/>
    </row>
    <row r="12" spans="1:5" x14ac:dyDescent="0.2">
      <c r="A12" s="1082" t="s">
        <v>1230</v>
      </c>
      <c r="B12" s="1083" t="s">
        <v>1229</v>
      </c>
      <c r="C12" s="1083"/>
      <c r="D12" s="1085">
        <f>SUM('Revenues 9-14'!C112:D112,'Revenues 9-14'!F112:G112)</f>
        <v>352315</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-43404</v>
      </c>
    </row>
    <row r="19" spans="1:4" ht="13.5" thickBot="1" x14ac:dyDescent="0.25">
      <c r="A19" s="1086" t="s">
        <v>1226</v>
      </c>
      <c r="D19" s="1087">
        <f>SUM(D10:D17)</f>
        <v>376107</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4"/>
      <c r="B24" s="2664"/>
      <c r="D24" s="1089"/>
    </row>
    <row r="25" spans="1:4" x14ac:dyDescent="0.2">
      <c r="A25" s="2661"/>
      <c r="B25" s="2661"/>
      <c r="D25" s="1089"/>
    </row>
    <row r="26" spans="1:4" x14ac:dyDescent="0.2">
      <c r="A26" s="2661"/>
      <c r="B26" s="2661"/>
      <c r="D26" s="1089"/>
    </row>
    <row r="27" spans="1:4" x14ac:dyDescent="0.2">
      <c r="A27" s="2661"/>
      <c r="B27" s="2661"/>
      <c r="D27" s="1089"/>
    </row>
    <row r="28" spans="1:4" x14ac:dyDescent="0.2">
      <c r="A28" s="2661"/>
      <c r="B28" s="2661"/>
      <c r="D28" s="1089"/>
    </row>
    <row r="29" spans="1:4" x14ac:dyDescent="0.2">
      <c r="A29" s="2661"/>
      <c r="B29" s="2661"/>
      <c r="D29" s="1089"/>
    </row>
    <row r="30" spans="1:4" x14ac:dyDescent="0.2">
      <c r="A30" s="2661"/>
      <c r="B30" s="2661"/>
      <c r="D30" s="1089"/>
    </row>
    <row r="32" spans="1:4" x14ac:dyDescent="0.2">
      <c r="A32" s="1081" t="s">
        <v>1224</v>
      </c>
      <c r="D32" s="1084">
        <f>SUM(D19:D30)</f>
        <v>376107</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61"/>
      <c r="B40" s="2661"/>
      <c r="D40" s="1089"/>
    </row>
    <row r="41" spans="1:4" x14ac:dyDescent="0.2">
      <c r="A41" s="2661"/>
      <c r="B41" s="2661"/>
      <c r="D41" s="1092"/>
    </row>
    <row r="42" spans="1:4" x14ac:dyDescent="0.2">
      <c r="A42" s="2661"/>
      <c r="B42" s="2661"/>
      <c r="D42" s="1092"/>
    </row>
    <row r="43" spans="1:4" x14ac:dyDescent="0.2">
      <c r="A43" s="2661"/>
      <c r="B43" s="2661"/>
      <c r="D43" s="1092"/>
    </row>
    <row r="44" spans="1:4" x14ac:dyDescent="0.2">
      <c r="A44" s="2661"/>
      <c r="B44" s="2661"/>
      <c r="D44" s="1092"/>
    </row>
    <row r="45" spans="1:4" x14ac:dyDescent="0.2">
      <c r="A45" s="2661"/>
      <c r="B45" s="2661"/>
      <c r="D45" s="1092"/>
    </row>
    <row r="47" spans="1:4" x14ac:dyDescent="0.2">
      <c r="B47" s="1093" t="s">
        <v>1218</v>
      </c>
      <c r="C47" s="1093"/>
      <c r="D47" s="1094">
        <f>SUM(D35:D45)</f>
        <v>0</v>
      </c>
    </row>
    <row r="49" spans="2:4" x14ac:dyDescent="0.2">
      <c r="B49" s="1093" t="s">
        <v>1217</v>
      </c>
      <c r="C49" s="1093"/>
      <c r="D49" s="1094">
        <f>D32-D47</f>
        <v>376107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4" t="str">
        <f>'Single Audit Cover'!A7</f>
        <v xml:space="preserve"> Kankakee Area Special Ed Co-op</v>
      </c>
      <c r="C1" s="2666"/>
      <c r="D1" s="2666"/>
      <c r="E1" s="2666"/>
      <c r="F1" s="2666"/>
      <c r="G1" s="2666"/>
      <c r="H1" s="2666"/>
      <c r="I1" s="2666"/>
      <c r="J1" s="2666"/>
      <c r="K1" s="2666"/>
      <c r="L1" s="2666"/>
      <c r="M1" s="2666"/>
    </row>
    <row r="2" spans="2:14" ht="15" x14ac:dyDescent="0.2">
      <c r="B2" s="2667">
        <f>'Single Audit Cover'!E7</f>
        <v>32046850060</v>
      </c>
      <c r="C2" s="2667"/>
      <c r="D2" s="2667"/>
      <c r="E2" s="2667"/>
      <c r="F2" s="2667"/>
      <c r="G2" s="2667"/>
      <c r="H2" s="2667"/>
      <c r="I2" s="2667"/>
      <c r="J2" s="2667"/>
      <c r="K2" s="2667"/>
      <c r="L2" s="2667"/>
      <c r="M2" s="2667"/>
      <c r="N2" s="1123"/>
    </row>
    <row r="3" spans="2:14" ht="15" x14ac:dyDescent="0.2">
      <c r="B3" s="2668" t="s">
        <v>1210</v>
      </c>
      <c r="C3" s="2668"/>
      <c r="D3" s="2668"/>
      <c r="E3" s="2668"/>
      <c r="F3" s="2668"/>
      <c r="G3" s="2668"/>
      <c r="H3" s="2668"/>
      <c r="I3" s="2668"/>
      <c r="J3" s="2668"/>
      <c r="K3" s="2668"/>
      <c r="L3" s="2668"/>
      <c r="M3" s="2668"/>
      <c r="N3" s="1123"/>
    </row>
    <row r="4" spans="2:14" ht="15" x14ac:dyDescent="0.2">
      <c r="B4" s="2669" t="str">
        <f>'Single Audit Cover'!A4</f>
        <v>Year Ending June 30, 2020</v>
      </c>
      <c r="C4" s="2669"/>
      <c r="D4" s="2669"/>
      <c r="E4" s="2669"/>
      <c r="F4" s="2669"/>
      <c r="G4" s="2669"/>
      <c r="H4" s="2669"/>
      <c r="I4" s="2669"/>
      <c r="J4" s="2669"/>
      <c r="K4" s="2669"/>
      <c r="L4" s="2669"/>
      <c r="M4" s="2669"/>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49"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6" t="s">
        <v>1160</v>
      </c>
      <c r="B2" s="2226"/>
      <c r="C2" s="2226"/>
      <c r="D2" s="2226"/>
      <c r="E2" s="2226"/>
      <c r="F2" s="2226"/>
      <c r="G2" s="2226"/>
      <c r="H2" s="2226"/>
      <c r="I2" s="2226"/>
      <c r="J2" s="222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2021</v>
      </c>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40" t="s">
        <v>1619</v>
      </c>
      <c r="B35" s="2241"/>
      <c r="C35" s="2241"/>
      <c r="D35" s="2241"/>
      <c r="E35" s="2242"/>
      <c r="F35" s="2242"/>
      <c r="G35" s="2242"/>
      <c r="H35" s="2242"/>
      <c r="I35" s="224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0" t="s">
        <v>310</v>
      </c>
      <c r="B47" s="2243"/>
      <c r="C47" s="2243"/>
      <c r="D47" s="2243"/>
      <c r="E47" s="2244"/>
      <c r="F47" s="2244"/>
      <c r="G47" s="2244"/>
      <c r="H47" s="2244"/>
      <c r="I47" s="224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7"/>
      <c r="C57" s="2248"/>
      <c r="D57" s="2248"/>
      <c r="E57" s="2248"/>
      <c r="F57" s="2248"/>
      <c r="G57" s="2248"/>
      <c r="H57" s="2248"/>
      <c r="I57" s="2248"/>
      <c r="J57" s="2249"/>
    </row>
    <row r="58" spans="1:10" s="176" customFormat="1" x14ac:dyDescent="0.2">
      <c r="A58" s="248"/>
      <c r="B58" s="2250"/>
      <c r="C58" s="2251"/>
      <c r="D58" s="2251"/>
      <c r="E58" s="2251"/>
      <c r="F58" s="2251"/>
      <c r="G58" s="2251"/>
      <c r="H58" s="2251"/>
      <c r="I58" s="2251"/>
      <c r="J58" s="2252"/>
    </row>
    <row r="59" spans="1:10" s="176" customFormat="1" x14ac:dyDescent="0.2">
      <c r="A59" s="248"/>
      <c r="B59" s="2250"/>
      <c r="C59" s="2251"/>
      <c r="D59" s="2251"/>
      <c r="E59" s="2251"/>
      <c r="F59" s="2251"/>
      <c r="G59" s="2251"/>
      <c r="H59" s="2251"/>
      <c r="I59" s="2251"/>
      <c r="J59" s="2252"/>
    </row>
    <row r="60" spans="1:10" s="176" customFormat="1" x14ac:dyDescent="0.2">
      <c r="A60" s="248"/>
      <c r="B60" s="2250"/>
      <c r="C60" s="2251"/>
      <c r="D60" s="2251"/>
      <c r="E60" s="2251"/>
      <c r="F60" s="2251"/>
      <c r="G60" s="2251"/>
      <c r="H60" s="2251"/>
      <c r="I60" s="2251"/>
      <c r="J60" s="2252"/>
    </row>
    <row r="61" spans="1:10" s="176" customFormat="1" x14ac:dyDescent="0.2">
      <c r="A61" s="248"/>
      <c r="B61" s="2250"/>
      <c r="C61" s="2251"/>
      <c r="D61" s="2251"/>
      <c r="E61" s="2251"/>
      <c r="F61" s="2251"/>
      <c r="G61" s="2251"/>
      <c r="H61" s="2251"/>
      <c r="I61" s="2251"/>
      <c r="J61" s="2252"/>
    </row>
    <row r="62" spans="1:10" s="176" customFormat="1" x14ac:dyDescent="0.2">
      <c r="A62" s="248"/>
      <c r="B62" s="2250"/>
      <c r="C62" s="2251"/>
      <c r="D62" s="2251"/>
      <c r="E62" s="2251"/>
      <c r="F62" s="2251"/>
      <c r="G62" s="2251"/>
      <c r="H62" s="2251"/>
      <c r="I62" s="2251"/>
      <c r="J62" s="2252"/>
    </row>
    <row r="63" spans="1:10" s="176" customFormat="1" x14ac:dyDescent="0.2">
      <c r="A63" s="248"/>
      <c r="B63" s="2250"/>
      <c r="C63" s="2251"/>
      <c r="D63" s="2251"/>
      <c r="E63" s="2251"/>
      <c r="F63" s="2251"/>
      <c r="G63" s="2251"/>
      <c r="H63" s="2251"/>
      <c r="I63" s="2251"/>
      <c r="J63" s="2252"/>
    </row>
    <row r="64" spans="1:10" s="176" customFormat="1" x14ac:dyDescent="0.2">
      <c r="A64" s="248"/>
      <c r="B64" s="2250"/>
      <c r="C64" s="2251"/>
      <c r="D64" s="2251"/>
      <c r="E64" s="2251"/>
      <c r="F64" s="2251"/>
      <c r="G64" s="2251"/>
      <c r="H64" s="2251"/>
      <c r="I64" s="2251"/>
      <c r="J64" s="2252"/>
    </row>
    <row r="65" spans="1:11" s="176" customFormat="1" x14ac:dyDescent="0.2">
      <c r="A65" s="248"/>
      <c r="B65" s="2250"/>
      <c r="C65" s="2251"/>
      <c r="D65" s="2251"/>
      <c r="E65" s="2251"/>
      <c r="F65" s="2251"/>
      <c r="G65" s="2251"/>
      <c r="H65" s="2251"/>
      <c r="I65" s="2251"/>
      <c r="J65" s="2252"/>
    </row>
    <row r="66" spans="1:11" s="176" customFormat="1" x14ac:dyDescent="0.2">
      <c r="A66" s="248"/>
      <c r="B66" s="2250"/>
      <c r="C66" s="2251"/>
      <c r="D66" s="2251"/>
      <c r="E66" s="2251"/>
      <c r="F66" s="2251"/>
      <c r="G66" s="2251"/>
      <c r="H66" s="2251"/>
      <c r="I66" s="2251"/>
      <c r="J66" s="2252"/>
    </row>
    <row r="67" spans="1:11" s="176" customFormat="1" ht="9" customHeight="1" x14ac:dyDescent="0.2">
      <c r="A67" s="249"/>
      <c r="B67" s="2253"/>
      <c r="C67" s="2254"/>
      <c r="D67" s="2254"/>
      <c r="E67" s="2254"/>
      <c r="F67" s="2254"/>
      <c r="G67" s="2254"/>
      <c r="H67" s="2254"/>
      <c r="I67" s="2254"/>
      <c r="J67" s="225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0" t="s">
        <v>1314</v>
      </c>
      <c r="B70" s="2243"/>
      <c r="C70" s="2243"/>
      <c r="D70" s="2243"/>
      <c r="E70" s="2244"/>
      <c r="F70" s="2244"/>
      <c r="G70" s="2244"/>
      <c r="H70" s="2244"/>
      <c r="I70" s="224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5" t="s">
        <v>1311</v>
      </c>
      <c r="B83" s="2245"/>
      <c r="C83" s="2245"/>
      <c r="D83" s="224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6" t="s">
        <v>1992</v>
      </c>
      <c r="B85" s="2256"/>
      <c r="C85" s="2256"/>
      <c r="D85" s="2257"/>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8" t="s">
        <v>1992</v>
      </c>
      <c r="B88" s="2259"/>
      <c r="C88" s="2259"/>
      <c r="D88" s="2260"/>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7" t="s">
        <v>2096</v>
      </c>
      <c r="C102" s="2228"/>
      <c r="D102" s="2228"/>
      <c r="E102" s="2228"/>
      <c r="F102" s="2228"/>
      <c r="G102" s="2228"/>
      <c r="H102" s="2228"/>
      <c r="I102" s="2229"/>
    </row>
    <row r="103" spans="1:9" s="176" customFormat="1" ht="11.25" customHeight="1" x14ac:dyDescent="0.2">
      <c r="A103" s="294"/>
      <c r="B103" s="2230"/>
      <c r="C103" s="2231"/>
      <c r="D103" s="2231"/>
      <c r="E103" s="2231"/>
      <c r="F103" s="2231"/>
      <c r="G103" s="2231"/>
      <c r="H103" s="2231"/>
      <c r="I103" s="2232"/>
    </row>
    <row r="104" spans="1:9" s="176" customFormat="1" ht="11.25" customHeight="1" x14ac:dyDescent="0.2">
      <c r="A104" s="294"/>
      <c r="B104" s="2230"/>
      <c r="C104" s="2231"/>
      <c r="D104" s="2231"/>
      <c r="E104" s="2231"/>
      <c r="F104" s="2231"/>
      <c r="G104" s="2231"/>
      <c r="H104" s="2231"/>
      <c r="I104" s="2232"/>
    </row>
    <row r="105" spans="1:9" s="176" customFormat="1" x14ac:dyDescent="0.2">
      <c r="A105" s="294"/>
      <c r="B105" s="2230"/>
      <c r="C105" s="2231"/>
      <c r="D105" s="2231"/>
      <c r="E105" s="2231"/>
      <c r="F105" s="2231"/>
      <c r="G105" s="2231"/>
      <c r="H105" s="2231"/>
      <c r="I105" s="2232"/>
    </row>
    <row r="106" spans="1:9" s="176" customFormat="1" ht="11.25" customHeight="1" x14ac:dyDescent="0.2">
      <c r="A106" s="294"/>
      <c r="B106" s="2230"/>
      <c r="C106" s="2231"/>
      <c r="D106" s="2231"/>
      <c r="E106" s="2231"/>
      <c r="F106" s="2231"/>
      <c r="G106" s="2231"/>
      <c r="H106" s="2231"/>
      <c r="I106" s="2232"/>
    </row>
    <row r="107" spans="1:9" s="176" customFormat="1" ht="11.25" customHeight="1" x14ac:dyDescent="0.2">
      <c r="A107" s="294"/>
      <c r="B107" s="2230"/>
      <c r="C107" s="2231"/>
      <c r="D107" s="2231"/>
      <c r="E107" s="2231"/>
      <c r="F107" s="2231"/>
      <c r="G107" s="2231"/>
      <c r="H107" s="2231"/>
      <c r="I107" s="2232"/>
    </row>
    <row r="108" spans="1:9" s="176" customFormat="1" ht="11.25" customHeight="1" x14ac:dyDescent="0.2">
      <c r="A108" s="294"/>
      <c r="B108" s="2230"/>
      <c r="C108" s="2231"/>
      <c r="D108" s="2231"/>
      <c r="E108" s="2231"/>
      <c r="F108" s="2231"/>
      <c r="G108" s="2231"/>
      <c r="H108" s="2231"/>
      <c r="I108" s="2232"/>
    </row>
    <row r="109" spans="1:9" s="176" customFormat="1" ht="11.25" customHeight="1" x14ac:dyDescent="0.2">
      <c r="A109" s="294"/>
      <c r="B109" s="2230"/>
      <c r="C109" s="2231"/>
      <c r="D109" s="2231"/>
      <c r="E109" s="2231"/>
      <c r="F109" s="2231"/>
      <c r="G109" s="2231"/>
      <c r="H109" s="2231"/>
      <c r="I109" s="2232"/>
    </row>
    <row r="110" spans="1:9" s="176" customFormat="1" ht="11.25" customHeight="1" x14ac:dyDescent="0.2">
      <c r="A110" s="294"/>
      <c r="B110" s="2230"/>
      <c r="C110" s="2231"/>
      <c r="D110" s="2231"/>
      <c r="E110" s="2231"/>
      <c r="F110" s="2231"/>
      <c r="G110" s="2231"/>
      <c r="H110" s="2231"/>
      <c r="I110" s="2232"/>
    </row>
    <row r="111" spans="1:9" s="176" customFormat="1" ht="11.25" customHeight="1" x14ac:dyDescent="0.2">
      <c r="A111" s="294"/>
      <c r="B111" s="2230"/>
      <c r="C111" s="2231"/>
      <c r="D111" s="2231"/>
      <c r="E111" s="2231"/>
      <c r="F111" s="2231"/>
      <c r="G111" s="2231"/>
      <c r="H111" s="2231"/>
      <c r="I111" s="2232"/>
    </row>
    <row r="112" spans="1:9" s="176" customFormat="1" ht="11.25" customHeight="1" x14ac:dyDescent="0.2">
      <c r="A112" s="294"/>
      <c r="B112" s="2233"/>
      <c r="C112" s="2234"/>
      <c r="D112" s="2234"/>
      <c r="E112" s="2234"/>
      <c r="F112" s="2234"/>
      <c r="G112" s="2234"/>
      <c r="H112" s="2234"/>
      <c r="I112" s="223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6"/>
      <c r="D114" s="223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7" t="s">
        <v>1321</v>
      </c>
      <c r="D117" s="2238"/>
      <c r="E117" s="2239"/>
      <c r="F117" s="2239"/>
      <c r="G117" s="2239"/>
      <c r="H117" s="2239"/>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9" t="str">
        <f>'Single Audit Cover'!A7</f>
        <v xml:space="preserve"> Kankakee Area Special Ed Co-op</v>
      </c>
      <c r="B1" s="2679"/>
      <c r="C1" s="2679"/>
      <c r="D1" s="2679"/>
      <c r="E1" s="2679"/>
      <c r="F1" s="2679"/>
    </row>
    <row r="2" spans="1:7" ht="13.5" customHeight="1" x14ac:dyDescent="0.2">
      <c r="A2" s="2667">
        <f>'Single Audit Cover'!E7</f>
        <v>32046850060</v>
      </c>
      <c r="B2" s="2667"/>
      <c r="C2" s="2667"/>
      <c r="D2" s="2667"/>
      <c r="E2" s="2667"/>
      <c r="F2" s="2667"/>
      <c r="G2" s="1096"/>
    </row>
    <row r="3" spans="1:7" ht="15.75" customHeight="1" x14ac:dyDescent="0.2">
      <c r="A3" s="2680" t="s">
        <v>1262</v>
      </c>
      <c r="B3" s="2680"/>
      <c r="C3" s="2680"/>
      <c r="D3" s="2680"/>
      <c r="E3" s="2680"/>
      <c r="F3" s="2680"/>
    </row>
    <row r="4" spans="1:7" ht="13.5" customHeight="1" x14ac:dyDescent="0.2">
      <c r="A4" s="2681" t="str">
        <f>'Single Audit Cover'!A4</f>
        <v>Year Ending June 30, 2020</v>
      </c>
      <c r="B4" s="2681"/>
      <c r="C4" s="2681"/>
      <c r="D4" s="2681"/>
      <c r="E4" s="2681"/>
      <c r="F4" s="2681"/>
    </row>
    <row r="5" spans="1:7" ht="8.25" customHeight="1" x14ac:dyDescent="0.2">
      <c r="C5" s="295"/>
      <c r="D5" s="295"/>
    </row>
    <row r="6" spans="1:7" ht="13.5" customHeight="1" x14ac:dyDescent="0.2">
      <c r="A6" s="1097" t="s">
        <v>1708</v>
      </c>
      <c r="C6" s="295"/>
      <c r="D6" s="295"/>
    </row>
    <row r="7" spans="1:7" ht="60.95" customHeight="1" x14ac:dyDescent="0.2">
      <c r="A7" s="2678" t="s">
        <v>1709</v>
      </c>
      <c r="B7" s="2678"/>
      <c r="C7" s="2678"/>
      <c r="D7" s="2678"/>
      <c r="E7" s="2678"/>
      <c r="F7" s="2678"/>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78" t="s">
        <v>1711</v>
      </c>
      <c r="B13" s="2678"/>
      <c r="C13" s="2678"/>
      <c r="D13" s="2678"/>
      <c r="E13" s="2678"/>
      <c r="F13" s="2678"/>
    </row>
    <row r="14" spans="1:7" ht="9.75" customHeight="1" x14ac:dyDescent="0.2">
      <c r="C14" s="1081"/>
      <c r="D14" s="1081"/>
    </row>
    <row r="15" spans="1:7" ht="13.5" customHeight="1" x14ac:dyDescent="0.2">
      <c r="C15" s="1525" t="s">
        <v>1261</v>
      </c>
      <c r="D15" s="2676" t="s">
        <v>1260</v>
      </c>
      <c r="E15" s="2676"/>
      <c r="F15" s="2676"/>
    </row>
    <row r="16" spans="1:7" ht="13.5" customHeight="1" x14ac:dyDescent="0.2">
      <c r="A16" s="1103"/>
      <c r="B16" s="1097" t="s">
        <v>1259</v>
      </c>
      <c r="C16" s="1525" t="s">
        <v>1258</v>
      </c>
      <c r="D16" s="2677" t="s">
        <v>1574</v>
      </c>
      <c r="E16" s="2677"/>
      <c r="F16" s="2677"/>
    </row>
    <row r="17" spans="1:6" ht="20.45" customHeight="1" x14ac:dyDescent="0.2">
      <c r="A17" s="1104"/>
      <c r="B17" s="1105"/>
      <c r="C17" s="1106"/>
      <c r="D17" s="2671"/>
      <c r="E17" s="2671"/>
      <c r="F17" s="2671"/>
    </row>
    <row r="18" spans="1:6" ht="20.65" customHeight="1" x14ac:dyDescent="0.2">
      <c r="A18" s="1104"/>
      <c r="B18" s="1105"/>
      <c r="C18" s="1106"/>
      <c r="D18" s="2671"/>
      <c r="E18" s="2671"/>
      <c r="F18" s="2671"/>
    </row>
    <row r="19" spans="1:6" ht="20.65" customHeight="1" x14ac:dyDescent="0.2">
      <c r="A19" s="1104"/>
      <c r="B19" s="1105"/>
      <c r="C19" s="1106"/>
      <c r="D19" s="2671"/>
      <c r="E19" s="2671"/>
      <c r="F19" s="2671"/>
    </row>
    <row r="20" spans="1:6" ht="20.65" customHeight="1" x14ac:dyDescent="0.2">
      <c r="A20" s="1104"/>
      <c r="B20" s="1105"/>
      <c r="C20" s="1106"/>
      <c r="D20" s="2671"/>
      <c r="E20" s="2671"/>
      <c r="F20" s="2671"/>
    </row>
    <row r="21" spans="1:6" ht="20.65" customHeight="1" x14ac:dyDescent="0.2">
      <c r="A21" s="1104"/>
      <c r="B21" s="1105"/>
      <c r="C21" s="1106"/>
      <c r="D21" s="2671"/>
      <c r="E21" s="2671"/>
      <c r="F21" s="2671"/>
    </row>
    <row r="22" spans="1:6" ht="20.65" customHeight="1" x14ac:dyDescent="0.2">
      <c r="A22" s="1104"/>
      <c r="B22" s="1105"/>
      <c r="C22" s="1106"/>
      <c r="D22" s="2671"/>
      <c r="E22" s="2671"/>
      <c r="F22" s="2671"/>
    </row>
    <row r="23" spans="1:6" ht="20.65" customHeight="1" x14ac:dyDescent="0.2">
      <c r="A23" s="1104"/>
      <c r="B23" s="1105"/>
      <c r="C23" s="1106"/>
      <c r="D23" s="2671"/>
      <c r="E23" s="2671"/>
      <c r="F23" s="2671"/>
    </row>
    <row r="24" spans="1:6" ht="20.65" customHeight="1" x14ac:dyDescent="0.2">
      <c r="A24" s="1104"/>
      <c r="B24" s="1105"/>
      <c r="C24" s="1106"/>
      <c r="D24" s="2671"/>
      <c r="E24" s="2671"/>
      <c r="F24" s="2671"/>
    </row>
    <row r="25" spans="1:6" ht="20.65" customHeight="1" x14ac:dyDescent="0.2">
      <c r="A25" s="1104"/>
      <c r="B25" s="1105"/>
      <c r="C25" s="1106"/>
      <c r="D25" s="2671"/>
      <c r="E25" s="2671"/>
      <c r="F25" s="2671"/>
    </row>
    <row r="26" spans="1:6" ht="20.65" customHeight="1" x14ac:dyDescent="0.2">
      <c r="A26" s="1104"/>
      <c r="B26" s="1105"/>
      <c r="C26" s="1106"/>
      <c r="D26" s="2671"/>
      <c r="E26" s="2671"/>
      <c r="F26" s="2671"/>
    </row>
    <row r="27" spans="1:6" ht="20.65" customHeight="1" x14ac:dyDescent="0.2">
      <c r="A27" s="1104"/>
      <c r="B27" s="1105"/>
      <c r="C27" s="1106"/>
      <c r="D27" s="2671"/>
      <c r="E27" s="2671"/>
      <c r="F27" s="2671"/>
    </row>
    <row r="28" spans="1:6" ht="20.65" customHeight="1" x14ac:dyDescent="0.2">
      <c r="A28" s="1104"/>
      <c r="B28" s="1105"/>
      <c r="C28" s="1106"/>
      <c r="D28" s="2671"/>
      <c r="E28" s="2671"/>
      <c r="F28" s="2671"/>
    </row>
    <row r="29" spans="1:6" ht="20.65" customHeight="1" x14ac:dyDescent="0.2">
      <c r="A29" s="1104"/>
      <c r="B29" s="1105"/>
      <c r="C29" s="1106"/>
      <c r="D29" s="2671"/>
      <c r="E29" s="2671"/>
      <c r="F29" s="2671"/>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2" t="s">
        <v>1712</v>
      </c>
      <c r="B32" s="2672"/>
      <c r="C32" s="2672"/>
      <c r="D32" s="2672"/>
      <c r="E32" s="2672"/>
      <c r="F32" s="2672"/>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673">
        <f>+C33+C34</f>
        <v>0</v>
      </c>
      <c r="F34" s="2674"/>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5" t="s">
        <v>1576</v>
      </c>
      <c r="C49" s="2675"/>
      <c r="D49" s="2675"/>
      <c r="E49" s="1213"/>
    </row>
    <row r="50" spans="1:5" s="1121" customFormat="1" ht="3.75" customHeight="1" x14ac:dyDescent="0.2">
      <c r="A50" s="1120"/>
      <c r="B50" s="1524"/>
      <c r="C50" s="1524"/>
      <c r="D50" s="1524"/>
      <c r="E50" s="1213"/>
    </row>
    <row r="51" spans="1:5" s="1121" customFormat="1" ht="20.25" customHeight="1" x14ac:dyDescent="0.2">
      <c r="A51" s="1122">
        <v>6</v>
      </c>
      <c r="B51" s="2670" t="s">
        <v>1537</v>
      </c>
      <c r="C51" s="2670"/>
      <c r="D51" s="2670"/>
    </row>
    <row r="52" spans="1:5" ht="14.25" customHeight="1" x14ac:dyDescent="0.2">
      <c r="A52" s="1122"/>
      <c r="B52" s="2670"/>
      <c r="C52" s="2670"/>
      <c r="D52" s="26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3" t="str">
        <f>'Single Audit Cover'!A7</f>
        <v xml:space="preserve"> Kankakee Area Special Ed Co-op</v>
      </c>
      <c r="C1" s="2694"/>
      <c r="D1" s="2694"/>
      <c r="E1" s="2694"/>
      <c r="F1" s="2694"/>
      <c r="G1" s="2694"/>
      <c r="H1" s="2694"/>
      <c r="I1" s="2694"/>
      <c r="J1" s="1223"/>
    </row>
    <row r="2" spans="2:10" s="295" customFormat="1" ht="12.75" customHeight="1" x14ac:dyDescent="0.2">
      <c r="B2" s="2695">
        <f>'Single Audit Cover'!E7</f>
        <v>32046850060</v>
      </c>
      <c r="C2" s="2696"/>
      <c r="D2" s="2696"/>
      <c r="E2" s="2696"/>
      <c r="F2" s="2696"/>
      <c r="G2" s="2696"/>
      <c r="H2" s="2696"/>
      <c r="I2" s="2696"/>
      <c r="J2" s="1223"/>
    </row>
    <row r="3" spans="2:10" s="295" customFormat="1" ht="12.75" customHeight="1" x14ac:dyDescent="0.2">
      <c r="B3" s="2697" t="s">
        <v>1276</v>
      </c>
      <c r="C3" s="2698"/>
      <c r="D3" s="2698"/>
      <c r="E3" s="2698"/>
      <c r="F3" s="2698"/>
      <c r="G3" s="2698"/>
      <c r="H3" s="2698"/>
      <c r="I3" s="2698"/>
      <c r="J3" s="1224"/>
    </row>
    <row r="4" spans="2:10" s="295" customFormat="1" ht="12.75" customHeight="1" x14ac:dyDescent="0.2">
      <c r="B4" s="2697" t="str">
        <f>'Single Audit Cover'!A4</f>
        <v>Year Ending June 30, 2020</v>
      </c>
      <c r="C4" s="2698"/>
      <c r="D4" s="2698"/>
      <c r="E4" s="2698"/>
      <c r="F4" s="2698"/>
      <c r="G4" s="2698"/>
      <c r="H4" s="2698"/>
      <c r="I4" s="2698"/>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7" t="s">
        <v>1275</v>
      </c>
      <c r="C7" s="2698"/>
      <c r="D7" s="2698"/>
      <c r="E7" s="2698"/>
      <c r="F7" s="2698"/>
      <c r="G7" s="2698"/>
      <c r="H7" s="2698"/>
      <c r="I7" s="2698"/>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9"/>
      <c r="D11" s="2699"/>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700"/>
      <c r="E29" s="2700"/>
      <c r="F29" s="2700"/>
      <c r="G29" s="2700"/>
      <c r="H29" s="2700"/>
      <c r="I29" s="2700"/>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701" t="s">
        <v>1731</v>
      </c>
      <c r="D37" s="2702"/>
      <c r="E37" s="2702"/>
      <c r="F37" s="2703"/>
      <c r="G37" s="2701" t="s">
        <v>1578</v>
      </c>
      <c r="H37" s="2702"/>
      <c r="I37" s="2703"/>
    </row>
    <row r="38" spans="2:9" ht="16.5" customHeight="1" x14ac:dyDescent="0.2">
      <c r="B38" s="1245"/>
      <c r="C38" s="2689"/>
      <c r="D38" s="2690"/>
      <c r="E38" s="2690"/>
      <c r="F38" s="2691"/>
      <c r="G38" s="2704"/>
      <c r="H38" s="2705"/>
      <c r="I38" s="2706"/>
    </row>
    <row r="39" spans="2:9" ht="16.5" customHeight="1" x14ac:dyDescent="0.2">
      <c r="B39" s="1245"/>
      <c r="C39" s="2689"/>
      <c r="D39" s="2690"/>
      <c r="E39" s="2690"/>
      <c r="F39" s="2691"/>
      <c r="G39" s="2692"/>
      <c r="H39" s="2692"/>
      <c r="I39" s="2692"/>
    </row>
    <row r="40" spans="2:9" ht="16.5" customHeight="1" x14ac:dyDescent="0.2">
      <c r="B40" s="1245"/>
      <c r="C40" s="2689"/>
      <c r="D40" s="2690"/>
      <c r="E40" s="2690"/>
      <c r="F40" s="2691"/>
      <c r="G40" s="2692"/>
      <c r="H40" s="2692"/>
      <c r="I40" s="2692"/>
    </row>
    <row r="41" spans="2:9" ht="16.5" customHeight="1" x14ac:dyDescent="0.2">
      <c r="B41" s="1245"/>
      <c r="C41" s="2689"/>
      <c r="D41" s="2690"/>
      <c r="E41" s="2690"/>
      <c r="F41" s="2691"/>
      <c r="G41" s="2692"/>
      <c r="H41" s="2692"/>
      <c r="I41" s="2692"/>
    </row>
    <row r="42" spans="2:9" ht="16.5" customHeight="1" x14ac:dyDescent="0.2">
      <c r="B42" s="1245"/>
      <c r="C42" s="2689"/>
      <c r="D42" s="2690"/>
      <c r="E42" s="2690"/>
      <c r="F42" s="2691"/>
      <c r="G42" s="2692"/>
      <c r="H42" s="2692"/>
      <c r="I42" s="2692"/>
    </row>
    <row r="43" spans="2:9" ht="16.5" customHeight="1" x14ac:dyDescent="0.2">
      <c r="B43" s="1245"/>
      <c r="C43" s="2682" t="s">
        <v>1579</v>
      </c>
      <c r="D43" s="2683"/>
      <c r="E43" s="2683"/>
      <c r="F43" s="2684"/>
      <c r="G43" s="2685">
        <f>SUM(G38:I42)</f>
        <v>0</v>
      </c>
      <c r="H43" s="2685"/>
      <c r="I43" s="2685"/>
    </row>
    <row r="44" spans="2:9" ht="12.75" customHeight="1" x14ac:dyDescent="0.2"/>
    <row r="45" spans="2:9" ht="12.75" customHeight="1" x14ac:dyDescent="0.2">
      <c r="B45" s="1985" t="str">
        <f>"Total Federal Expenditures for 7/1/"&amp;MID('AFR20'!E2,3,2)-1&amp;"-6/30/"&amp;MID('AFR20'!E2,3,2)</f>
        <v>Total Federal Expenditures for 7/1/19-6/30/20</v>
      </c>
      <c r="C45" s="1986"/>
      <c r="D45" s="2686">
        <v>0</v>
      </c>
      <c r="E45" s="2687"/>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688"/>
      <c r="F49" s="2688"/>
      <c r="G49" s="2688"/>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3" t="str">
        <f>'Single Audit Cover'!A7</f>
        <v xml:space="preserve"> Kankakee Area Special Ed Co-op</v>
      </c>
      <c r="C1" s="2693"/>
      <c r="D1" s="2693"/>
      <c r="E1" s="2693"/>
      <c r="F1" s="2693"/>
      <c r="G1" s="2693"/>
      <c r="H1" s="2693"/>
      <c r="I1" s="2693"/>
      <c r="J1" s="2693"/>
      <c r="K1" s="2693"/>
      <c r="L1" s="1189"/>
      <c r="M1" s="1189"/>
    </row>
    <row r="2" spans="1:13" ht="12" customHeight="1" x14ac:dyDescent="0.2">
      <c r="B2" s="2695">
        <f>'Single Audit Cover'!E7</f>
        <v>32046850060</v>
      </c>
      <c r="C2" s="2695"/>
      <c r="D2" s="2695"/>
      <c r="E2" s="2695"/>
      <c r="F2" s="2695"/>
      <c r="G2" s="2695"/>
      <c r="H2" s="2695"/>
      <c r="I2" s="2695"/>
      <c r="J2" s="2695"/>
      <c r="K2" s="2695"/>
      <c r="L2" s="1190"/>
      <c r="M2" s="1191"/>
    </row>
    <row r="3" spans="1:13" ht="10.35" customHeight="1" x14ac:dyDescent="0.2">
      <c r="B3" s="2709" t="s">
        <v>1276</v>
      </c>
      <c r="C3" s="2709"/>
      <c r="D3" s="2709"/>
      <c r="E3" s="2709"/>
      <c r="F3" s="2709"/>
      <c r="G3" s="2709"/>
      <c r="H3" s="2709"/>
      <c r="I3" s="2709"/>
      <c r="J3" s="2709"/>
      <c r="K3" s="2709"/>
      <c r="L3" s="1192"/>
      <c r="M3" s="1192"/>
    </row>
    <row r="4" spans="1:13" ht="14.25" customHeight="1" x14ac:dyDescent="0.2">
      <c r="B4" s="2710" t="str">
        <f>'Single Audit Cover'!A4</f>
        <v>Year Ending June 30, 2020</v>
      </c>
      <c r="C4" s="2710"/>
      <c r="D4" s="2710"/>
      <c r="E4" s="2710"/>
      <c r="F4" s="2710"/>
      <c r="G4" s="2710"/>
      <c r="H4" s="2710"/>
      <c r="I4" s="2710"/>
      <c r="J4" s="2710"/>
      <c r="K4" s="2710"/>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0" t="s">
        <v>1287</v>
      </c>
      <c r="C7" s="2710"/>
      <c r="D7" s="2711"/>
      <c r="E7" s="2711"/>
      <c r="F7" s="2711"/>
      <c r="G7" s="2711"/>
      <c r="H7" s="2711"/>
      <c r="I7" s="2711"/>
      <c r="J7" s="2711"/>
      <c r="K7" s="2711"/>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8"/>
      <c r="C14" s="2708"/>
      <c r="D14" s="2708"/>
      <c r="E14" s="2708"/>
      <c r="F14" s="2708"/>
      <c r="G14" s="2708"/>
      <c r="H14" s="2708"/>
      <c r="I14" s="2708"/>
      <c r="J14" s="2708"/>
      <c r="K14" s="2708"/>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8"/>
      <c r="C17" s="2708"/>
      <c r="D17" s="2708"/>
      <c r="E17" s="2708"/>
      <c r="F17" s="2708"/>
      <c r="G17" s="2708"/>
      <c r="H17" s="2708"/>
      <c r="I17" s="2708"/>
      <c r="J17" s="2708"/>
      <c r="K17" s="2708"/>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12"/>
      <c r="C20" s="2712"/>
      <c r="D20" s="2708"/>
      <c r="E20" s="2708"/>
      <c r="F20" s="2708"/>
      <c r="G20" s="2708"/>
      <c r="H20" s="2708"/>
      <c r="I20" s="2708"/>
      <c r="J20" s="2708"/>
      <c r="K20" s="2708"/>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8"/>
      <c r="C23" s="2708"/>
      <c r="D23" s="2708"/>
      <c r="E23" s="2708"/>
      <c r="F23" s="2708"/>
      <c r="G23" s="2708"/>
      <c r="H23" s="2708"/>
      <c r="I23" s="2708"/>
      <c r="J23" s="2708"/>
      <c r="K23" s="2708"/>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8"/>
      <c r="C26" s="2708"/>
      <c r="D26" s="2708"/>
      <c r="E26" s="2708"/>
      <c r="F26" s="2708"/>
      <c r="G26" s="2708"/>
      <c r="H26" s="2708"/>
      <c r="I26" s="2708"/>
      <c r="J26" s="2708"/>
      <c r="K26" s="2708"/>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7"/>
      <c r="C29" s="2707"/>
      <c r="D29" s="2708"/>
      <c r="E29" s="2708"/>
      <c r="F29" s="2708"/>
      <c r="G29" s="2708"/>
      <c r="H29" s="2708"/>
      <c r="I29" s="2708"/>
      <c r="J29" s="2708"/>
      <c r="K29" s="2708"/>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7"/>
      <c r="C32" s="2707"/>
      <c r="D32" s="2708"/>
      <c r="E32" s="2708"/>
      <c r="F32" s="2708"/>
      <c r="G32" s="2708"/>
      <c r="H32" s="2708"/>
      <c r="I32" s="2708"/>
      <c r="J32" s="2708"/>
      <c r="K32" s="2708"/>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6" t="str">
        <f>'Single Audit Cover'!A7</f>
        <v xml:space="preserve"> Kankakee Area Special Ed Co-op</v>
      </c>
      <c r="C1" s="2716"/>
      <c r="D1" s="2716"/>
      <c r="E1" s="2716"/>
      <c r="F1" s="2716"/>
      <c r="G1" s="2716"/>
      <c r="H1" s="2716"/>
      <c r="I1" s="2716"/>
      <c r="J1" s="2716"/>
      <c r="K1" s="2716"/>
      <c r="L1" s="1266"/>
    </row>
    <row r="2" spans="1:12" ht="12.75" customHeight="1" x14ac:dyDescent="0.2">
      <c r="B2" s="2717">
        <f>'Single Audit Cover'!E7</f>
        <v>32046850060</v>
      </c>
      <c r="C2" s="2717"/>
      <c r="D2" s="2717"/>
      <c r="E2" s="2717"/>
      <c r="F2" s="2717"/>
      <c r="G2" s="2717"/>
      <c r="H2" s="2717"/>
      <c r="I2" s="2717"/>
      <c r="J2" s="2717"/>
      <c r="K2" s="2717"/>
      <c r="L2" s="1267"/>
    </row>
    <row r="3" spans="1:12" ht="12.75" customHeight="1" x14ac:dyDescent="0.2">
      <c r="B3" s="2709" t="s">
        <v>1276</v>
      </c>
      <c r="C3" s="2709"/>
      <c r="D3" s="2709"/>
      <c r="E3" s="2709"/>
      <c r="F3" s="2709"/>
      <c r="G3" s="2709"/>
      <c r="H3" s="2709"/>
      <c r="I3" s="2709"/>
      <c r="J3" s="2709"/>
      <c r="K3" s="2709"/>
      <c r="L3" s="1192"/>
    </row>
    <row r="4" spans="1:12" ht="12.75" customHeight="1" x14ac:dyDescent="0.2">
      <c r="B4" s="2709" t="str">
        <f>'Single Audit Cover'!A4</f>
        <v>Year Ending June 30, 2020</v>
      </c>
      <c r="C4" s="2709"/>
      <c r="D4" s="2709"/>
      <c r="E4" s="2709"/>
      <c r="F4" s="2709"/>
      <c r="G4" s="2709"/>
      <c r="H4" s="2709"/>
      <c r="I4" s="2709"/>
      <c r="J4" s="2709"/>
      <c r="K4" s="2709"/>
      <c r="L4" s="1192"/>
    </row>
    <row r="5" spans="1:12" ht="5.25" customHeight="1" x14ac:dyDescent="0.2">
      <c r="B5" s="1081" t="s">
        <v>1161</v>
      </c>
      <c r="C5" s="1081"/>
      <c r="L5" s="300"/>
    </row>
    <row r="6" spans="1:12" ht="30.75" customHeight="1" x14ac:dyDescent="0.2">
      <c r="A6" s="300"/>
      <c r="B6" s="2718" t="s">
        <v>1299</v>
      </c>
      <c r="C6" s="2718"/>
      <c r="D6" s="2718"/>
      <c r="E6" s="2718"/>
      <c r="F6" s="2718"/>
      <c r="G6" s="2718"/>
      <c r="H6" s="2718"/>
      <c r="I6" s="2718"/>
      <c r="J6" s="2718"/>
      <c r="K6" s="2718"/>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700"/>
      <c r="G12" s="2700"/>
      <c r="H12" s="2700"/>
      <c r="I12" s="2700"/>
      <c r="J12" s="2700"/>
      <c r="K12" s="2700"/>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3"/>
      <c r="E14" s="2713"/>
      <c r="F14" s="2713"/>
      <c r="H14" s="1275" t="s">
        <v>1294</v>
      </c>
      <c r="I14" s="2714"/>
      <c r="J14" s="2714"/>
      <c r="K14" s="2714"/>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4"/>
      <c r="E16" s="2714"/>
      <c r="F16" s="2714"/>
      <c r="G16" s="2714"/>
      <c r="H16" s="2714"/>
      <c r="I16" s="2714"/>
      <c r="J16" s="2714"/>
      <c r="K16" s="2714"/>
      <c r="L16" s="300"/>
    </row>
    <row r="17" spans="2:12" ht="13.5" customHeight="1" x14ac:dyDescent="0.2">
      <c r="B17" s="1201" t="s">
        <v>1292</v>
      </c>
      <c r="C17" s="1201"/>
      <c r="D17" s="2715"/>
      <c r="E17" s="2715"/>
      <c r="F17" s="2715"/>
      <c r="G17" s="2715"/>
      <c r="H17" s="2715"/>
      <c r="I17" s="2715"/>
      <c r="J17" s="2715"/>
      <c r="K17" s="2715"/>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8"/>
      <c r="C20" s="2708"/>
      <c r="D20" s="2708"/>
      <c r="E20" s="2708"/>
      <c r="F20" s="2708"/>
      <c r="G20" s="2708"/>
      <c r="H20" s="2708"/>
      <c r="I20" s="2708"/>
      <c r="J20" s="2708"/>
      <c r="K20" s="2708"/>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708"/>
      <c r="C23" s="2708"/>
      <c r="D23" s="2708"/>
      <c r="E23" s="2708"/>
      <c r="F23" s="2708"/>
      <c r="G23" s="2708"/>
      <c r="H23" s="2708"/>
      <c r="I23" s="2708"/>
      <c r="J23" s="2708"/>
      <c r="K23" s="2708"/>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708"/>
      <c r="C26" s="2708"/>
      <c r="D26" s="2708"/>
      <c r="E26" s="2708"/>
      <c r="F26" s="2708"/>
      <c r="G26" s="2708"/>
      <c r="H26" s="2708"/>
      <c r="I26" s="2708"/>
      <c r="J26" s="2708"/>
      <c r="K26" s="2708"/>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708"/>
      <c r="C29" s="2708"/>
      <c r="D29" s="2708"/>
      <c r="E29" s="2708"/>
      <c r="F29" s="2708"/>
      <c r="G29" s="2708"/>
      <c r="H29" s="2708"/>
      <c r="I29" s="2708"/>
      <c r="J29" s="2708"/>
      <c r="K29" s="2708"/>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8"/>
      <c r="C32" s="2708"/>
      <c r="D32" s="2708"/>
      <c r="E32" s="2708"/>
      <c r="F32" s="2708"/>
      <c r="G32" s="2708"/>
      <c r="H32" s="2708"/>
      <c r="I32" s="2708"/>
      <c r="J32" s="2708"/>
      <c r="K32" s="2708"/>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8"/>
      <c r="C35" s="2708"/>
      <c r="D35" s="2708"/>
      <c r="E35" s="2708"/>
      <c r="F35" s="2708"/>
      <c r="G35" s="2708"/>
      <c r="H35" s="2708"/>
      <c r="I35" s="2708"/>
      <c r="J35" s="2708"/>
      <c r="K35" s="2708"/>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8"/>
      <c r="C38" s="2708"/>
      <c r="D38" s="2708"/>
      <c r="E38" s="2708"/>
      <c r="F38" s="2708"/>
      <c r="G38" s="2708"/>
      <c r="H38" s="2708"/>
      <c r="I38" s="2708"/>
      <c r="J38" s="2708"/>
      <c r="K38" s="2708"/>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708"/>
      <c r="C41" s="2708"/>
      <c r="D41" s="2708"/>
      <c r="E41" s="2708"/>
      <c r="F41" s="2708"/>
      <c r="G41" s="2708"/>
      <c r="H41" s="2708"/>
      <c r="I41" s="2708"/>
      <c r="J41" s="2708"/>
      <c r="K41" s="2708"/>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93" t="str">
        <f>'Single Audit Cover'!A7</f>
        <v xml:space="preserve"> Kankakee Area Special Ed Co-op</v>
      </c>
      <c r="C1" s="2693"/>
      <c r="D1" s="2693"/>
      <c r="E1" s="1285"/>
    </row>
    <row r="2" spans="2:5" s="1103" customFormat="1" ht="12.75" customHeight="1" x14ac:dyDescent="0.2">
      <c r="B2" s="2695">
        <f>'Single Audit Cover'!E7</f>
        <v>32046850060</v>
      </c>
      <c r="C2" s="2695"/>
      <c r="D2" s="2695"/>
      <c r="E2" s="1286"/>
    </row>
    <row r="3" spans="2:5" ht="12.75" customHeight="1" x14ac:dyDescent="0.2">
      <c r="B3" s="2709" t="s">
        <v>1746</v>
      </c>
      <c r="C3" s="2709"/>
      <c r="D3" s="2709"/>
      <c r="E3" s="1095"/>
    </row>
    <row r="4" spans="2:5" s="1103" customFormat="1" ht="12.75" customHeight="1" x14ac:dyDescent="0.2">
      <c r="B4" s="2719" t="str">
        <f>'Single Audit Cover'!A4</f>
        <v>Year Ending June 30, 2020</v>
      </c>
      <c r="C4" s="2719"/>
      <c r="D4" s="2719"/>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9"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1" t="s">
        <v>383</v>
      </c>
      <c r="B1" s="2261"/>
      <c r="C1" s="2261"/>
      <c r="D1" s="2261"/>
      <c r="E1" s="2261"/>
      <c r="F1" s="2261"/>
      <c r="G1" s="2261"/>
      <c r="H1" s="2261"/>
      <c r="I1" s="2261"/>
      <c r="J1" s="2261"/>
      <c r="K1" s="2261"/>
      <c r="L1" s="2261"/>
      <c r="M1" s="226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c r="M10" s="217"/>
    </row>
    <row r="11" spans="1:14" ht="7.5" customHeight="1" x14ac:dyDescent="0.2">
      <c r="B11" s="217"/>
      <c r="C11" s="217"/>
      <c r="D11" s="2271" t="str">
        <f>IF(SUM(J10)&lt;=0.0999999,"","Enter the Tax Rates by moving the decimal two places to the left.")</f>
        <v/>
      </c>
      <c r="E11" s="2272"/>
      <c r="F11" s="2272"/>
      <c r="G11" s="2272"/>
      <c r="H11" s="2272"/>
      <c r="I11" s="2272"/>
      <c r="J11" s="227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1453422</v>
      </c>
      <c r="E16" s="1597"/>
      <c r="F16" s="1596">
        <f>SUM('Acct Summary 7-8'!C17,'Acct Summary 7-8'!D17,'Acct Summary 7-8'!F17)</f>
        <v>1549690</v>
      </c>
      <c r="G16" s="1597"/>
      <c r="H16" s="1596">
        <f>SUM(D16-F16)</f>
        <v>-96268</v>
      </c>
      <c r="I16" s="1598"/>
      <c r="J16" s="1596">
        <f>SUM('Acct Summary 7-8'!C81,'Acct Summary 7-8'!D81,'Acct Summary 7-8'!F81,'Acct Summary 7-8'!I81)</f>
        <v>817651</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2"/>
      <c r="C54" s="2263"/>
      <c r="D54" s="2263"/>
      <c r="E54" s="2263"/>
      <c r="F54" s="2263"/>
      <c r="G54" s="2263"/>
      <c r="H54" s="2263"/>
      <c r="I54" s="2263"/>
      <c r="J54" s="2263"/>
      <c r="K54" s="2263"/>
      <c r="L54" s="2264"/>
      <c r="M54" s="357"/>
    </row>
    <row r="55" spans="1:13" ht="12.75" customHeight="1" x14ac:dyDescent="0.2">
      <c r="B55" s="2265"/>
      <c r="C55" s="2266"/>
      <c r="D55" s="2266"/>
      <c r="E55" s="2266"/>
      <c r="F55" s="2266"/>
      <c r="G55" s="2266"/>
      <c r="H55" s="2266"/>
      <c r="I55" s="2266"/>
      <c r="J55" s="2266"/>
      <c r="K55" s="2266"/>
      <c r="L55" s="2267"/>
      <c r="M55" s="357"/>
    </row>
    <row r="56" spans="1:13" ht="12.75" customHeight="1" x14ac:dyDescent="0.2">
      <c r="B56" s="2265"/>
      <c r="C56" s="2266"/>
      <c r="D56" s="2266"/>
      <c r="E56" s="2266"/>
      <c r="F56" s="2266"/>
      <c r="G56" s="2266"/>
      <c r="H56" s="2266"/>
      <c r="I56" s="2266"/>
      <c r="J56" s="2266"/>
      <c r="K56" s="2266"/>
      <c r="L56" s="2267"/>
      <c r="M56" s="217"/>
    </row>
    <row r="57" spans="1:13" ht="12.75" customHeight="1" x14ac:dyDescent="0.2">
      <c r="B57" s="2265"/>
      <c r="C57" s="2266"/>
      <c r="D57" s="2266"/>
      <c r="E57" s="2266"/>
      <c r="F57" s="2266"/>
      <c r="G57" s="2266"/>
      <c r="H57" s="2266"/>
      <c r="I57" s="2266"/>
      <c r="J57" s="2266"/>
      <c r="K57" s="2266"/>
      <c r="L57" s="2267"/>
      <c r="M57" s="217"/>
    </row>
    <row r="58" spans="1:13" x14ac:dyDescent="0.2">
      <c r="B58" s="2268"/>
      <c r="C58" s="2269"/>
      <c r="D58" s="2269"/>
      <c r="E58" s="2269"/>
      <c r="F58" s="2269"/>
      <c r="G58" s="2269"/>
      <c r="H58" s="2269"/>
      <c r="I58" s="2269"/>
      <c r="J58" s="2269"/>
      <c r="K58" s="2269"/>
      <c r="L58" s="227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3"/>
      <c r="D61" s="227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6"/>
      <c r="B1" s="2277"/>
      <c r="C1" s="2277"/>
      <c r="D1" s="361"/>
      <c r="E1" s="361"/>
      <c r="F1" s="361"/>
      <c r="G1" s="361"/>
      <c r="H1" s="361"/>
      <c r="I1" s="361"/>
      <c r="J1" s="361"/>
      <c r="K1" s="361"/>
      <c r="L1" s="361"/>
      <c r="M1" s="361"/>
      <c r="N1" s="361"/>
      <c r="O1" s="2276"/>
      <c r="P1" s="2277"/>
      <c r="Q1" s="2277"/>
    </row>
    <row r="2" spans="1:18" ht="15" x14ac:dyDescent="0.2">
      <c r="A2" s="2280" t="s">
        <v>552</v>
      </c>
      <c r="B2" s="2280"/>
      <c r="C2" s="2280"/>
      <c r="D2" s="2280"/>
      <c r="E2" s="2280"/>
      <c r="F2" s="2280"/>
      <c r="G2" s="2280"/>
      <c r="H2" s="2280"/>
      <c r="I2" s="2280"/>
      <c r="J2" s="2280"/>
      <c r="K2" s="2280"/>
      <c r="L2" s="2280"/>
      <c r="M2" s="2280"/>
      <c r="N2" s="2280"/>
      <c r="O2" s="2280"/>
      <c r="P2" s="2280"/>
      <c r="Q2" s="2280"/>
      <c r="R2" s="2280"/>
    </row>
    <row r="3" spans="1:18" ht="12.75" x14ac:dyDescent="0.2">
      <c r="A3" s="2281" t="s">
        <v>1399</v>
      </c>
      <c r="B3" s="2281"/>
      <c r="C3" s="2281"/>
      <c r="D3" s="2281"/>
      <c r="E3" s="2281"/>
      <c r="F3" s="2281"/>
      <c r="G3" s="2281"/>
      <c r="H3" s="2281"/>
      <c r="I3" s="2281"/>
      <c r="J3" s="2281"/>
      <c r="K3" s="2281"/>
      <c r="L3" s="2281"/>
      <c r="M3" s="2281"/>
      <c r="N3" s="2281"/>
      <c r="O3" s="2281"/>
      <c r="P3" s="2281"/>
      <c r="Q3" s="2281"/>
      <c r="R3" s="2281"/>
    </row>
    <row r="4" spans="1:18" x14ac:dyDescent="0.2">
      <c r="A4" s="2282" t="s">
        <v>1540</v>
      </c>
      <c r="B4" s="2282"/>
      <c r="C4" s="2282"/>
      <c r="D4" s="2282"/>
      <c r="E4" s="2282"/>
      <c r="F4" s="2282"/>
      <c r="G4" s="2282"/>
      <c r="H4" s="2282"/>
      <c r="I4" s="2282"/>
      <c r="J4" s="2282"/>
      <c r="K4" s="2282"/>
      <c r="L4" s="2282"/>
      <c r="M4" s="2282"/>
      <c r="N4" s="2282"/>
      <c r="O4" s="2282"/>
      <c r="P4" s="2282"/>
      <c r="Q4" s="2282"/>
      <c r="R4" s="228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Kankakee Area Special Ed Co-op</v>
      </c>
      <c r="E7" s="368"/>
      <c r="G7" s="247"/>
      <c r="H7" s="364"/>
      <c r="I7" s="364"/>
      <c r="J7" s="364"/>
      <c r="K7" s="364"/>
      <c r="L7" s="307"/>
      <c r="M7" s="307"/>
      <c r="N7" s="307"/>
      <c r="O7" s="307"/>
      <c r="P7" s="307"/>
    </row>
    <row r="8" spans="1:18" ht="12.75" x14ac:dyDescent="0.2">
      <c r="A8" s="307"/>
      <c r="B8" s="307"/>
      <c r="C8" s="366" t="s">
        <v>1117</v>
      </c>
      <c r="D8" s="369">
        <f>COVER!A13</f>
        <v>32046850060</v>
      </c>
      <c r="E8" s="370"/>
      <c r="G8" s="307"/>
      <c r="H8" s="307"/>
      <c r="I8" s="307"/>
      <c r="J8" s="307"/>
      <c r="K8" s="307"/>
      <c r="L8" s="307"/>
      <c r="M8" s="307"/>
      <c r="N8" s="307"/>
      <c r="O8" s="307"/>
      <c r="P8" s="307"/>
    </row>
    <row r="9" spans="1:18" ht="12.75" x14ac:dyDescent="0.2">
      <c r="A9" s="307"/>
      <c r="B9" s="307"/>
      <c r="C9" s="366" t="s">
        <v>708</v>
      </c>
      <c r="D9" s="371" t="str">
        <f>COVER!A15</f>
        <v>Kankakee/Iroquois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817651</v>
      </c>
      <c r="I12" s="380"/>
      <c r="J12" s="380"/>
      <c r="K12" s="1609">
        <f>TRUNC((H12/H13*100000),5)/100000</f>
        <v>0.5625695771</v>
      </c>
      <c r="L12" s="381"/>
      <c r="M12" s="337" t="s">
        <v>1136</v>
      </c>
      <c r="N12" s="337"/>
      <c r="O12" s="1612">
        <v>0.35</v>
      </c>
      <c r="P12" s="213"/>
      <c r="Q12" s="213"/>
    </row>
    <row r="13" spans="1:18" s="382" customFormat="1" ht="12.75" x14ac:dyDescent="0.2">
      <c r="A13" s="213"/>
      <c r="B13" s="377"/>
      <c r="C13" s="2278" t="s">
        <v>1315</v>
      </c>
      <c r="D13" s="2279"/>
      <c r="E13" s="213"/>
      <c r="F13" s="383" t="s">
        <v>788</v>
      </c>
      <c r="G13" s="378"/>
      <c r="H13" s="1601">
        <f>SUM('Acct Summary 7-8'!C8+'Acct Summary 7-8'!D8+'Acct Summary 7-8'!F8+'Acct Summary 7-8'!I8)+H14</f>
        <v>1453422</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3</v>
      </c>
      <c r="P16" s="211"/>
      <c r="R16" s="361"/>
    </row>
    <row r="17" spans="1:18" s="382" customFormat="1" ht="11.25" x14ac:dyDescent="0.2">
      <c r="A17" s="213"/>
      <c r="B17" s="377"/>
      <c r="C17" s="213" t="s">
        <v>792</v>
      </c>
      <c r="D17" s="213"/>
      <c r="E17" s="213"/>
      <c r="F17" s="213" t="s">
        <v>441</v>
      </c>
      <c r="G17" s="378"/>
      <c r="H17" s="1601">
        <f>SUM('Acct Summary 7-8'!C17+'Acct Summary 7-8'!D17+'Acct Summary 7-8'!F17)</f>
        <v>1549690</v>
      </c>
      <c r="I17" s="380"/>
      <c r="J17" s="389"/>
      <c r="K17" s="1609">
        <f>TRUNC((H17/H18*100000),5)/100000</f>
        <v>1.0662354085000001</v>
      </c>
      <c r="L17" s="381"/>
      <c r="M17" s="390" t="s">
        <v>1163</v>
      </c>
      <c r="O17" s="1615" t="str">
        <f>IF(AND(O16="2", J20 &gt; 2),"1",IF(AND(O16 = "1", J20 &gt; 2),"2",IF(AND(O16="1", J20 &gt;1),"1","0")))</f>
        <v>0</v>
      </c>
      <c r="P17" s="213"/>
    </row>
    <row r="18" spans="1:18" s="382" customFormat="1" ht="11.25" x14ac:dyDescent="0.2">
      <c r="A18" s="213"/>
      <c r="B18" s="377"/>
      <c r="C18" s="2278" t="s">
        <v>1308</v>
      </c>
      <c r="D18" s="2279"/>
      <c r="E18" s="213"/>
      <c r="F18" s="391" t="s">
        <v>789</v>
      </c>
      <c r="G18" s="378"/>
      <c r="H18" s="1601">
        <f>SUM('Acct Summary 7-8'!C8+'Acct Summary 7-8'!D8+'Acct Summary 7-8'!F8+'Acct Summary 7-8'!I8)+H19</f>
        <v>1453422</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6.9837203999999993</v>
      </c>
      <c r="K20" s="1609" t="str">
        <f>IF(K17&lt;=1,"0",IF(AND(O16="2", J20 &gt; 2),TRUNC(((K12-0.1)/(K17-1)*100),5)/100,IF(AND(O16 = "1", J20 &gt; 2),TRUNC(((K12-0.1)/(K17-1)*100),5)/100,IF(AND(O16="1", J20 &gt;1),TRUNC(((K12-0.1)/(K17-1)*100),5)/100,""))))</f>
        <v/>
      </c>
      <c r="L20" s="213"/>
      <c r="M20" s="337" t="s">
        <v>1137</v>
      </c>
      <c r="N20" s="337"/>
      <c r="O20" s="1613">
        <f>(O16+O17)*O18</f>
        <v>1.0499999999999998</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5" t="s">
        <v>1398</v>
      </c>
      <c r="D24" s="2275"/>
      <c r="E24" s="213"/>
      <c r="F24" s="213" t="s">
        <v>442</v>
      </c>
      <c r="G24" s="378"/>
      <c r="H24" s="1601">
        <f>SUM('Assets-Liab 5-6'!C4+'Assets-Liab 5-6'!D4+'Assets-Liab 5-6'!F4+'Assets-Liab 5-6'!I4+'Assets-Liab 5-6'!C5+'Assets-Liab 5-6'!D5+'Assets-Liab 5-6'!F5+'Assets-Liab 5-6'!I5)</f>
        <v>817970</v>
      </c>
      <c r="I24" s="394"/>
      <c r="J24" s="394"/>
      <c r="K24" s="1605">
        <f>TRUNC(((H24/H25*100000)/100000),2)</f>
        <v>190.01</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4304.6944400000002</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x14ac:dyDescent="0.2">
      <c r="A32" s="213"/>
      <c r="B32" s="377"/>
      <c r="C32" s="213" t="s">
        <v>842</v>
      </c>
      <c r="D32" s="213"/>
      <c r="E32" s="213"/>
      <c r="F32" s="213"/>
      <c r="G32" s="378"/>
      <c r="H32" s="1601">
        <f>'FP Info 3'!H37</f>
        <v>0</v>
      </c>
      <c r="I32" s="392"/>
      <c r="J32" s="392"/>
      <c r="K32" s="1605" t="e">
        <f>TRUNC(100-((((H32/H33*100))*100)/100),2)</f>
        <v>#VALUE!</v>
      </c>
      <c r="L32" s="381"/>
      <c r="M32" s="337" t="s">
        <v>1136</v>
      </c>
      <c r="N32" s="337"/>
      <c r="O32" s="161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t="e">
        <f>(O13+O20+O25+O29+O33)</f>
        <v>#DIV/0!</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activeCell="C4" sqref="C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5" t="s">
        <v>967</v>
      </c>
      <c r="B3" s="2286"/>
      <c r="C3" s="1351"/>
      <c r="D3" s="1352"/>
      <c r="E3" s="1352"/>
      <c r="F3" s="1352"/>
      <c r="G3" s="1352"/>
      <c r="H3" s="1352"/>
      <c r="I3" s="1352"/>
      <c r="J3" s="1352"/>
      <c r="K3" s="1352"/>
      <c r="L3" s="1352"/>
      <c r="M3" s="1353"/>
      <c r="N3" s="1354"/>
    </row>
    <row r="4" spans="1:14" ht="13.5" customHeight="1" x14ac:dyDescent="0.2">
      <c r="A4" s="427" t="s">
        <v>1635</v>
      </c>
      <c r="B4" s="428"/>
      <c r="C4" s="1622">
        <v>812634</v>
      </c>
      <c r="D4" s="1623"/>
      <c r="E4" s="1623"/>
      <c r="F4" s="1623">
        <v>5336</v>
      </c>
      <c r="G4" s="1623"/>
      <c r="H4" s="1623"/>
      <c r="I4" s="1623"/>
      <c r="J4" s="1624"/>
      <c r="K4" s="1623"/>
      <c r="L4" s="1623"/>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812634</v>
      </c>
      <c r="D13" s="1637">
        <f t="shared" ref="D13:L13" si="0">SUM(D4:D12)</f>
        <v>0</v>
      </c>
      <c r="E13" s="1637">
        <f t="shared" si="0"/>
        <v>0</v>
      </c>
      <c r="F13" s="1637">
        <f t="shared" si="0"/>
        <v>5336</v>
      </c>
      <c r="G13" s="1637">
        <f t="shared" si="0"/>
        <v>0</v>
      </c>
      <c r="H13" s="1637">
        <f t="shared" si="0"/>
        <v>0</v>
      </c>
      <c r="I13" s="1637">
        <f t="shared" si="0"/>
        <v>0</v>
      </c>
      <c r="J13" s="1637">
        <f t="shared" si="0"/>
        <v>0</v>
      </c>
      <c r="K13" s="1637">
        <f t="shared" si="0"/>
        <v>0</v>
      </c>
      <c r="L13" s="1637">
        <f t="shared" si="0"/>
        <v>0</v>
      </c>
      <c r="M13" s="1625"/>
      <c r="N13" s="1626"/>
    </row>
    <row r="14" spans="1:14" ht="18" customHeight="1" thickTop="1" x14ac:dyDescent="0.2">
      <c r="A14" s="2287" t="s">
        <v>146</v>
      </c>
      <c r="B14" s="2288"/>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c r="N16" s="1642"/>
    </row>
    <row r="17" spans="1:14" s="433" customFormat="1" ht="12.75" customHeight="1" x14ac:dyDescent="0.2">
      <c r="A17" s="431" t="s">
        <v>1389</v>
      </c>
      <c r="B17" s="432">
        <v>230</v>
      </c>
      <c r="C17" s="1632"/>
      <c r="D17" s="1632"/>
      <c r="E17" s="1632"/>
      <c r="F17" s="1632"/>
      <c r="G17" s="1632"/>
      <c r="H17" s="1632"/>
      <c r="I17" s="1632"/>
      <c r="J17" s="1632"/>
      <c r="K17" s="1632"/>
      <c r="L17" s="1632"/>
      <c r="M17" s="1624"/>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56856</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56856</v>
      </c>
      <c r="N23" s="1644">
        <f>SUM(N21:N22)</f>
        <v>0</v>
      </c>
    </row>
    <row r="24" spans="1:14" ht="18" customHeight="1" thickTop="1" x14ac:dyDescent="0.2">
      <c r="A24" s="2289" t="s">
        <v>594</v>
      </c>
      <c r="B24" s="2290"/>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v>319</v>
      </c>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c r="M33" s="1625"/>
      <c r="N33" s="1626"/>
    </row>
    <row r="34" spans="1:14" ht="13.5" customHeight="1" thickBot="1" x14ac:dyDescent="0.25">
      <c r="A34" s="1476" t="s">
        <v>649</v>
      </c>
      <c r="B34" s="1477"/>
      <c r="C34" s="1650">
        <f>SUM(C25:C33)</f>
        <v>319</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0</v>
      </c>
      <c r="M34" s="1625"/>
      <c r="N34" s="1635"/>
    </row>
    <row r="35" spans="1:14" ht="18" customHeight="1" thickTop="1" x14ac:dyDescent="0.2">
      <c r="A35" s="2291" t="s">
        <v>526</v>
      </c>
      <c r="B35" s="2292"/>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812315</v>
      </c>
      <c r="D39" s="1623"/>
      <c r="E39" s="1623"/>
      <c r="F39" s="1623">
        <v>5336</v>
      </c>
      <c r="G39" s="1623"/>
      <c r="H39" s="1623"/>
      <c r="I39" s="1623"/>
      <c r="J39" s="1624"/>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56856</v>
      </c>
      <c r="N40" s="1654"/>
    </row>
    <row r="41" spans="1:14" ht="13.5" customHeight="1" thickBot="1" x14ac:dyDescent="0.25">
      <c r="A41" s="1475" t="s">
        <v>650</v>
      </c>
      <c r="B41" s="1454"/>
      <c r="C41" s="1644">
        <f>(SUM(C34,C37,C38,C39))</f>
        <v>812634</v>
      </c>
      <c r="D41" s="1644">
        <f t="shared" ref="D41:L41" si="2">SUM(D34,D37,D38:D39)</f>
        <v>0</v>
      </c>
      <c r="E41" s="1644">
        <f t="shared" si="2"/>
        <v>0</v>
      </c>
      <c r="F41" s="1644">
        <f t="shared" si="2"/>
        <v>5336</v>
      </c>
      <c r="G41" s="1644">
        <f t="shared" si="2"/>
        <v>0</v>
      </c>
      <c r="H41" s="1644">
        <f t="shared" si="2"/>
        <v>0</v>
      </c>
      <c r="I41" s="1644">
        <f t="shared" si="2"/>
        <v>0</v>
      </c>
      <c r="J41" s="1644">
        <f t="shared" si="2"/>
        <v>0</v>
      </c>
      <c r="K41" s="1644">
        <f t="shared" si="2"/>
        <v>0</v>
      </c>
      <c r="L41" s="1644">
        <f t="shared" si="2"/>
        <v>0</v>
      </c>
      <c r="M41" s="1644">
        <f>SUM(M40)</f>
        <v>56856</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activeCell="C13" sqref="C1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3" t="s">
        <v>1167</v>
      </c>
      <c r="B3" s="2314"/>
      <c r="C3" s="1356"/>
      <c r="D3" s="1357"/>
      <c r="E3" s="1357"/>
      <c r="F3" s="1357"/>
      <c r="G3" s="1357"/>
      <c r="H3" s="1357"/>
      <c r="I3" s="1357"/>
      <c r="J3" s="1357"/>
      <c r="K3" s="1358"/>
      <c r="L3" s="446"/>
    </row>
    <row r="4" spans="1:13" ht="15.75" customHeight="1" x14ac:dyDescent="0.2">
      <c r="A4" s="1587" t="s">
        <v>1485</v>
      </c>
      <c r="B4" s="1588">
        <v>1000</v>
      </c>
      <c r="C4" s="1656">
        <f>'Revenues 9-14'!C109</f>
        <v>866601</v>
      </c>
      <c r="D4" s="1656">
        <f>'Revenues 9-14'!D109</f>
        <v>0</v>
      </c>
      <c r="E4" s="1656">
        <f>'Revenues 9-14'!E109</f>
        <v>0</v>
      </c>
      <c r="F4" s="1656">
        <f>'Revenues 9-14'!F109</f>
        <v>0</v>
      </c>
      <c r="G4" s="1656">
        <f>'Revenues 9-14'!G109</f>
        <v>0</v>
      </c>
      <c r="H4" s="1656">
        <f>'Revenues 9-14'!H109</f>
        <v>0</v>
      </c>
      <c r="I4" s="1656">
        <f>'Revenues 9-14'!I109</f>
        <v>0</v>
      </c>
      <c r="J4" s="1656">
        <f>'Revenues 9-14'!J109</f>
        <v>0</v>
      </c>
      <c r="K4" s="1656">
        <f>'Revenues 9-14'!K109</f>
        <v>0</v>
      </c>
      <c r="L4" s="325"/>
    </row>
    <row r="5" spans="1:13" ht="15.75" customHeight="1" x14ac:dyDescent="0.2">
      <c r="A5" s="1359" t="s">
        <v>1486</v>
      </c>
      <c r="B5" s="1360">
        <v>2000</v>
      </c>
      <c r="C5" s="1657">
        <f>'Revenues 9-14'!C114</f>
        <v>352315</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167310</v>
      </c>
      <c r="D6" s="1657">
        <f>'Revenues 9-14'!D170</f>
        <v>0</v>
      </c>
      <c r="E6" s="1657">
        <f>'Revenues 9-14'!E170</f>
        <v>0</v>
      </c>
      <c r="F6" s="1657">
        <f>'Revenues 9-14'!F170</f>
        <v>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67196</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1453422</v>
      </c>
      <c r="D8" s="1644">
        <f t="shared" ref="D8:K8" si="0">SUM(D4:D7)</f>
        <v>0</v>
      </c>
      <c r="E8" s="1644">
        <f t="shared" si="0"/>
        <v>0</v>
      </c>
      <c r="F8" s="1644">
        <f t="shared" si="0"/>
        <v>0</v>
      </c>
      <c r="G8" s="1644">
        <f t="shared" si="0"/>
        <v>0</v>
      </c>
      <c r="H8" s="1644">
        <f t="shared" si="0"/>
        <v>0</v>
      </c>
      <c r="I8" s="1644">
        <f t="shared" si="0"/>
        <v>0</v>
      </c>
      <c r="J8" s="1644">
        <f t="shared" si="0"/>
        <v>0</v>
      </c>
      <c r="K8" s="1644">
        <f t="shared" si="0"/>
        <v>0</v>
      </c>
      <c r="L8" s="325"/>
    </row>
    <row r="9" spans="1:13" ht="15.75" thickTop="1" x14ac:dyDescent="0.2">
      <c r="A9" s="449" t="s">
        <v>1637</v>
      </c>
      <c r="B9" s="450">
        <v>3998</v>
      </c>
      <c r="C9" s="1636">
        <v>478895</v>
      </c>
      <c r="D9" s="1663"/>
      <c r="E9" s="1636"/>
      <c r="F9" s="1636"/>
      <c r="G9" s="1664"/>
      <c r="H9" s="1636"/>
      <c r="I9" s="1659" t="s">
        <v>1161</v>
      </c>
      <c r="J9" s="1633"/>
      <c r="K9" s="1636"/>
      <c r="L9" s="325"/>
    </row>
    <row r="10" spans="1:13" s="452" customFormat="1" ht="13.5" thickBot="1" x14ac:dyDescent="0.25">
      <c r="A10" s="1475" t="s">
        <v>1165</v>
      </c>
      <c r="B10" s="1456"/>
      <c r="C10" s="1644">
        <f>SUM(C8:C9)</f>
        <v>1932317</v>
      </c>
      <c r="D10" s="1644">
        <f t="shared" ref="D10:K10" si="1">SUM(D8:D9)</f>
        <v>0</v>
      </c>
      <c r="E10" s="1644">
        <f t="shared" si="1"/>
        <v>0</v>
      </c>
      <c r="F10" s="1644">
        <f t="shared" si="1"/>
        <v>0</v>
      </c>
      <c r="G10" s="1644">
        <f t="shared" si="1"/>
        <v>0</v>
      </c>
      <c r="H10" s="1644">
        <f t="shared" si="1"/>
        <v>0</v>
      </c>
      <c r="I10" s="1644">
        <f t="shared" si="1"/>
        <v>0</v>
      </c>
      <c r="J10" s="1644">
        <f t="shared" si="1"/>
        <v>0</v>
      </c>
      <c r="K10" s="1644">
        <f t="shared" si="1"/>
        <v>0</v>
      </c>
      <c r="L10" s="451"/>
    </row>
    <row r="11" spans="1:13" s="452" customFormat="1" ht="16.7" customHeight="1" thickTop="1" x14ac:dyDescent="0.2">
      <c r="A11" s="2287" t="s">
        <v>1168</v>
      </c>
      <c r="B11" s="2288"/>
      <c r="C11" s="1652"/>
      <c r="D11" s="1653"/>
      <c r="E11" s="1653"/>
      <c r="F11" s="1653"/>
      <c r="G11" s="1653"/>
      <c r="H11" s="1653"/>
      <c r="I11" s="1653"/>
      <c r="J11" s="1653"/>
      <c r="K11" s="1665"/>
      <c r="L11" s="451"/>
    </row>
    <row r="12" spans="1:13" ht="15.75" customHeight="1" x14ac:dyDescent="0.2">
      <c r="A12" s="1359" t="s">
        <v>453</v>
      </c>
      <c r="B12" s="1361">
        <v>1000</v>
      </c>
      <c r="C12" s="1656">
        <f>'Expenditures 15-22'!K33</f>
        <v>590807</v>
      </c>
      <c r="D12" s="1666" t="s">
        <v>1161</v>
      </c>
      <c r="E12" s="1625" t="s">
        <v>1161</v>
      </c>
      <c r="F12" s="1625" t="s">
        <v>1161</v>
      </c>
      <c r="G12" s="1656">
        <f>'Expenditures 15-22'!K229</f>
        <v>0</v>
      </c>
      <c r="H12" s="1667"/>
      <c r="I12" s="1625" t="s">
        <v>1161</v>
      </c>
      <c r="J12" s="1625" t="s">
        <v>1161</v>
      </c>
      <c r="K12" s="1667" t="s">
        <v>1161</v>
      </c>
      <c r="L12" s="325"/>
    </row>
    <row r="13" spans="1:13" ht="15.75" customHeight="1" x14ac:dyDescent="0.2">
      <c r="A13" s="1359" t="s">
        <v>454</v>
      </c>
      <c r="B13" s="1361">
        <v>2000</v>
      </c>
      <c r="C13" s="1657">
        <f>'Expenditures 15-22'!K74</f>
        <v>606568</v>
      </c>
      <c r="D13" s="1657">
        <f>'Expenditures 15-22'!K129</f>
        <v>0</v>
      </c>
      <c r="E13" s="1626" t="s">
        <v>1161</v>
      </c>
      <c r="F13" s="1657">
        <f>'Expenditures 15-22'!K184</f>
        <v>0</v>
      </c>
      <c r="G13" s="1657">
        <f>'Expenditures 15-22'!K279</f>
        <v>0</v>
      </c>
      <c r="H13" s="1657">
        <f>'Expenditures 15-22'!K303</f>
        <v>0</v>
      </c>
      <c r="I13" s="1625" t="s">
        <v>1161</v>
      </c>
      <c r="J13" s="1657">
        <f>'Expenditures 15-22'!K330</f>
        <v>0</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352315</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1549690</v>
      </c>
      <c r="D17" s="1644">
        <f t="shared" si="2"/>
        <v>0</v>
      </c>
      <c r="E17" s="1644">
        <f t="shared" si="2"/>
        <v>0</v>
      </c>
      <c r="F17" s="1644">
        <f t="shared" si="2"/>
        <v>0</v>
      </c>
      <c r="G17" s="1644">
        <f t="shared" si="2"/>
        <v>0</v>
      </c>
      <c r="H17" s="1644">
        <f t="shared" si="2"/>
        <v>0</v>
      </c>
      <c r="I17" s="1625"/>
      <c r="J17" s="1644">
        <f>SUM(J12:J16)</f>
        <v>0</v>
      </c>
      <c r="K17" s="1644">
        <f>SUM(K12:K16)</f>
        <v>0</v>
      </c>
      <c r="L17" s="325"/>
    </row>
    <row r="18" spans="1:12" ht="15" customHeight="1" thickTop="1" x14ac:dyDescent="0.2">
      <c r="A18" s="1479" t="s">
        <v>1638</v>
      </c>
      <c r="B18" s="1480">
        <v>4180</v>
      </c>
      <c r="C18" s="1656">
        <f t="shared" ref="C18:H18" si="3">C9</f>
        <v>478895</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2028585</v>
      </c>
      <c r="D19" s="1644">
        <f t="shared" si="4"/>
        <v>0</v>
      </c>
      <c r="E19" s="1644">
        <f t="shared" si="4"/>
        <v>0</v>
      </c>
      <c r="F19" s="1644">
        <f t="shared" si="4"/>
        <v>0</v>
      </c>
      <c r="G19" s="1644">
        <f t="shared" si="4"/>
        <v>0</v>
      </c>
      <c r="H19" s="1644">
        <f t="shared" si="4"/>
        <v>0</v>
      </c>
      <c r="I19" s="1625"/>
      <c r="J19" s="1644">
        <f>SUM(J17:J18)</f>
        <v>0</v>
      </c>
      <c r="K19" s="1644">
        <f>SUM(K17:K18)</f>
        <v>0</v>
      </c>
      <c r="L19" s="325"/>
    </row>
    <row r="20" spans="1:12" ht="16.5" thickTop="1" thickBot="1" x14ac:dyDescent="0.25">
      <c r="A20" s="2303" t="s">
        <v>1639</v>
      </c>
      <c r="B20" s="2304"/>
      <c r="C20" s="1672">
        <f>C8-C17</f>
        <v>-96268</v>
      </c>
      <c r="D20" s="1672">
        <f t="shared" ref="D20:K20" si="5">D8-D17</f>
        <v>0</v>
      </c>
      <c r="E20" s="1672">
        <f t="shared" si="5"/>
        <v>0</v>
      </c>
      <c r="F20" s="1672">
        <f t="shared" si="5"/>
        <v>0</v>
      </c>
      <c r="G20" s="1672">
        <f t="shared" si="5"/>
        <v>0</v>
      </c>
      <c r="H20" s="1672">
        <f t="shared" si="5"/>
        <v>0</v>
      </c>
      <c r="I20" s="1672">
        <f t="shared" si="5"/>
        <v>0</v>
      </c>
      <c r="J20" s="1672">
        <f t="shared" si="5"/>
        <v>0</v>
      </c>
      <c r="K20" s="1672">
        <f t="shared" si="5"/>
        <v>0</v>
      </c>
      <c r="L20" s="325"/>
    </row>
    <row r="21" spans="1:12" ht="16.7" customHeight="1" thickTop="1" x14ac:dyDescent="0.2">
      <c r="A21" s="2315" t="s">
        <v>591</v>
      </c>
      <c r="B21" s="2316"/>
      <c r="C21" s="1652"/>
      <c r="D21" s="1653"/>
      <c r="E21" s="1653"/>
      <c r="F21" s="1653"/>
      <c r="G21" s="1653"/>
      <c r="H21" s="1653"/>
      <c r="I21" s="1653"/>
      <c r="J21" s="1653"/>
      <c r="K21" s="1665"/>
      <c r="L21" s="453"/>
    </row>
    <row r="22" spans="1:12" ht="15.75" customHeight="1" collapsed="1" x14ac:dyDescent="0.2">
      <c r="A22" s="2311" t="s">
        <v>592</v>
      </c>
      <c r="B22" s="2312"/>
      <c r="C22" s="1632"/>
      <c r="D22" s="1632"/>
      <c r="E22" s="1632"/>
      <c r="F22" s="1632"/>
      <c r="G22" s="1632"/>
      <c r="H22" s="1632"/>
      <c r="I22" s="1632"/>
      <c r="J22" s="1632"/>
      <c r="K22" s="1632"/>
      <c r="L22" s="325"/>
    </row>
    <row r="23" spans="1:12" s="433" customFormat="1" ht="15.75" customHeight="1" x14ac:dyDescent="0.2">
      <c r="A23" s="2307" t="s">
        <v>290</v>
      </c>
      <c r="B23" s="2308"/>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v>15000</v>
      </c>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309" t="s">
        <v>974</v>
      </c>
      <c r="B32" s="2310"/>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317" t="s">
        <v>371</v>
      </c>
      <c r="B44" s="2318"/>
      <c r="C44" s="1674">
        <f>SUM(C24:C43)</f>
        <v>15000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1" t="s">
        <v>108</v>
      </c>
      <c r="B45" s="2312"/>
      <c r="C45" s="1675"/>
      <c r="D45" s="1675"/>
      <c r="E45" s="1675"/>
      <c r="F45" s="1675"/>
      <c r="G45" s="1675"/>
      <c r="H45" s="1675"/>
      <c r="I45" s="1675"/>
      <c r="J45" s="1675"/>
      <c r="K45" s="1675"/>
      <c r="L45" s="325"/>
    </row>
    <row r="46" spans="1:12" s="433" customFormat="1" ht="15.75" customHeight="1" x14ac:dyDescent="0.2">
      <c r="A46" s="2319" t="s">
        <v>109</v>
      </c>
      <c r="B46" s="2320"/>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v>15000</v>
      </c>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293" t="s">
        <v>437</v>
      </c>
      <c r="B76" s="2294"/>
      <c r="C76" s="1674">
        <f t="shared" ref="C76:K76" si="7">SUM(C47:C75)</f>
        <v>0</v>
      </c>
      <c r="D76" s="1674">
        <f t="shared" si="7"/>
        <v>0</v>
      </c>
      <c r="E76" s="1674">
        <f t="shared" si="7"/>
        <v>0</v>
      </c>
      <c r="F76" s="1674">
        <f t="shared" si="7"/>
        <v>15000</v>
      </c>
      <c r="G76" s="1674">
        <f t="shared" si="7"/>
        <v>0</v>
      </c>
      <c r="H76" s="1674">
        <f t="shared" si="7"/>
        <v>0</v>
      </c>
      <c r="I76" s="1674">
        <f t="shared" si="7"/>
        <v>0</v>
      </c>
      <c r="J76" s="1674">
        <f t="shared" si="7"/>
        <v>0</v>
      </c>
      <c r="K76" s="1674">
        <f t="shared" si="7"/>
        <v>0</v>
      </c>
      <c r="L76" s="453"/>
    </row>
    <row r="77" spans="1:12" ht="14.25" thickTop="1" thickBot="1" x14ac:dyDescent="0.25">
      <c r="A77" s="2295" t="s">
        <v>1169</v>
      </c>
      <c r="B77" s="2296"/>
      <c r="C77" s="1674">
        <f t="shared" ref="C77:K77" si="8">C44-C76</f>
        <v>15000</v>
      </c>
      <c r="D77" s="1674">
        <f t="shared" si="8"/>
        <v>0</v>
      </c>
      <c r="E77" s="1674">
        <f t="shared" si="8"/>
        <v>0</v>
      </c>
      <c r="F77" s="1674">
        <f t="shared" si="8"/>
        <v>-15000</v>
      </c>
      <c r="G77" s="1674">
        <f t="shared" si="8"/>
        <v>0</v>
      </c>
      <c r="H77" s="1674">
        <f t="shared" si="8"/>
        <v>0</v>
      </c>
      <c r="I77" s="1674">
        <f t="shared" si="8"/>
        <v>0</v>
      </c>
      <c r="J77" s="1674">
        <f t="shared" si="8"/>
        <v>0</v>
      </c>
      <c r="K77" s="1674">
        <f t="shared" si="8"/>
        <v>0</v>
      </c>
      <c r="L77" s="325"/>
    </row>
    <row r="78" spans="1:12" ht="21.75" customHeight="1" thickTop="1" thickBot="1" x14ac:dyDescent="0.25">
      <c r="A78" s="2299" t="s">
        <v>593</v>
      </c>
      <c r="B78" s="2300"/>
      <c r="C78" s="1679">
        <f t="shared" ref="C78:K78" si="9">C20+C77</f>
        <v>-81268</v>
      </c>
      <c r="D78" s="1679">
        <f t="shared" si="9"/>
        <v>0</v>
      </c>
      <c r="E78" s="1679">
        <f t="shared" si="9"/>
        <v>0</v>
      </c>
      <c r="F78" s="1679">
        <f t="shared" si="9"/>
        <v>-15000</v>
      </c>
      <c r="G78" s="1679">
        <f t="shared" si="9"/>
        <v>0</v>
      </c>
      <c r="H78" s="1679">
        <f t="shared" si="9"/>
        <v>0</v>
      </c>
      <c r="I78" s="1679">
        <f t="shared" si="9"/>
        <v>0</v>
      </c>
      <c r="J78" s="1679">
        <f t="shared" si="9"/>
        <v>0</v>
      </c>
      <c r="K78" s="1679">
        <f t="shared" si="9"/>
        <v>0</v>
      </c>
      <c r="L78" s="457"/>
    </row>
    <row r="79" spans="1:12" ht="13.5" thickTop="1" x14ac:dyDescent="0.2">
      <c r="A79" s="1902" t="str">
        <f>"Fund Balances - July 1, "&amp;'AFR20'!E2-1</f>
        <v>Fund Balances - July 1, 2019</v>
      </c>
      <c r="B79" s="458"/>
      <c r="C79" s="1633">
        <v>893583</v>
      </c>
      <c r="D79" s="1680"/>
      <c r="E79" s="1680"/>
      <c r="F79" s="1680">
        <v>20336</v>
      </c>
      <c r="G79" s="1680"/>
      <c r="H79" s="1680"/>
      <c r="I79" s="1680"/>
      <c r="J79" s="1680"/>
      <c r="K79" s="1680"/>
      <c r="L79" s="325"/>
    </row>
    <row r="80" spans="1:12" x14ac:dyDescent="0.2">
      <c r="A80" s="2305" t="s">
        <v>1775</v>
      </c>
      <c r="B80" s="2306"/>
      <c r="C80" s="1624"/>
      <c r="D80" s="1624"/>
      <c r="E80" s="1624"/>
      <c r="F80" s="1624"/>
      <c r="G80" s="1624"/>
      <c r="H80" s="1624"/>
      <c r="I80" s="1624"/>
      <c r="J80" s="1624"/>
      <c r="K80" s="1624"/>
      <c r="L80" s="325"/>
    </row>
    <row r="81" spans="1:12" ht="13.5" thickBot="1" x14ac:dyDescent="0.25">
      <c r="A81" s="2297" t="str">
        <f>"Fund Balances - June 30, "&amp;'AFR20'!E2</f>
        <v>Fund Balances - June 30, 2020</v>
      </c>
      <c r="B81" s="2298"/>
      <c r="C81" s="1644">
        <f>(SUM(C78:C80))</f>
        <v>812315</v>
      </c>
      <c r="D81" s="1644">
        <f>SUM(D78:D80)</f>
        <v>0</v>
      </c>
      <c r="E81" s="1644">
        <f t="shared" ref="E81:K81" si="10">SUM(E78:E80)</f>
        <v>0</v>
      </c>
      <c r="F81" s="1644">
        <f t="shared" si="10"/>
        <v>5336</v>
      </c>
      <c r="G81" s="1644">
        <f t="shared" si="10"/>
        <v>0</v>
      </c>
      <c r="H81" s="1644">
        <f t="shared" si="10"/>
        <v>0</v>
      </c>
      <c r="I81" s="1644">
        <f t="shared" si="10"/>
        <v>0</v>
      </c>
      <c r="J81" s="1644">
        <f t="shared" si="10"/>
        <v>0</v>
      </c>
      <c r="K81" s="1644">
        <f t="shared" si="10"/>
        <v>0</v>
      </c>
      <c r="L81" s="325"/>
    </row>
    <row r="82" spans="1:12" ht="0.75" customHeight="1" thickTop="1" thickBot="1" x14ac:dyDescent="0.25">
      <c r="A82" s="459" t="s">
        <v>340</v>
      </c>
      <c r="B82" s="460"/>
      <c r="C82" s="461">
        <f>(C81-C79)</f>
        <v>-81268</v>
      </c>
      <c r="D82" s="461">
        <f t="shared" ref="D82:K82" si="11">(D81-D79)</f>
        <v>0</v>
      </c>
      <c r="E82" s="461">
        <f t="shared" si="11"/>
        <v>0</v>
      </c>
      <c r="F82" s="461">
        <f t="shared" si="11"/>
        <v>-15000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-0.10004493330789165</v>
      </c>
      <c r="D83" s="463" t="e">
        <f t="shared" ref="D83:K83" si="12">D82/D81</f>
        <v>#DIV/0!</v>
      </c>
      <c r="E83" s="463" t="e">
        <f t="shared" si="12"/>
        <v>#DIV/0!</v>
      </c>
      <c r="F83" s="463">
        <f t="shared" si="12"/>
        <v>-2.811094452773613</v>
      </c>
      <c r="G83" s="463" t="e">
        <f t="shared" si="12"/>
        <v>#DIV/0!</v>
      </c>
      <c r="H83" s="463" t="e">
        <f t="shared" si="12"/>
        <v>#DIV/0!</v>
      </c>
      <c r="I83" s="463" t="e">
        <f t="shared" si="12"/>
        <v>#DIV/0!</v>
      </c>
      <c r="J83" s="463" t="e">
        <f t="shared" si="12"/>
        <v>#DIV/0!</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49" activePane="bottomLeft" state="frozen"/>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1" t="s">
        <v>1782</v>
      </c>
      <c r="B1" s="416"/>
      <c r="C1" s="417" t="s">
        <v>422</v>
      </c>
      <c r="D1" s="417" t="s">
        <v>423</v>
      </c>
      <c r="E1" s="417" t="s">
        <v>424</v>
      </c>
      <c r="F1" s="417" t="s">
        <v>425</v>
      </c>
      <c r="G1" s="417" t="s">
        <v>426</v>
      </c>
      <c r="H1" s="417" t="s">
        <v>427</v>
      </c>
      <c r="I1" s="417" t="s">
        <v>428</v>
      </c>
      <c r="J1" s="417" t="s">
        <v>429</v>
      </c>
      <c r="K1" s="417" t="s">
        <v>751</v>
      </c>
    </row>
    <row r="2" spans="1:12" ht="36" x14ac:dyDescent="0.2">
      <c r="A2" s="230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c r="D5" s="1636"/>
      <c r="E5" s="1623"/>
      <c r="F5" s="1681"/>
      <c r="G5" s="1623"/>
      <c r="H5" s="1623"/>
      <c r="I5" s="1623"/>
      <c r="J5" s="1624"/>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c r="D7" s="1623"/>
      <c r="E7" s="1625"/>
      <c r="F7" s="1624"/>
      <c r="G7" s="1624"/>
      <c r="H7" s="1624"/>
      <c r="I7" s="1625"/>
      <c r="J7" s="1625"/>
      <c r="K7" s="1625"/>
    </row>
    <row r="8" spans="1:12" x14ac:dyDescent="0.2">
      <c r="A8" s="427" t="s">
        <v>410</v>
      </c>
      <c r="B8" s="429">
        <v>1150</v>
      </c>
      <c r="C8" s="1630"/>
      <c r="D8" s="1630"/>
      <c r="E8" s="1632"/>
      <c r="F8" s="1632"/>
      <c r="G8" s="1636"/>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0</v>
      </c>
      <c r="D12" s="1683">
        <f t="shared" si="0"/>
        <v>0</v>
      </c>
      <c r="E12" s="1683">
        <f t="shared" si="0"/>
        <v>0</v>
      </c>
      <c r="F12" s="1683">
        <f t="shared" si="0"/>
        <v>0</v>
      </c>
      <c r="G12" s="1683">
        <f t="shared" si="0"/>
        <v>0</v>
      </c>
      <c r="H12" s="1683">
        <f t="shared" si="0"/>
        <v>0</v>
      </c>
      <c r="I12" s="1683">
        <f t="shared" si="0"/>
        <v>0</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c r="D16" s="1623"/>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v>766312</v>
      </c>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766312</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3374</v>
      </c>
      <c r="D65" s="1623"/>
      <c r="E65" s="1623"/>
      <c r="F65" s="1624"/>
      <c r="G65" s="1623"/>
      <c r="H65" s="1623"/>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3374</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v>27333</v>
      </c>
      <c r="D98" s="1623"/>
      <c r="E98" s="1662"/>
      <c r="F98" s="1623"/>
      <c r="G98" s="1662"/>
      <c r="H98" s="1662"/>
      <c r="I98" s="1660"/>
      <c r="J98" s="1662"/>
      <c r="K98" s="1662"/>
    </row>
    <row r="99" spans="1:12" ht="12.75" customHeight="1" x14ac:dyDescent="0.2">
      <c r="A99" s="427" t="s">
        <v>816</v>
      </c>
      <c r="B99" s="429">
        <v>1950</v>
      </c>
      <c r="C99" s="1648">
        <v>209</v>
      </c>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v>69373</v>
      </c>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c r="D107" s="1623"/>
      <c r="E107" s="1623"/>
      <c r="F107" s="1623"/>
      <c r="G107" s="1623"/>
      <c r="H107" s="1623"/>
      <c r="I107" s="1623"/>
      <c r="J107" s="1624"/>
      <c r="K107" s="1623"/>
    </row>
    <row r="108" spans="1:12" ht="12.75" customHeight="1" thickBot="1" x14ac:dyDescent="0.25">
      <c r="A108" s="1455" t="s">
        <v>484</v>
      </c>
      <c r="B108" s="1457"/>
      <c r="C108" s="1683">
        <f>SUM(C95:C107)</f>
        <v>96915</v>
      </c>
      <c r="D108" s="1683">
        <f t="shared" ref="D108:K108" si="3">SUM(D95:D107)</f>
        <v>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866601</v>
      </c>
      <c r="D109" s="1691">
        <f t="shared" si="4"/>
        <v>0</v>
      </c>
      <c r="E109" s="1691">
        <f t="shared" si="4"/>
        <v>0</v>
      </c>
      <c r="F109" s="1691">
        <f t="shared" si="4"/>
        <v>0</v>
      </c>
      <c r="G109" s="1691">
        <f t="shared" si="4"/>
        <v>0</v>
      </c>
      <c r="H109" s="1691">
        <f t="shared" si="4"/>
        <v>0</v>
      </c>
      <c r="I109" s="1691">
        <f t="shared" si="4"/>
        <v>0</v>
      </c>
      <c r="J109" s="1691">
        <f t="shared" si="4"/>
        <v>0</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v>352315</v>
      </c>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352315</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160939</v>
      </c>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160939</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c r="G152" s="1624"/>
      <c r="H152" s="1625"/>
      <c r="I152" s="1625"/>
      <c r="J152" s="1625"/>
      <c r="K152" s="1625"/>
    </row>
    <row r="153" spans="1:11" ht="12.75" customHeight="1" x14ac:dyDescent="0.2">
      <c r="A153" s="427" t="s">
        <v>1050</v>
      </c>
      <c r="B153" s="478">
        <v>3510</v>
      </c>
      <c r="C153" s="1682"/>
      <c r="D153" s="1623"/>
      <c r="E153" s="1690"/>
      <c r="F153" s="1623"/>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0</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v>6371</v>
      </c>
      <c r="D168" s="1705"/>
      <c r="E168" s="1705"/>
      <c r="F168" s="1705"/>
      <c r="G168" s="1706"/>
      <c r="H168" s="1707"/>
      <c r="I168" s="1706"/>
      <c r="J168" s="1706"/>
      <c r="K168" s="1707"/>
    </row>
    <row r="169" spans="1:11" ht="12.75" customHeight="1" thickTop="1" thickBot="1" x14ac:dyDescent="0.25">
      <c r="A169" s="2321" t="s">
        <v>395</v>
      </c>
      <c r="B169" s="2322"/>
      <c r="C169" s="1708">
        <f t="shared" ref="C169:K169" si="6">SUM(C132,C141,C145,C146:C150,C155,C156:C167,C168)</f>
        <v>6371</v>
      </c>
      <c r="D169" s="1708">
        <f t="shared" si="6"/>
        <v>0</v>
      </c>
      <c r="E169" s="1708">
        <f t="shared" si="6"/>
        <v>0</v>
      </c>
      <c r="F169" s="1708">
        <f t="shared" si="6"/>
        <v>0</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167310</v>
      </c>
      <c r="D170" s="1691">
        <f t="shared" si="7"/>
        <v>0</v>
      </c>
      <c r="E170" s="1691">
        <f t="shared" si="7"/>
        <v>0</v>
      </c>
      <c r="F170" s="1691">
        <f t="shared" si="7"/>
        <v>0</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3" t="s">
        <v>1478</v>
      </c>
      <c r="B172" s="2324"/>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327" t="s">
        <v>1649</v>
      </c>
      <c r="B175" s="2328"/>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1" t="s">
        <v>1648</v>
      </c>
      <c r="B176" s="2332"/>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329" t="s">
        <v>780</v>
      </c>
      <c r="B181" s="2330"/>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5" t="s">
        <v>1783</v>
      </c>
      <c r="B182" s="2326"/>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0</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18497</v>
      </c>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18497</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v>5295</v>
      </c>
      <c r="D263" s="1701"/>
      <c r="E263" s="1625"/>
      <c r="F263" s="1701"/>
      <c r="G263" s="1701"/>
      <c r="H263" s="1625"/>
      <c r="I263" s="1625"/>
      <c r="J263" s="1625"/>
      <c r="K263" s="1625"/>
    </row>
    <row r="264" spans="1:11" ht="12.75" customHeight="1" thickTop="1" thickBot="1" x14ac:dyDescent="0.25">
      <c r="A264" s="427" t="s">
        <v>374</v>
      </c>
      <c r="B264" s="429">
        <v>4992</v>
      </c>
      <c r="C264" s="1700">
        <v>43404</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67196</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67196</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1453422</v>
      </c>
      <c r="D268" s="1691">
        <f t="shared" si="12"/>
        <v>0</v>
      </c>
      <c r="E268" s="1691">
        <f t="shared" si="12"/>
        <v>0</v>
      </c>
      <c r="F268" s="1691">
        <f t="shared" si="12"/>
        <v>0</v>
      </c>
      <c r="G268" s="1691">
        <f t="shared" si="12"/>
        <v>0</v>
      </c>
      <c r="H268" s="1691">
        <f t="shared" si="12"/>
        <v>0</v>
      </c>
      <c r="I268" s="1691">
        <f t="shared" si="12"/>
        <v>0</v>
      </c>
      <c r="J268" s="1691">
        <f t="shared" si="12"/>
        <v>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3" activePane="bottomLeft" state="frozen"/>
      <selection pane="bottomLeft" activeCell="E60" sqref="E6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9" t="s">
        <v>294</v>
      </c>
      <c r="B3" s="2340"/>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c r="D5" s="1623"/>
      <c r="E5" s="1623"/>
      <c r="F5" s="1623"/>
      <c r="G5" s="1623"/>
      <c r="H5" s="1623"/>
      <c r="I5" s="1624"/>
      <c r="J5" s="1624"/>
      <c r="K5" s="1722">
        <f>SUM(C5:J5)</f>
        <v>0</v>
      </c>
      <c r="L5" s="1623">
        <v>0</v>
      </c>
    </row>
    <row r="6" spans="1:14" x14ac:dyDescent="0.2">
      <c r="A6" s="1319" t="s">
        <v>1419</v>
      </c>
      <c r="B6" s="503" t="s">
        <v>1417</v>
      </c>
      <c r="C6" s="1632"/>
      <c r="D6" s="1632"/>
      <c r="E6" s="1623"/>
      <c r="F6" s="1632"/>
      <c r="G6" s="1632"/>
      <c r="H6" s="1632"/>
      <c r="I6" s="1632"/>
      <c r="J6" s="1632"/>
      <c r="K6" s="1722">
        <f>SUM(C6,E6)</f>
        <v>0</v>
      </c>
      <c r="L6" s="1623">
        <v>0</v>
      </c>
    </row>
    <row r="7" spans="1:14" x14ac:dyDescent="0.2">
      <c r="A7" s="1319" t="s">
        <v>162</v>
      </c>
      <c r="B7" s="503" t="s">
        <v>961</v>
      </c>
      <c r="C7" s="1624"/>
      <c r="D7" s="1624"/>
      <c r="E7" s="1624"/>
      <c r="F7" s="1624"/>
      <c r="G7" s="1624"/>
      <c r="H7" s="1624"/>
      <c r="I7" s="1624"/>
      <c r="J7" s="1624"/>
      <c r="K7" s="1722">
        <f t="shared" ref="K7:K32" si="0">SUM(C7:J7)</f>
        <v>0</v>
      </c>
      <c r="L7" s="1623">
        <v>0</v>
      </c>
    </row>
    <row r="8" spans="1:14" x14ac:dyDescent="0.2">
      <c r="A8" s="1319" t="s">
        <v>163</v>
      </c>
      <c r="B8" s="503">
        <v>1200</v>
      </c>
      <c r="C8" s="1623">
        <v>429007</v>
      </c>
      <c r="D8" s="1623">
        <v>94883</v>
      </c>
      <c r="E8" s="1623">
        <v>32763</v>
      </c>
      <c r="F8" s="1623">
        <v>5507</v>
      </c>
      <c r="G8" s="1623">
        <v>4775</v>
      </c>
      <c r="H8" s="1623"/>
      <c r="I8" s="1624"/>
      <c r="J8" s="1624"/>
      <c r="K8" s="1722">
        <f t="shared" si="0"/>
        <v>566935</v>
      </c>
      <c r="L8" s="1623">
        <v>640098</v>
      </c>
    </row>
    <row r="9" spans="1:14" x14ac:dyDescent="0.2">
      <c r="A9" s="1319" t="s">
        <v>716</v>
      </c>
      <c r="B9" s="503" t="s">
        <v>962</v>
      </c>
      <c r="C9" s="1624"/>
      <c r="D9" s="1624"/>
      <c r="E9" s="1624"/>
      <c r="F9" s="1624"/>
      <c r="G9" s="1624"/>
      <c r="H9" s="1624"/>
      <c r="I9" s="1624"/>
      <c r="J9" s="1624"/>
      <c r="K9" s="1722">
        <f t="shared" si="0"/>
        <v>0</v>
      </c>
      <c r="L9" s="1623">
        <v>0</v>
      </c>
    </row>
    <row r="10" spans="1:14" x14ac:dyDescent="0.2">
      <c r="A10" s="1319" t="s">
        <v>717</v>
      </c>
      <c r="B10" s="503">
        <v>1250</v>
      </c>
      <c r="C10" s="1623"/>
      <c r="D10" s="1623"/>
      <c r="E10" s="1623"/>
      <c r="F10" s="1623"/>
      <c r="G10" s="1623"/>
      <c r="H10" s="1623"/>
      <c r="I10" s="1624"/>
      <c r="J10" s="1624"/>
      <c r="K10" s="1722">
        <f t="shared" si="0"/>
        <v>0</v>
      </c>
      <c r="L10" s="1623">
        <v>0</v>
      </c>
    </row>
    <row r="11" spans="1:14" x14ac:dyDescent="0.2">
      <c r="A11" s="1319" t="s">
        <v>1122</v>
      </c>
      <c r="B11" s="503" t="s">
        <v>160</v>
      </c>
      <c r="C11" s="1624"/>
      <c r="D11" s="1624"/>
      <c r="E11" s="1624"/>
      <c r="F11" s="1624"/>
      <c r="G11" s="1624"/>
      <c r="H11" s="1624"/>
      <c r="I11" s="1624"/>
      <c r="J11" s="1624"/>
      <c r="K11" s="1722">
        <f t="shared" si="0"/>
        <v>0</v>
      </c>
      <c r="L11" s="1623">
        <v>0</v>
      </c>
    </row>
    <row r="12" spans="1:14" x14ac:dyDescent="0.2">
      <c r="A12" s="1319" t="s">
        <v>956</v>
      </c>
      <c r="B12" s="503">
        <v>1300</v>
      </c>
      <c r="C12" s="1623"/>
      <c r="D12" s="1623"/>
      <c r="E12" s="1623"/>
      <c r="F12" s="1623"/>
      <c r="G12" s="1623"/>
      <c r="H12" s="1623"/>
      <c r="I12" s="1624"/>
      <c r="J12" s="1624"/>
      <c r="K12" s="1722">
        <f t="shared" si="0"/>
        <v>0</v>
      </c>
      <c r="L12" s="1623">
        <v>0</v>
      </c>
    </row>
    <row r="13" spans="1:14" x14ac:dyDescent="0.2">
      <c r="A13" s="1319" t="s">
        <v>718</v>
      </c>
      <c r="B13" s="503">
        <v>1400</v>
      </c>
      <c r="C13" s="1623">
        <v>14613</v>
      </c>
      <c r="D13" s="1623">
        <v>4796</v>
      </c>
      <c r="E13" s="1623">
        <v>591</v>
      </c>
      <c r="F13" s="1623">
        <v>78</v>
      </c>
      <c r="G13" s="1623">
        <v>685</v>
      </c>
      <c r="H13" s="1623"/>
      <c r="I13" s="1624"/>
      <c r="J13" s="1624"/>
      <c r="K13" s="1722">
        <f t="shared" si="0"/>
        <v>20763</v>
      </c>
      <c r="L13" s="1623">
        <v>23912</v>
      </c>
    </row>
    <row r="14" spans="1:14" x14ac:dyDescent="0.2">
      <c r="A14" s="1319" t="s">
        <v>957</v>
      </c>
      <c r="B14" s="503">
        <v>1500</v>
      </c>
      <c r="C14" s="1623"/>
      <c r="D14" s="1623"/>
      <c r="E14" s="1623"/>
      <c r="F14" s="1623"/>
      <c r="G14" s="1623"/>
      <c r="H14" s="1623"/>
      <c r="I14" s="1624"/>
      <c r="J14" s="1624"/>
      <c r="K14" s="1722">
        <f t="shared" si="0"/>
        <v>0</v>
      </c>
      <c r="L14" s="1623">
        <v>0</v>
      </c>
    </row>
    <row r="15" spans="1:14" x14ac:dyDescent="0.2">
      <c r="A15" s="1319" t="s">
        <v>958</v>
      </c>
      <c r="B15" s="503">
        <v>1600</v>
      </c>
      <c r="C15" s="1623">
        <v>3056</v>
      </c>
      <c r="D15" s="1623">
        <v>53</v>
      </c>
      <c r="E15" s="1623"/>
      <c r="F15" s="1623"/>
      <c r="G15" s="1623"/>
      <c r="H15" s="1623"/>
      <c r="I15" s="1624"/>
      <c r="J15" s="1624"/>
      <c r="K15" s="1722">
        <f t="shared" si="0"/>
        <v>3109</v>
      </c>
      <c r="L15" s="1623">
        <v>3666</v>
      </c>
    </row>
    <row r="16" spans="1:14" x14ac:dyDescent="0.2">
      <c r="A16" s="1319" t="s">
        <v>980</v>
      </c>
      <c r="B16" s="503" t="s">
        <v>421</v>
      </c>
      <c r="C16" s="1623"/>
      <c r="D16" s="1623"/>
      <c r="E16" s="1623"/>
      <c r="F16" s="1623"/>
      <c r="G16" s="1623"/>
      <c r="H16" s="1623"/>
      <c r="I16" s="1624"/>
      <c r="J16" s="1624"/>
      <c r="K16" s="1722">
        <f t="shared" si="0"/>
        <v>0</v>
      </c>
      <c r="L16" s="1623">
        <v>0</v>
      </c>
    </row>
    <row r="17" spans="1:12" x14ac:dyDescent="0.2">
      <c r="A17" s="1319" t="s">
        <v>719</v>
      </c>
      <c r="B17" s="503" t="s">
        <v>161</v>
      </c>
      <c r="C17" s="1624"/>
      <c r="D17" s="1624"/>
      <c r="E17" s="1624"/>
      <c r="F17" s="1624"/>
      <c r="G17" s="1624"/>
      <c r="H17" s="1624"/>
      <c r="I17" s="1624"/>
      <c r="J17" s="1624"/>
      <c r="K17" s="1722">
        <f t="shared" si="0"/>
        <v>0</v>
      </c>
      <c r="L17" s="1623">
        <v>0</v>
      </c>
    </row>
    <row r="18" spans="1:12" x14ac:dyDescent="0.2">
      <c r="A18" s="1319" t="s">
        <v>1080</v>
      </c>
      <c r="B18" s="503">
        <v>1800</v>
      </c>
      <c r="C18" s="1623"/>
      <c r="D18" s="1623"/>
      <c r="E18" s="1623"/>
      <c r="F18" s="1623"/>
      <c r="G18" s="1623"/>
      <c r="H18" s="1623"/>
      <c r="I18" s="1624"/>
      <c r="J18" s="1624"/>
      <c r="K18" s="1722">
        <f t="shared" si="0"/>
        <v>0</v>
      </c>
      <c r="L18" s="1623">
        <v>0</v>
      </c>
    </row>
    <row r="19" spans="1:12" x14ac:dyDescent="0.2">
      <c r="A19" s="1319" t="s">
        <v>133</v>
      </c>
      <c r="B19" s="503">
        <v>1900</v>
      </c>
      <c r="C19" s="1623"/>
      <c r="D19" s="1623"/>
      <c r="E19" s="1623"/>
      <c r="F19" s="1623"/>
      <c r="G19" s="1623"/>
      <c r="H19" s="1623"/>
      <c r="I19" s="1624"/>
      <c r="J19" s="1624"/>
      <c r="K19" s="1722">
        <f t="shared" si="0"/>
        <v>0</v>
      </c>
      <c r="L19" s="1623">
        <v>0</v>
      </c>
    </row>
    <row r="20" spans="1:12" x14ac:dyDescent="0.2">
      <c r="A20" s="1320" t="s">
        <v>733</v>
      </c>
      <c r="B20" s="494" t="s">
        <v>720</v>
      </c>
      <c r="C20" s="1632"/>
      <c r="D20" s="1632"/>
      <c r="E20" s="1632"/>
      <c r="F20" s="1632"/>
      <c r="G20" s="1632"/>
      <c r="H20" s="1629"/>
      <c r="I20" s="1723"/>
      <c r="J20" s="1630"/>
      <c r="K20" s="1722">
        <f t="shared" si="0"/>
        <v>0</v>
      </c>
      <c r="L20" s="1627">
        <v>0</v>
      </c>
    </row>
    <row r="21" spans="1:12" x14ac:dyDescent="0.2">
      <c r="A21" s="1320" t="s">
        <v>734</v>
      </c>
      <c r="B21" s="494" t="s">
        <v>721</v>
      </c>
      <c r="C21" s="1632"/>
      <c r="D21" s="1632"/>
      <c r="E21" s="1632"/>
      <c r="F21" s="1632"/>
      <c r="G21" s="1632"/>
      <c r="H21" s="1629"/>
      <c r="I21" s="1723"/>
      <c r="J21" s="1632"/>
      <c r="K21" s="1722">
        <f t="shared" si="0"/>
        <v>0</v>
      </c>
      <c r="L21" s="1627">
        <v>0</v>
      </c>
    </row>
    <row r="22" spans="1:12" x14ac:dyDescent="0.2">
      <c r="A22" s="1320" t="s">
        <v>735</v>
      </c>
      <c r="B22" s="494" t="s">
        <v>722</v>
      </c>
      <c r="C22" s="1632"/>
      <c r="D22" s="1632"/>
      <c r="E22" s="1632"/>
      <c r="F22" s="1632"/>
      <c r="G22" s="1632"/>
      <c r="H22" s="1629"/>
      <c r="I22" s="1723"/>
      <c r="J22" s="1632"/>
      <c r="K22" s="1722">
        <f t="shared" si="0"/>
        <v>0</v>
      </c>
      <c r="L22" s="1627">
        <v>0</v>
      </c>
    </row>
    <row r="23" spans="1:12" x14ac:dyDescent="0.2">
      <c r="A23" s="1320" t="s">
        <v>736</v>
      </c>
      <c r="B23" s="494" t="s">
        <v>723</v>
      </c>
      <c r="C23" s="1632"/>
      <c r="D23" s="1632"/>
      <c r="E23" s="1632"/>
      <c r="F23" s="1632"/>
      <c r="G23" s="1632"/>
      <c r="H23" s="1629"/>
      <c r="I23" s="1723"/>
      <c r="J23" s="1632"/>
      <c r="K23" s="1722">
        <f t="shared" si="0"/>
        <v>0</v>
      </c>
      <c r="L23" s="1627">
        <v>0</v>
      </c>
    </row>
    <row r="24" spans="1:12" ht="12.75" customHeight="1" x14ac:dyDescent="0.2">
      <c r="A24" s="1320" t="s">
        <v>737</v>
      </c>
      <c r="B24" s="494" t="s">
        <v>724</v>
      </c>
      <c r="C24" s="1632"/>
      <c r="D24" s="1632"/>
      <c r="E24" s="1632"/>
      <c r="F24" s="1632"/>
      <c r="G24" s="1632"/>
      <c r="H24" s="1629"/>
      <c r="I24" s="1723"/>
      <c r="J24" s="1632"/>
      <c r="K24" s="1722">
        <f t="shared" si="0"/>
        <v>0</v>
      </c>
      <c r="L24" s="1627">
        <v>0</v>
      </c>
    </row>
    <row r="25" spans="1:12" ht="12.75" customHeight="1" x14ac:dyDescent="0.2">
      <c r="A25" s="1320" t="s">
        <v>797</v>
      </c>
      <c r="B25" s="494" t="s">
        <v>725</v>
      </c>
      <c r="C25" s="1632"/>
      <c r="D25" s="1632"/>
      <c r="E25" s="1632"/>
      <c r="F25" s="1632"/>
      <c r="G25" s="1632"/>
      <c r="H25" s="1629"/>
      <c r="I25" s="1723"/>
      <c r="J25" s="1632"/>
      <c r="K25" s="1722">
        <f t="shared" si="0"/>
        <v>0</v>
      </c>
      <c r="L25" s="1627">
        <v>0</v>
      </c>
    </row>
    <row r="26" spans="1:12" x14ac:dyDescent="0.2">
      <c r="A26" s="1320" t="s">
        <v>618</v>
      </c>
      <c r="B26" s="494" t="s">
        <v>726</v>
      </c>
      <c r="C26" s="1632"/>
      <c r="D26" s="1632"/>
      <c r="E26" s="1632"/>
      <c r="F26" s="1632"/>
      <c r="G26" s="1632"/>
      <c r="H26" s="1629"/>
      <c r="I26" s="1723"/>
      <c r="J26" s="1632"/>
      <c r="K26" s="1722">
        <f t="shared" si="0"/>
        <v>0</v>
      </c>
      <c r="L26" s="1627">
        <v>0</v>
      </c>
    </row>
    <row r="27" spans="1:12" x14ac:dyDescent="0.2">
      <c r="A27" s="1320" t="s">
        <v>619</v>
      </c>
      <c r="B27" s="494" t="s">
        <v>727</v>
      </c>
      <c r="C27" s="1632"/>
      <c r="D27" s="1632"/>
      <c r="E27" s="1632"/>
      <c r="F27" s="1632"/>
      <c r="G27" s="1632"/>
      <c r="H27" s="1629"/>
      <c r="I27" s="1723"/>
      <c r="J27" s="1632"/>
      <c r="K27" s="1722">
        <f t="shared" si="0"/>
        <v>0</v>
      </c>
      <c r="L27" s="1627">
        <v>0</v>
      </c>
    </row>
    <row r="28" spans="1:12" x14ac:dyDescent="0.2">
      <c r="A28" s="1320" t="s">
        <v>149</v>
      </c>
      <c r="B28" s="494" t="s">
        <v>728</v>
      </c>
      <c r="C28" s="1632"/>
      <c r="D28" s="1632"/>
      <c r="E28" s="1632"/>
      <c r="F28" s="1632"/>
      <c r="G28" s="1632"/>
      <c r="H28" s="1629"/>
      <c r="I28" s="1723"/>
      <c r="J28" s="1632"/>
      <c r="K28" s="1722">
        <f t="shared" si="0"/>
        <v>0</v>
      </c>
      <c r="L28" s="1627">
        <v>0</v>
      </c>
    </row>
    <row r="29" spans="1:12" x14ac:dyDescent="0.2">
      <c r="A29" s="1320" t="s">
        <v>150</v>
      </c>
      <c r="B29" s="494" t="s">
        <v>729</v>
      </c>
      <c r="C29" s="1632"/>
      <c r="D29" s="1632"/>
      <c r="E29" s="1632"/>
      <c r="F29" s="1632"/>
      <c r="G29" s="1632"/>
      <c r="H29" s="1629"/>
      <c r="I29" s="1723"/>
      <c r="J29" s="1632"/>
      <c r="K29" s="1722">
        <f t="shared" si="0"/>
        <v>0</v>
      </c>
      <c r="L29" s="1627">
        <v>0</v>
      </c>
    </row>
    <row r="30" spans="1:12" x14ac:dyDescent="0.2">
      <c r="A30" s="1320" t="s">
        <v>151</v>
      </c>
      <c r="B30" s="494" t="s">
        <v>730</v>
      </c>
      <c r="C30" s="1632"/>
      <c r="D30" s="1632"/>
      <c r="E30" s="1632"/>
      <c r="F30" s="1632"/>
      <c r="G30" s="1632"/>
      <c r="H30" s="1629"/>
      <c r="I30" s="1723"/>
      <c r="J30" s="1632"/>
      <c r="K30" s="1722">
        <f t="shared" si="0"/>
        <v>0</v>
      </c>
      <c r="L30" s="1627">
        <v>0</v>
      </c>
    </row>
    <row r="31" spans="1:12" x14ac:dyDescent="0.2">
      <c r="A31" s="1320" t="s">
        <v>152</v>
      </c>
      <c r="B31" s="494" t="s">
        <v>731</v>
      </c>
      <c r="C31" s="1632"/>
      <c r="D31" s="1632"/>
      <c r="E31" s="1632"/>
      <c r="F31" s="1632"/>
      <c r="G31" s="1632"/>
      <c r="H31" s="1629"/>
      <c r="I31" s="1723"/>
      <c r="J31" s="1632"/>
      <c r="K31" s="1722">
        <f t="shared" si="0"/>
        <v>0</v>
      </c>
      <c r="L31" s="1627">
        <v>0</v>
      </c>
    </row>
    <row r="32" spans="1:12" x14ac:dyDescent="0.2">
      <c r="A32" s="1321" t="s">
        <v>1121</v>
      </c>
      <c r="B32" s="503" t="s">
        <v>732</v>
      </c>
      <c r="C32" s="1632"/>
      <c r="D32" s="1632"/>
      <c r="E32" s="1632"/>
      <c r="F32" s="1632"/>
      <c r="G32" s="1632"/>
      <c r="H32" s="1629"/>
      <c r="I32" s="1723"/>
      <c r="J32" s="1635"/>
      <c r="K32" s="1722">
        <f t="shared" si="0"/>
        <v>0</v>
      </c>
      <c r="L32" s="1627">
        <v>0</v>
      </c>
    </row>
    <row r="33" spans="1:14" ht="12.75" customHeight="1" thickBot="1" x14ac:dyDescent="0.25">
      <c r="A33" s="1429" t="s">
        <v>1652</v>
      </c>
      <c r="B33" s="1430" t="s">
        <v>566</v>
      </c>
      <c r="C33" s="1724">
        <f>SUM(C5:C32)</f>
        <v>446676</v>
      </c>
      <c r="D33" s="1724">
        <f t="shared" ref="D33:L33" si="1">SUM(D5:D32)</f>
        <v>99732</v>
      </c>
      <c r="E33" s="1724">
        <f t="shared" si="1"/>
        <v>33354</v>
      </c>
      <c r="F33" s="1724">
        <f t="shared" si="1"/>
        <v>5585</v>
      </c>
      <c r="G33" s="1724">
        <f t="shared" si="1"/>
        <v>5460</v>
      </c>
      <c r="H33" s="1724">
        <f t="shared" si="1"/>
        <v>0</v>
      </c>
      <c r="I33" s="1724">
        <f t="shared" si="1"/>
        <v>0</v>
      </c>
      <c r="J33" s="1724">
        <f t="shared" si="1"/>
        <v>0</v>
      </c>
      <c r="K33" s="1724">
        <f t="shared" si="1"/>
        <v>590807</v>
      </c>
      <c r="L33" s="1724">
        <f t="shared" si="1"/>
        <v>667676</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46347</v>
      </c>
      <c r="D36" s="1636">
        <v>6877</v>
      </c>
      <c r="E36" s="1636"/>
      <c r="F36" s="1636"/>
      <c r="G36" s="1636"/>
      <c r="H36" s="1636"/>
      <c r="I36" s="1624"/>
      <c r="J36" s="1624"/>
      <c r="K36" s="1722">
        <f t="shared" ref="K36:K41" si="2">SUM(C36:J36)</f>
        <v>53224</v>
      </c>
      <c r="L36" s="1623">
        <v>55667</v>
      </c>
    </row>
    <row r="37" spans="1:14" x14ac:dyDescent="0.2">
      <c r="A37" s="1319" t="s">
        <v>1083</v>
      </c>
      <c r="B37" s="503">
        <v>2120</v>
      </c>
      <c r="C37" s="1623"/>
      <c r="D37" s="1623"/>
      <c r="E37" s="1623"/>
      <c r="F37" s="1623"/>
      <c r="G37" s="1623"/>
      <c r="H37" s="1623"/>
      <c r="I37" s="1624"/>
      <c r="J37" s="1624"/>
      <c r="K37" s="1722">
        <f t="shared" si="2"/>
        <v>0</v>
      </c>
      <c r="L37" s="1623">
        <v>0</v>
      </c>
    </row>
    <row r="38" spans="1:14" x14ac:dyDescent="0.2">
      <c r="A38" s="1319" t="s">
        <v>196</v>
      </c>
      <c r="B38" s="503">
        <v>2130</v>
      </c>
      <c r="C38" s="1623">
        <v>72958</v>
      </c>
      <c r="D38" s="1623">
        <v>16093</v>
      </c>
      <c r="E38" s="1623">
        <v>890</v>
      </c>
      <c r="F38" s="1623">
        <v>387</v>
      </c>
      <c r="G38" s="1623">
        <v>374</v>
      </c>
      <c r="H38" s="1623"/>
      <c r="I38" s="1624"/>
      <c r="J38" s="1624"/>
      <c r="K38" s="1722">
        <f t="shared" si="2"/>
        <v>90702</v>
      </c>
      <c r="L38" s="1623">
        <v>96246</v>
      </c>
    </row>
    <row r="39" spans="1:14" x14ac:dyDescent="0.2">
      <c r="A39" s="1319" t="s">
        <v>197</v>
      </c>
      <c r="B39" s="503">
        <v>2140</v>
      </c>
      <c r="C39" s="1623"/>
      <c r="D39" s="1623"/>
      <c r="E39" s="1623"/>
      <c r="F39" s="1623"/>
      <c r="G39" s="1623"/>
      <c r="H39" s="1623"/>
      <c r="I39" s="1624"/>
      <c r="J39" s="1624"/>
      <c r="K39" s="1722">
        <f t="shared" si="2"/>
        <v>0</v>
      </c>
      <c r="L39" s="1623">
        <v>0</v>
      </c>
    </row>
    <row r="40" spans="1:14" x14ac:dyDescent="0.2">
      <c r="A40" s="1319" t="s">
        <v>198</v>
      </c>
      <c r="B40" s="503">
        <v>2150</v>
      </c>
      <c r="C40" s="1623">
        <v>71830</v>
      </c>
      <c r="D40" s="1623">
        <v>12461</v>
      </c>
      <c r="E40" s="1623">
        <v>16823</v>
      </c>
      <c r="F40" s="1623">
        <v>-4302</v>
      </c>
      <c r="G40" s="1623">
        <v>598</v>
      </c>
      <c r="H40" s="1623"/>
      <c r="I40" s="1624"/>
      <c r="J40" s="1624"/>
      <c r="K40" s="1722">
        <f t="shared" si="2"/>
        <v>97410</v>
      </c>
      <c r="L40" s="1623">
        <v>153504</v>
      </c>
    </row>
    <row r="41" spans="1:14" x14ac:dyDescent="0.2">
      <c r="A41" s="1319" t="s">
        <v>1653</v>
      </c>
      <c r="B41" s="503">
        <v>2190</v>
      </c>
      <c r="C41" s="1623">
        <v>5065</v>
      </c>
      <c r="D41" s="1623">
        <v>670</v>
      </c>
      <c r="E41" s="1623"/>
      <c r="F41" s="1623"/>
      <c r="G41" s="1623"/>
      <c r="H41" s="1623"/>
      <c r="I41" s="1624"/>
      <c r="J41" s="1624"/>
      <c r="K41" s="1722">
        <f t="shared" si="2"/>
        <v>5735</v>
      </c>
      <c r="L41" s="1623">
        <v>1667</v>
      </c>
    </row>
    <row r="42" spans="1:14" ht="12.75" customHeight="1" thickBot="1" x14ac:dyDescent="0.25">
      <c r="A42" s="1429" t="s">
        <v>556</v>
      </c>
      <c r="B42" s="1430" t="s">
        <v>711</v>
      </c>
      <c r="C42" s="1724">
        <f>SUM(C36:C41)</f>
        <v>196200</v>
      </c>
      <c r="D42" s="1724">
        <f t="shared" ref="D42:L42" si="3">SUM(D36:D41)</f>
        <v>36101</v>
      </c>
      <c r="E42" s="1724">
        <f t="shared" si="3"/>
        <v>17713</v>
      </c>
      <c r="F42" s="1724">
        <f t="shared" si="3"/>
        <v>-3915</v>
      </c>
      <c r="G42" s="1724">
        <f t="shared" si="3"/>
        <v>972</v>
      </c>
      <c r="H42" s="1724">
        <f t="shared" si="3"/>
        <v>0</v>
      </c>
      <c r="I42" s="1724">
        <f t="shared" si="3"/>
        <v>0</v>
      </c>
      <c r="J42" s="1724">
        <f t="shared" si="3"/>
        <v>0</v>
      </c>
      <c r="K42" s="1724">
        <f t="shared" si="3"/>
        <v>247071</v>
      </c>
      <c r="L42" s="1724">
        <f t="shared" si="3"/>
        <v>307084</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c r="D44" s="1636"/>
      <c r="E44" s="1636">
        <v>27598</v>
      </c>
      <c r="F44" s="1636"/>
      <c r="G44" s="1636"/>
      <c r="H44" s="1636"/>
      <c r="I44" s="1624"/>
      <c r="J44" s="1624"/>
      <c r="K44" s="1728">
        <f>SUM(C44:J44)</f>
        <v>27598</v>
      </c>
      <c r="L44" s="1636">
        <v>24857</v>
      </c>
    </row>
    <row r="45" spans="1:14" x14ac:dyDescent="0.2">
      <c r="A45" s="1319" t="s">
        <v>810</v>
      </c>
      <c r="B45" s="503">
        <v>2220</v>
      </c>
      <c r="C45" s="1623"/>
      <c r="D45" s="1623"/>
      <c r="E45" s="1623">
        <v>667</v>
      </c>
      <c r="F45" s="1623"/>
      <c r="G45" s="1623"/>
      <c r="H45" s="1623"/>
      <c r="I45" s="1624"/>
      <c r="J45" s="1624"/>
      <c r="K45" s="1728">
        <f>SUM(C45:J45)</f>
        <v>667</v>
      </c>
      <c r="L45" s="1623">
        <v>1800</v>
      </c>
    </row>
    <row r="46" spans="1:14" x14ac:dyDescent="0.2">
      <c r="A46" s="1319" t="s">
        <v>811</v>
      </c>
      <c r="B46" s="503">
        <v>2230</v>
      </c>
      <c r="C46" s="1623"/>
      <c r="D46" s="1623"/>
      <c r="E46" s="1623"/>
      <c r="F46" s="1623"/>
      <c r="G46" s="1623"/>
      <c r="H46" s="1623"/>
      <c r="I46" s="1624"/>
      <c r="J46" s="1624"/>
      <c r="K46" s="1728">
        <f>SUM(C46:J46)</f>
        <v>0</v>
      </c>
      <c r="L46" s="1623">
        <v>0</v>
      </c>
    </row>
    <row r="47" spans="1:14" ht="12.75" customHeight="1" thickBot="1" x14ac:dyDescent="0.25">
      <c r="A47" s="1429" t="s">
        <v>557</v>
      </c>
      <c r="B47" s="1430" t="s">
        <v>32</v>
      </c>
      <c r="C47" s="1724">
        <f>SUM(C44:C46)</f>
        <v>0</v>
      </c>
      <c r="D47" s="1724">
        <f t="shared" ref="D47:K47" si="4">SUM(D44:D46)</f>
        <v>0</v>
      </c>
      <c r="E47" s="1724">
        <f t="shared" si="4"/>
        <v>28265</v>
      </c>
      <c r="F47" s="1724">
        <f t="shared" si="4"/>
        <v>0</v>
      </c>
      <c r="G47" s="1724">
        <f t="shared" si="4"/>
        <v>0</v>
      </c>
      <c r="H47" s="1724">
        <f t="shared" si="4"/>
        <v>0</v>
      </c>
      <c r="I47" s="1724">
        <f t="shared" si="4"/>
        <v>0</v>
      </c>
      <c r="J47" s="1724">
        <f t="shared" si="4"/>
        <v>0</v>
      </c>
      <c r="K47" s="1724">
        <f t="shared" si="4"/>
        <v>28265</v>
      </c>
      <c r="L47" s="1724">
        <f>SUM(L44:L46)</f>
        <v>26657</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c r="D49" s="1636"/>
      <c r="E49" s="1636">
        <v>12884</v>
      </c>
      <c r="F49" s="1636"/>
      <c r="G49" s="1636"/>
      <c r="H49" s="1636"/>
      <c r="I49" s="1624"/>
      <c r="J49" s="1624"/>
      <c r="K49" s="1728">
        <f>SUM(C49:J49)</f>
        <v>12884</v>
      </c>
      <c r="L49" s="1636">
        <v>5100</v>
      </c>
    </row>
    <row r="50" spans="1:14" x14ac:dyDescent="0.2">
      <c r="A50" s="1319" t="s">
        <v>813</v>
      </c>
      <c r="B50" s="503">
        <v>2320</v>
      </c>
      <c r="C50" s="1623">
        <v>129793</v>
      </c>
      <c r="D50" s="1623">
        <v>4733</v>
      </c>
      <c r="E50" s="1623">
        <v>16371</v>
      </c>
      <c r="F50" s="1623">
        <v>1285</v>
      </c>
      <c r="G50" s="1623"/>
      <c r="H50" s="1623">
        <v>4920</v>
      </c>
      <c r="I50" s="1624"/>
      <c r="J50" s="1624"/>
      <c r="K50" s="1728">
        <f>SUM(C50:J50)</f>
        <v>157102</v>
      </c>
      <c r="L50" s="1623">
        <v>208067</v>
      </c>
    </row>
    <row r="51" spans="1:14" x14ac:dyDescent="0.2">
      <c r="A51" s="1319" t="s">
        <v>42</v>
      </c>
      <c r="B51" s="503">
        <v>2330</v>
      </c>
      <c r="C51" s="1623">
        <v>50000</v>
      </c>
      <c r="D51" s="1623">
        <v>7757</v>
      </c>
      <c r="E51" s="1623">
        <v>581</v>
      </c>
      <c r="F51" s="1623"/>
      <c r="G51" s="1623"/>
      <c r="H51" s="1623"/>
      <c r="I51" s="1624"/>
      <c r="J51" s="1624"/>
      <c r="K51" s="1728">
        <f>SUM(C51:J51)</f>
        <v>58338</v>
      </c>
      <c r="L51" s="1623">
        <v>69995</v>
      </c>
    </row>
    <row r="52" spans="1:14" ht="22.5" x14ac:dyDescent="0.2">
      <c r="A52" s="1320" t="s">
        <v>295</v>
      </c>
      <c r="B52" s="511" t="s">
        <v>363</v>
      </c>
      <c r="C52" s="1629"/>
      <c r="D52" s="1629"/>
      <c r="E52" s="1629">
        <f>4360+58+7846+4412</f>
        <v>16676</v>
      </c>
      <c r="F52" s="1629"/>
      <c r="G52" s="1629"/>
      <c r="H52" s="1629">
        <v>6075</v>
      </c>
      <c r="I52" s="1629"/>
      <c r="J52" s="1629"/>
      <c r="K52" s="1728">
        <f>SUM(C52:J52)</f>
        <v>22751</v>
      </c>
      <c r="L52" s="1629">
        <v>0</v>
      </c>
    </row>
    <row r="53" spans="1:14" ht="12.75" customHeight="1" thickBot="1" x14ac:dyDescent="0.25">
      <c r="A53" s="1429" t="s">
        <v>712</v>
      </c>
      <c r="B53" s="1430" t="s">
        <v>33</v>
      </c>
      <c r="C53" s="1724">
        <f>SUM(C49:C52)</f>
        <v>179793</v>
      </c>
      <c r="D53" s="1724">
        <f t="shared" ref="D53:L53" si="5">SUM(D49:D52)</f>
        <v>12490</v>
      </c>
      <c r="E53" s="1724">
        <f t="shared" si="5"/>
        <v>46512</v>
      </c>
      <c r="F53" s="1724">
        <f t="shared" si="5"/>
        <v>1285</v>
      </c>
      <c r="G53" s="1724">
        <f t="shared" si="5"/>
        <v>0</v>
      </c>
      <c r="H53" s="1724">
        <f t="shared" si="5"/>
        <v>10995</v>
      </c>
      <c r="I53" s="1724">
        <f t="shared" si="5"/>
        <v>0</v>
      </c>
      <c r="J53" s="1724">
        <f t="shared" si="5"/>
        <v>0</v>
      </c>
      <c r="K53" s="1724">
        <f t="shared" si="5"/>
        <v>251075</v>
      </c>
      <c r="L53" s="1724">
        <f t="shared" si="5"/>
        <v>283162</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c r="D55" s="1636"/>
      <c r="E55" s="1636"/>
      <c r="F55" s="1636"/>
      <c r="G55" s="1636"/>
      <c r="H55" s="1636"/>
      <c r="I55" s="1624"/>
      <c r="J55" s="1624"/>
      <c r="K55" s="1728">
        <f>SUM(C55:J55)</f>
        <v>0</v>
      </c>
      <c r="L55" s="1636">
        <v>0</v>
      </c>
    </row>
    <row r="56" spans="1:14" ht="12.75" customHeight="1" x14ac:dyDescent="0.2">
      <c r="A56" s="1323" t="s">
        <v>373</v>
      </c>
      <c r="B56" s="512">
        <v>2490</v>
      </c>
      <c r="C56" s="1623">
        <v>34460</v>
      </c>
      <c r="D56" s="1623">
        <v>853</v>
      </c>
      <c r="E56" s="1623"/>
      <c r="F56" s="1623"/>
      <c r="G56" s="1623"/>
      <c r="H56" s="1623"/>
      <c r="I56" s="1624"/>
      <c r="J56" s="1624"/>
      <c r="K56" s="1728">
        <f>SUM(C56:J56)</f>
        <v>35313</v>
      </c>
      <c r="L56" s="1623">
        <v>0</v>
      </c>
    </row>
    <row r="57" spans="1:14" s="321" customFormat="1" ht="12.75" customHeight="1" thickBot="1" x14ac:dyDescent="0.25">
      <c r="A57" s="1429" t="s">
        <v>261</v>
      </c>
      <c r="B57" s="1431" t="s">
        <v>34</v>
      </c>
      <c r="C57" s="1729">
        <f>SUM(C55:C56)</f>
        <v>34460</v>
      </c>
      <c r="D57" s="1729">
        <f t="shared" ref="D57:K57" si="6">SUM(D55:D56)</f>
        <v>853</v>
      </c>
      <c r="E57" s="1729">
        <f t="shared" si="6"/>
        <v>0</v>
      </c>
      <c r="F57" s="1729">
        <f t="shared" si="6"/>
        <v>0</v>
      </c>
      <c r="G57" s="1729">
        <f t="shared" si="6"/>
        <v>0</v>
      </c>
      <c r="H57" s="1729">
        <f t="shared" si="6"/>
        <v>0</v>
      </c>
      <c r="I57" s="1729">
        <f t="shared" si="6"/>
        <v>0</v>
      </c>
      <c r="J57" s="1729">
        <f t="shared" si="6"/>
        <v>0</v>
      </c>
      <c r="K57" s="1729">
        <f t="shared" si="6"/>
        <v>35313</v>
      </c>
      <c r="L57" s="1724">
        <f>SUM(L55:L56)</f>
        <v>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v>0</v>
      </c>
      <c r="M59" s="501"/>
      <c r="N59" s="501"/>
    </row>
    <row r="60" spans="1:14" s="321" customFormat="1" x14ac:dyDescent="0.2">
      <c r="A60" s="1319" t="s">
        <v>460</v>
      </c>
      <c r="B60" s="503">
        <v>2520</v>
      </c>
      <c r="C60" s="1623"/>
      <c r="D60" s="1623"/>
      <c r="E60" s="1623">
        <v>44844</v>
      </c>
      <c r="F60" s="1623"/>
      <c r="G60" s="1623"/>
      <c r="H60" s="1623"/>
      <c r="I60" s="1624"/>
      <c r="J60" s="1624"/>
      <c r="K60" s="1728">
        <f t="shared" si="7"/>
        <v>44844</v>
      </c>
      <c r="L60" s="1623">
        <v>8800</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v>0</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v>0</v>
      </c>
      <c r="M62" s="501"/>
      <c r="N62" s="501"/>
    </row>
    <row r="63" spans="1:14" s="501" customFormat="1" x14ac:dyDescent="0.2">
      <c r="A63" s="1319" t="s">
        <v>100</v>
      </c>
      <c r="B63" s="503">
        <v>2560</v>
      </c>
      <c r="C63" s="1623"/>
      <c r="D63" s="1623"/>
      <c r="E63" s="1623"/>
      <c r="F63" s="1623"/>
      <c r="G63" s="1623"/>
      <c r="H63" s="1623"/>
      <c r="I63" s="1624"/>
      <c r="J63" s="1624"/>
      <c r="K63" s="1728">
        <f t="shared" si="7"/>
        <v>0</v>
      </c>
      <c r="L63" s="1623">
        <v>0</v>
      </c>
    </row>
    <row r="64" spans="1:14" s="501" customFormat="1" x14ac:dyDescent="0.2">
      <c r="A64" s="1324" t="s">
        <v>101</v>
      </c>
      <c r="B64" s="513">
        <v>2570</v>
      </c>
      <c r="C64" s="1636"/>
      <c r="D64" s="1636"/>
      <c r="E64" s="1636"/>
      <c r="F64" s="1636"/>
      <c r="G64" s="1636"/>
      <c r="H64" s="1636"/>
      <c r="I64" s="1624"/>
      <c r="J64" s="1624"/>
      <c r="K64" s="1728">
        <f t="shared" si="7"/>
        <v>0</v>
      </c>
      <c r="L64" s="1636">
        <v>0</v>
      </c>
    </row>
    <row r="65" spans="1:14" s="321" customFormat="1" ht="12.75" customHeight="1" thickBot="1" x14ac:dyDescent="0.25">
      <c r="A65" s="1429" t="s">
        <v>714</v>
      </c>
      <c r="B65" s="1430" t="s">
        <v>35</v>
      </c>
      <c r="C65" s="1724">
        <f>SUM(C59:C64)</f>
        <v>0</v>
      </c>
      <c r="D65" s="1724">
        <f t="shared" ref="D65:L65" si="8">SUM(D59:D64)</f>
        <v>0</v>
      </c>
      <c r="E65" s="1724">
        <f t="shared" si="8"/>
        <v>44844</v>
      </c>
      <c r="F65" s="1724">
        <f t="shared" si="8"/>
        <v>0</v>
      </c>
      <c r="G65" s="1724">
        <f t="shared" si="8"/>
        <v>0</v>
      </c>
      <c r="H65" s="1724">
        <f t="shared" si="8"/>
        <v>0</v>
      </c>
      <c r="I65" s="1724">
        <f t="shared" si="8"/>
        <v>0</v>
      </c>
      <c r="J65" s="1724">
        <f t="shared" si="8"/>
        <v>0</v>
      </c>
      <c r="K65" s="1724">
        <f t="shared" si="8"/>
        <v>44844</v>
      </c>
      <c r="L65" s="1724">
        <f t="shared" si="8"/>
        <v>8800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v>0</v>
      </c>
      <c r="M67" s="501"/>
      <c r="N67" s="501"/>
    </row>
    <row r="68" spans="1:14" s="321" customFormat="1" x14ac:dyDescent="0.2">
      <c r="A68" s="1319" t="s">
        <v>603</v>
      </c>
      <c r="B68" s="503">
        <v>2620</v>
      </c>
      <c r="C68" s="1623"/>
      <c r="D68" s="1623"/>
      <c r="E68" s="1623"/>
      <c r="F68" s="1623"/>
      <c r="G68" s="1623"/>
      <c r="H68" s="1623"/>
      <c r="I68" s="1624"/>
      <c r="J68" s="1624"/>
      <c r="K68" s="1728">
        <f>SUM(C68:J68)</f>
        <v>0</v>
      </c>
      <c r="L68" s="1623">
        <v>0</v>
      </c>
      <c r="M68" s="501"/>
      <c r="N68" s="501"/>
    </row>
    <row r="69" spans="1:14" s="321" customFormat="1" x14ac:dyDescent="0.2">
      <c r="A69" s="1319" t="s">
        <v>1054</v>
      </c>
      <c r="B69" s="503">
        <v>2630</v>
      </c>
      <c r="C69" s="1623"/>
      <c r="D69" s="1623"/>
      <c r="E69" s="1623"/>
      <c r="F69" s="1623"/>
      <c r="G69" s="1623"/>
      <c r="H69" s="1623"/>
      <c r="I69" s="1624"/>
      <c r="J69" s="1624"/>
      <c r="K69" s="1728">
        <f>SUM(C69:J69)</f>
        <v>0</v>
      </c>
      <c r="L69" s="1623">
        <v>0</v>
      </c>
      <c r="M69" s="501"/>
      <c r="N69" s="501"/>
    </row>
    <row r="70" spans="1:14" s="321" customFormat="1" x14ac:dyDescent="0.2">
      <c r="A70" s="1319" t="s">
        <v>400</v>
      </c>
      <c r="B70" s="503">
        <v>2640</v>
      </c>
      <c r="C70" s="1623"/>
      <c r="D70" s="1623"/>
      <c r="E70" s="1623"/>
      <c r="F70" s="1623"/>
      <c r="G70" s="1623"/>
      <c r="H70" s="1623"/>
      <c r="I70" s="1624"/>
      <c r="J70" s="1624"/>
      <c r="K70" s="1728">
        <f>SUM(C70:J70)</f>
        <v>0</v>
      </c>
      <c r="L70" s="1623">
        <v>0</v>
      </c>
      <c r="M70" s="501"/>
      <c r="N70" s="501"/>
    </row>
    <row r="71" spans="1:14" s="321" customFormat="1" x14ac:dyDescent="0.2">
      <c r="A71" s="1319" t="s">
        <v>401</v>
      </c>
      <c r="B71" s="503">
        <v>2660</v>
      </c>
      <c r="C71" s="1623"/>
      <c r="D71" s="1623"/>
      <c r="E71" s="1623"/>
      <c r="F71" s="1623"/>
      <c r="G71" s="1623"/>
      <c r="H71" s="1623"/>
      <c r="I71" s="1624"/>
      <c r="J71" s="1624"/>
      <c r="K71" s="1728">
        <f>SUM(C71:J71)</f>
        <v>0</v>
      </c>
      <c r="L71" s="1623">
        <v>0</v>
      </c>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v>0</v>
      </c>
      <c r="M73" s="501"/>
      <c r="N73" s="501"/>
    </row>
    <row r="74" spans="1:14" ht="12.75" customHeight="1" thickTop="1" thickBot="1" x14ac:dyDescent="0.25">
      <c r="A74" s="1429" t="s">
        <v>806</v>
      </c>
      <c r="B74" s="1433">
        <v>2000</v>
      </c>
      <c r="C74" s="1731">
        <f>SUM(C42,C47,C53,C57,C65,C72,C73)</f>
        <v>410453</v>
      </c>
      <c r="D74" s="1731">
        <f t="shared" ref="D74:K74" si="10">SUM(D42,D47,D53,D57,D65,D72,D73)</f>
        <v>49444</v>
      </c>
      <c r="E74" s="1731">
        <f t="shared" si="10"/>
        <v>137334</v>
      </c>
      <c r="F74" s="1731">
        <f t="shared" si="10"/>
        <v>-2630</v>
      </c>
      <c r="G74" s="1731">
        <f t="shared" si="10"/>
        <v>972</v>
      </c>
      <c r="H74" s="1731">
        <f t="shared" si="10"/>
        <v>10995</v>
      </c>
      <c r="I74" s="1731">
        <f t="shared" si="10"/>
        <v>0</v>
      </c>
      <c r="J74" s="1731">
        <f t="shared" si="10"/>
        <v>0</v>
      </c>
      <c r="K74" s="1731">
        <f t="shared" si="10"/>
        <v>606568</v>
      </c>
      <c r="L74" s="1731">
        <f>SUM(L42,L47,L53,L57,L65,L72,L73)</f>
        <v>625703</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v>0</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v>0</v>
      </c>
    </row>
    <row r="79" spans="1:14" x14ac:dyDescent="0.2">
      <c r="A79" s="1319" t="s">
        <v>301</v>
      </c>
      <c r="B79" s="503">
        <v>4120</v>
      </c>
      <c r="C79" s="1723"/>
      <c r="D79" s="1723"/>
      <c r="E79" s="1623"/>
      <c r="F79" s="1723"/>
      <c r="G79" s="1723"/>
      <c r="H79" s="1623"/>
      <c r="I79" s="1632"/>
      <c r="J79" s="1632"/>
      <c r="K79" s="1722">
        <f t="shared" si="11"/>
        <v>0</v>
      </c>
      <c r="L79" s="1623">
        <v>0</v>
      </c>
    </row>
    <row r="80" spans="1:14" x14ac:dyDescent="0.2">
      <c r="A80" s="1319" t="s">
        <v>302</v>
      </c>
      <c r="B80" s="503">
        <v>4130</v>
      </c>
      <c r="C80" s="1723"/>
      <c r="D80" s="1723"/>
      <c r="E80" s="1623"/>
      <c r="F80" s="1723"/>
      <c r="G80" s="1723"/>
      <c r="H80" s="1623"/>
      <c r="I80" s="1632"/>
      <c r="J80" s="1632"/>
      <c r="K80" s="1722">
        <f t="shared" si="11"/>
        <v>0</v>
      </c>
      <c r="L80" s="1623">
        <v>0</v>
      </c>
    </row>
    <row r="81" spans="1:12" x14ac:dyDescent="0.2">
      <c r="A81" s="1319" t="s">
        <v>692</v>
      </c>
      <c r="B81" s="503">
        <v>4140</v>
      </c>
      <c r="C81" s="1723"/>
      <c r="D81" s="1723"/>
      <c r="E81" s="1623"/>
      <c r="F81" s="1723"/>
      <c r="G81" s="1723"/>
      <c r="H81" s="1623"/>
      <c r="I81" s="1632"/>
      <c r="J81" s="1632"/>
      <c r="K81" s="1722">
        <f t="shared" si="11"/>
        <v>0</v>
      </c>
      <c r="L81" s="1623">
        <v>0</v>
      </c>
    </row>
    <row r="82" spans="1:12" x14ac:dyDescent="0.2">
      <c r="A82" s="1319" t="s">
        <v>86</v>
      </c>
      <c r="B82" s="503">
        <v>4170</v>
      </c>
      <c r="C82" s="1723"/>
      <c r="D82" s="1723"/>
      <c r="E82" s="1623"/>
      <c r="F82" s="1723"/>
      <c r="G82" s="1723"/>
      <c r="H82" s="1623"/>
      <c r="I82" s="1632"/>
      <c r="J82" s="1632"/>
      <c r="K82" s="1722">
        <f t="shared" si="11"/>
        <v>0</v>
      </c>
      <c r="L82" s="1623">
        <v>0</v>
      </c>
    </row>
    <row r="83" spans="1:12" x14ac:dyDescent="0.2">
      <c r="A83" s="1323" t="s">
        <v>693</v>
      </c>
      <c r="B83" s="512">
        <v>4190</v>
      </c>
      <c r="C83" s="1723"/>
      <c r="D83" s="1723"/>
      <c r="E83" s="1623"/>
      <c r="F83" s="1723"/>
      <c r="G83" s="1723"/>
      <c r="H83" s="1623"/>
      <c r="I83" s="1632"/>
      <c r="J83" s="1632"/>
      <c r="K83" s="1722">
        <f t="shared" si="11"/>
        <v>0</v>
      </c>
      <c r="L83" s="1623">
        <v>0</v>
      </c>
    </row>
    <row r="84" spans="1:12" ht="13.5" thickBot="1" x14ac:dyDescent="0.25">
      <c r="A84" s="1429" t="s">
        <v>1471</v>
      </c>
      <c r="B84" s="1434">
        <v>4100</v>
      </c>
      <c r="C84" s="1723"/>
      <c r="D84" s="1723"/>
      <c r="E84" s="1724">
        <f>SUM(E78:E83)</f>
        <v>0</v>
      </c>
      <c r="F84" s="1723"/>
      <c r="G84" s="1723"/>
      <c r="H84" s="1724">
        <f>SUM(H78:H83)</f>
        <v>0</v>
      </c>
      <c r="I84" s="1632"/>
      <c r="J84" s="1632"/>
      <c r="K84" s="1724">
        <f>SUM(K78:K83)</f>
        <v>0</v>
      </c>
      <c r="L84" s="1724">
        <f>SUM(L78:L83)</f>
        <v>0</v>
      </c>
    </row>
    <row r="85" spans="1:12" ht="12.75" customHeight="1" thickTop="1" thickBot="1" x14ac:dyDescent="0.25">
      <c r="A85" s="1326" t="s">
        <v>253</v>
      </c>
      <c r="B85" s="517">
        <v>4210</v>
      </c>
      <c r="C85" s="1723"/>
      <c r="D85" s="1723"/>
      <c r="E85" s="1733"/>
      <c r="F85" s="1723"/>
      <c r="G85" s="1723"/>
      <c r="H85" s="1680"/>
      <c r="I85" s="1632"/>
      <c r="J85" s="1632"/>
      <c r="K85" s="1731">
        <f>H85</f>
        <v>0</v>
      </c>
      <c r="L85" s="1676">
        <v>0</v>
      </c>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v>0</v>
      </c>
    </row>
    <row r="87" spans="1:12" ht="14.25" thickTop="1" thickBot="1" x14ac:dyDescent="0.25">
      <c r="A87" s="1328" t="s">
        <v>695</v>
      </c>
      <c r="B87" s="519">
        <v>4230</v>
      </c>
      <c r="C87" s="1723"/>
      <c r="D87" s="1723"/>
      <c r="E87" s="1734"/>
      <c r="F87" s="1723"/>
      <c r="G87" s="1723"/>
      <c r="H87" s="1624"/>
      <c r="I87" s="1632"/>
      <c r="J87" s="1632"/>
      <c r="K87" s="1731">
        <f t="shared" si="12"/>
        <v>0</v>
      </c>
      <c r="L87" s="1676">
        <v>0</v>
      </c>
    </row>
    <row r="88" spans="1:12" ht="12.75" customHeight="1" thickTop="1" thickBot="1" x14ac:dyDescent="0.25">
      <c r="A88" s="1328" t="s">
        <v>760</v>
      </c>
      <c r="B88" s="519">
        <v>4240</v>
      </c>
      <c r="C88" s="1723"/>
      <c r="D88" s="1723"/>
      <c r="E88" s="1734"/>
      <c r="F88" s="1723"/>
      <c r="G88" s="1723"/>
      <c r="H88" s="1624"/>
      <c r="I88" s="1632"/>
      <c r="J88" s="1632"/>
      <c r="K88" s="1731">
        <f t="shared" si="12"/>
        <v>0</v>
      </c>
      <c r="L88" s="1676">
        <v>0</v>
      </c>
    </row>
    <row r="89" spans="1:12" ht="12.75" customHeight="1" thickTop="1" thickBot="1" x14ac:dyDescent="0.25">
      <c r="A89" s="1328" t="s">
        <v>696</v>
      </c>
      <c r="B89" s="519">
        <v>4270</v>
      </c>
      <c r="C89" s="1723"/>
      <c r="D89" s="1723"/>
      <c r="E89" s="1734"/>
      <c r="F89" s="1723"/>
      <c r="G89" s="1723"/>
      <c r="H89" s="1624"/>
      <c r="I89" s="1632"/>
      <c r="J89" s="1632"/>
      <c r="K89" s="1731">
        <f t="shared" si="12"/>
        <v>0</v>
      </c>
      <c r="L89" s="1676">
        <v>0</v>
      </c>
    </row>
    <row r="90" spans="1:12" ht="12.75" customHeight="1" thickTop="1" thickBot="1" x14ac:dyDescent="0.25">
      <c r="A90" s="1328" t="s">
        <v>681</v>
      </c>
      <c r="B90" s="519">
        <v>4280</v>
      </c>
      <c r="C90" s="1723"/>
      <c r="D90" s="1723"/>
      <c r="E90" s="1734"/>
      <c r="F90" s="1723"/>
      <c r="G90" s="1723"/>
      <c r="H90" s="1624"/>
      <c r="I90" s="1632"/>
      <c r="J90" s="1632"/>
      <c r="K90" s="1731">
        <f t="shared" si="12"/>
        <v>0</v>
      </c>
      <c r="L90" s="1676">
        <v>0</v>
      </c>
    </row>
    <row r="91" spans="1:12" ht="12.75" customHeight="1" thickTop="1" thickBot="1" x14ac:dyDescent="0.25">
      <c r="A91" s="1328" t="s">
        <v>682</v>
      </c>
      <c r="B91" s="519">
        <v>4290</v>
      </c>
      <c r="C91" s="1723"/>
      <c r="D91" s="1723"/>
      <c r="E91" s="1734"/>
      <c r="F91" s="1723"/>
      <c r="G91" s="1723"/>
      <c r="H91" s="1624"/>
      <c r="I91" s="1632"/>
      <c r="J91" s="1632"/>
      <c r="K91" s="1731">
        <f t="shared" si="12"/>
        <v>0</v>
      </c>
      <c r="L91" s="1676">
        <v>0</v>
      </c>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v>0</v>
      </c>
    </row>
    <row r="94" spans="1:12" ht="12.75" customHeight="1" thickTop="1" thickBot="1" x14ac:dyDescent="0.25">
      <c r="A94" s="1328" t="s">
        <v>684</v>
      </c>
      <c r="B94" s="519">
        <v>4320</v>
      </c>
      <c r="C94" s="1723"/>
      <c r="D94" s="1723"/>
      <c r="E94" s="1734"/>
      <c r="F94" s="1723"/>
      <c r="G94" s="1723"/>
      <c r="H94" s="1624">
        <v>352315</v>
      </c>
      <c r="I94" s="1632"/>
      <c r="J94" s="1632"/>
      <c r="K94" s="1731">
        <f t="shared" si="12"/>
        <v>352315</v>
      </c>
      <c r="L94" s="1676">
        <v>0</v>
      </c>
    </row>
    <row r="95" spans="1:12" ht="15" customHeight="1" thickTop="1" thickBot="1" x14ac:dyDescent="0.25">
      <c r="A95" s="1328" t="s">
        <v>1474</v>
      </c>
      <c r="B95" s="519">
        <v>4330</v>
      </c>
      <c r="C95" s="1723"/>
      <c r="D95" s="1723"/>
      <c r="E95" s="1734"/>
      <c r="F95" s="1723"/>
      <c r="G95" s="1723"/>
      <c r="H95" s="1624"/>
      <c r="I95" s="1632"/>
      <c r="J95" s="1632"/>
      <c r="K95" s="1731">
        <f t="shared" si="12"/>
        <v>0</v>
      </c>
      <c r="L95" s="1676">
        <v>0</v>
      </c>
    </row>
    <row r="96" spans="1:12" ht="14.25" thickTop="1" thickBot="1" x14ac:dyDescent="0.25">
      <c r="A96" s="1328" t="s">
        <v>685</v>
      </c>
      <c r="B96" s="519">
        <v>4340</v>
      </c>
      <c r="C96" s="1723"/>
      <c r="D96" s="1723"/>
      <c r="E96" s="1734"/>
      <c r="F96" s="1723"/>
      <c r="G96" s="1723"/>
      <c r="H96" s="1624"/>
      <c r="I96" s="1632"/>
      <c r="J96" s="1632"/>
      <c r="K96" s="1731">
        <f t="shared" si="12"/>
        <v>0</v>
      </c>
      <c r="L96" s="1676">
        <v>0</v>
      </c>
    </row>
    <row r="97" spans="1:14" ht="12.75" customHeight="1" thickTop="1" thickBot="1" x14ac:dyDescent="0.25">
      <c r="A97" s="1328" t="s">
        <v>758</v>
      </c>
      <c r="B97" s="519">
        <v>4370</v>
      </c>
      <c r="C97" s="1723"/>
      <c r="D97" s="1723"/>
      <c r="E97" s="1734"/>
      <c r="F97" s="1723"/>
      <c r="G97" s="1723"/>
      <c r="H97" s="1624"/>
      <c r="I97" s="1632"/>
      <c r="J97" s="1632"/>
      <c r="K97" s="1731">
        <f t="shared" si="12"/>
        <v>0</v>
      </c>
      <c r="L97" s="1676">
        <v>0</v>
      </c>
    </row>
    <row r="98" spans="1:14" ht="14.25" thickTop="1" thickBot="1" x14ac:dyDescent="0.25">
      <c r="A98" s="1328" t="s">
        <v>759</v>
      </c>
      <c r="B98" s="519">
        <v>4380</v>
      </c>
      <c r="C98" s="1723"/>
      <c r="D98" s="1723"/>
      <c r="E98" s="1736"/>
      <c r="F98" s="1723"/>
      <c r="G98" s="1723"/>
      <c r="H98" s="1624"/>
      <c r="I98" s="1632"/>
      <c r="J98" s="1632"/>
      <c r="K98" s="1731">
        <f t="shared" si="12"/>
        <v>0</v>
      </c>
      <c r="L98" s="1676">
        <v>0</v>
      </c>
    </row>
    <row r="99" spans="1:14" ht="14.25" thickTop="1" thickBot="1" x14ac:dyDescent="0.25">
      <c r="A99" s="1328" t="s">
        <v>364</v>
      </c>
      <c r="B99" s="519">
        <v>4390</v>
      </c>
      <c r="C99" s="1723"/>
      <c r="D99" s="1723"/>
      <c r="E99" s="1678"/>
      <c r="F99" s="1723"/>
      <c r="G99" s="1723"/>
      <c r="H99" s="1624"/>
      <c r="I99" s="1632"/>
      <c r="J99" s="1632"/>
      <c r="K99" s="1731">
        <f>SUM(E99,H99)</f>
        <v>0</v>
      </c>
      <c r="L99" s="1676">
        <v>0</v>
      </c>
    </row>
    <row r="100" spans="1:14" ht="14.25" thickTop="1" thickBot="1" x14ac:dyDescent="0.25">
      <c r="A100" s="1435" t="s">
        <v>1472</v>
      </c>
      <c r="B100" s="1436">
        <v>4300</v>
      </c>
      <c r="C100" s="1723"/>
      <c r="D100" s="1723"/>
      <c r="E100" s="1731">
        <f>SUM(E93:E99)</f>
        <v>0</v>
      </c>
      <c r="F100" s="1723"/>
      <c r="G100" s="1723"/>
      <c r="H100" s="1731">
        <f>SUM(H93:H99)</f>
        <v>352315</v>
      </c>
      <c r="I100" s="1632"/>
      <c r="J100" s="1632"/>
      <c r="K100" s="1731">
        <f>SUM(K93:K99)</f>
        <v>352315</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v>0</v>
      </c>
    </row>
    <row r="102" spans="1:14" ht="12.75" customHeight="1" thickTop="1" thickBot="1" x14ac:dyDescent="0.25">
      <c r="A102" s="1429" t="s">
        <v>1473</v>
      </c>
      <c r="B102" s="1434">
        <v>4000</v>
      </c>
      <c r="C102" s="1723"/>
      <c r="D102" s="1723"/>
      <c r="E102" s="1731">
        <f>SUM(E84,E92,E100,E101)</f>
        <v>0</v>
      </c>
      <c r="F102" s="1723"/>
      <c r="G102" s="1723"/>
      <c r="H102" s="1731">
        <f>SUM(H84,H92,H100,H101)</f>
        <v>352315</v>
      </c>
      <c r="I102" s="1632"/>
      <c r="J102" s="1632"/>
      <c r="K102" s="1731">
        <f>SUM(K84,K92,K100,K101)</f>
        <v>352315</v>
      </c>
      <c r="L102" s="1731">
        <f>SUM(L84,L92,L100,L101)</f>
        <v>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v>0</v>
      </c>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v>0</v>
      </c>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v>0</v>
      </c>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v>0</v>
      </c>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0</v>
      </c>
      <c r="M113" s="502"/>
      <c r="N113" s="502"/>
    </row>
    <row r="114" spans="1:14" ht="12.75" customHeight="1" thickTop="1" thickBot="1" x14ac:dyDescent="0.25">
      <c r="A114" s="1429" t="s">
        <v>48</v>
      </c>
      <c r="B114" s="1437"/>
      <c r="C114" s="1724">
        <f>SUM(C33,C74,C75,C102,C112,C113)</f>
        <v>857129</v>
      </c>
      <c r="D114" s="1724">
        <f t="shared" ref="D114:K114" si="13">SUM(D33,D74,D75,D102,D112,D113)</f>
        <v>149176</v>
      </c>
      <c r="E114" s="1724">
        <f t="shared" si="13"/>
        <v>170688</v>
      </c>
      <c r="F114" s="1724">
        <f t="shared" si="13"/>
        <v>2955</v>
      </c>
      <c r="G114" s="1724">
        <f t="shared" si="13"/>
        <v>6432</v>
      </c>
      <c r="H114" s="1724">
        <f>SUM(H33,H74,H75,H102,H112,H113)</f>
        <v>363310</v>
      </c>
      <c r="I114" s="1724">
        <f t="shared" si="13"/>
        <v>0</v>
      </c>
      <c r="J114" s="1724">
        <f t="shared" si="13"/>
        <v>0</v>
      </c>
      <c r="K114" s="1724">
        <f t="shared" si="13"/>
        <v>1549690</v>
      </c>
      <c r="L114" s="1724">
        <f>SUM(L33,L74,L75,L102,L112,L113)</f>
        <v>1293379</v>
      </c>
    </row>
    <row r="115" spans="1:14" ht="13.5" thickTop="1" x14ac:dyDescent="0.2">
      <c r="A115" s="2358" t="s">
        <v>989</v>
      </c>
      <c r="B115" s="2359"/>
      <c r="C115" s="1725"/>
      <c r="D115" s="1725"/>
      <c r="E115" s="1725"/>
      <c r="F115" s="1725"/>
      <c r="G115" s="1725"/>
      <c r="H115" s="1725"/>
      <c r="I115" s="1725"/>
      <c r="J115" s="1725"/>
      <c r="K115" s="1739">
        <f>'Revenues 9-14'!C268-'Expenditures 15-22'!K114</f>
        <v>-96268</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6" t="s">
        <v>293</v>
      </c>
      <c r="B117" s="2337"/>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c r="D124" s="1623"/>
      <c r="E124" s="1623"/>
      <c r="F124" s="1623"/>
      <c r="G124" s="1623"/>
      <c r="H124" s="1623"/>
      <c r="I124" s="1624"/>
      <c r="J124" s="1624"/>
      <c r="K124" s="1724">
        <f>SUM(C124:J124)</f>
        <v>0</v>
      </c>
      <c r="L124" s="1623"/>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0</v>
      </c>
      <c r="D127" s="1724">
        <f t="shared" ref="D127:L127" si="14">SUM(D122:D126)</f>
        <v>0</v>
      </c>
      <c r="E127" s="1724">
        <f t="shared" si="14"/>
        <v>0</v>
      </c>
      <c r="F127" s="1724">
        <f t="shared" si="14"/>
        <v>0</v>
      </c>
      <c r="G127" s="1724">
        <f t="shared" si="14"/>
        <v>0</v>
      </c>
      <c r="H127" s="1724">
        <f t="shared" si="14"/>
        <v>0</v>
      </c>
      <c r="I127" s="1724">
        <f t="shared" si="14"/>
        <v>0</v>
      </c>
      <c r="J127" s="1724">
        <f t="shared" si="14"/>
        <v>0</v>
      </c>
      <c r="K127" s="1724">
        <f t="shared" si="14"/>
        <v>0</v>
      </c>
      <c r="L127" s="1724">
        <f t="shared" si="14"/>
        <v>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0</v>
      </c>
      <c r="D129" s="1731">
        <f t="shared" ref="D129:L129" si="15">SUM(D120,D127,D128)</f>
        <v>0</v>
      </c>
      <c r="E129" s="1731">
        <f t="shared" si="15"/>
        <v>0</v>
      </c>
      <c r="F129" s="1731">
        <f t="shared" si="15"/>
        <v>0</v>
      </c>
      <c r="G129" s="1731">
        <f t="shared" si="15"/>
        <v>0</v>
      </c>
      <c r="H129" s="1731">
        <f t="shared" si="15"/>
        <v>0</v>
      </c>
      <c r="I129" s="1731">
        <f t="shared" si="15"/>
        <v>0</v>
      </c>
      <c r="J129" s="1731">
        <f t="shared" si="15"/>
        <v>0</v>
      </c>
      <c r="K129" s="1731">
        <f t="shared" si="15"/>
        <v>0</v>
      </c>
      <c r="L129" s="1731">
        <f t="shared" si="15"/>
        <v>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v>0</v>
      </c>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v>0</v>
      </c>
      <c r="M133" s="201"/>
      <c r="N133" s="201"/>
    </row>
    <row r="134" spans="1:14" x14ac:dyDescent="0.2">
      <c r="A134" s="1319" t="s">
        <v>301</v>
      </c>
      <c r="B134" s="503">
        <v>4120</v>
      </c>
      <c r="C134" s="1723"/>
      <c r="D134" s="1723"/>
      <c r="E134" s="1633"/>
      <c r="F134" s="1723"/>
      <c r="G134" s="1723"/>
      <c r="H134" s="1636"/>
      <c r="I134" s="1632"/>
      <c r="J134" s="1723"/>
      <c r="K134" s="1728">
        <f>SUM(E134,H134)</f>
        <v>0</v>
      </c>
      <c r="L134" s="1636">
        <v>0</v>
      </c>
    </row>
    <row r="135" spans="1:14" x14ac:dyDescent="0.2">
      <c r="A135" s="1319" t="s">
        <v>692</v>
      </c>
      <c r="B135" s="503">
        <v>4140</v>
      </c>
      <c r="C135" s="1723"/>
      <c r="D135" s="1723"/>
      <c r="E135" s="1624"/>
      <c r="F135" s="1723"/>
      <c r="G135" s="1723"/>
      <c r="H135" s="1623"/>
      <c r="I135" s="1632"/>
      <c r="J135" s="1723"/>
      <c r="K135" s="1728">
        <f>SUM(E135,H135)</f>
        <v>0</v>
      </c>
      <c r="L135" s="1623">
        <v>0</v>
      </c>
    </row>
    <row r="136" spans="1:14" x14ac:dyDescent="0.2">
      <c r="A136" s="1323" t="s">
        <v>693</v>
      </c>
      <c r="B136" s="512">
        <v>4190</v>
      </c>
      <c r="C136" s="1723"/>
      <c r="D136" s="1723"/>
      <c r="E136" s="1624"/>
      <c r="F136" s="1723"/>
      <c r="G136" s="1723"/>
      <c r="H136" s="1623"/>
      <c r="I136" s="1632"/>
      <c r="J136" s="1723"/>
      <c r="K136" s="1728">
        <f>SUM(E136,H136)</f>
        <v>0</v>
      </c>
      <c r="L136" s="1623">
        <v>0</v>
      </c>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v>0</v>
      </c>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v>0</v>
      </c>
    </row>
    <row r="143" spans="1:14" x14ac:dyDescent="0.2">
      <c r="A143" s="1319" t="s">
        <v>88</v>
      </c>
      <c r="B143" s="503">
        <v>5120</v>
      </c>
      <c r="C143" s="1723"/>
      <c r="D143" s="1723"/>
      <c r="E143" s="1723"/>
      <c r="F143" s="1723"/>
      <c r="G143" s="1723"/>
      <c r="H143" s="1623"/>
      <c r="I143" s="1625"/>
      <c r="J143" s="1723"/>
      <c r="K143" s="1728">
        <f>SUM(H143)</f>
        <v>0</v>
      </c>
      <c r="L143" s="1623">
        <v>0</v>
      </c>
    </row>
    <row r="144" spans="1:14" ht="12.75" customHeight="1" x14ac:dyDescent="0.2">
      <c r="A144" s="1319" t="s">
        <v>1162</v>
      </c>
      <c r="B144" s="512" t="s">
        <v>613</v>
      </c>
      <c r="C144" s="1723"/>
      <c r="D144" s="1723"/>
      <c r="E144" s="1723"/>
      <c r="F144" s="1723"/>
      <c r="G144" s="1723"/>
      <c r="H144" s="1623"/>
      <c r="I144" s="1625"/>
      <c r="J144" s="1723"/>
      <c r="K144" s="1728">
        <f>SUM(H144)</f>
        <v>0</v>
      </c>
      <c r="L144" s="1623">
        <v>0</v>
      </c>
    </row>
    <row r="145" spans="1:14" x14ac:dyDescent="0.2">
      <c r="A145" s="1319" t="s">
        <v>89</v>
      </c>
      <c r="B145" s="503" t="s">
        <v>585</v>
      </c>
      <c r="C145" s="1723"/>
      <c r="D145" s="1723"/>
      <c r="E145" s="1723"/>
      <c r="F145" s="1723"/>
      <c r="G145" s="1723"/>
      <c r="H145" s="1623"/>
      <c r="I145" s="1625"/>
      <c r="J145" s="1723"/>
      <c r="K145" s="1728">
        <f>SUM(H145)</f>
        <v>0</v>
      </c>
      <c r="L145" s="1623">
        <v>0</v>
      </c>
    </row>
    <row r="146" spans="1:14" ht="12.75" customHeight="1" x14ac:dyDescent="0.2">
      <c r="A146" s="1319" t="s">
        <v>615</v>
      </c>
      <c r="B146" s="503" t="s">
        <v>614</v>
      </c>
      <c r="C146" s="1723"/>
      <c r="D146" s="1723"/>
      <c r="E146" s="1723"/>
      <c r="F146" s="1723"/>
      <c r="G146" s="1723"/>
      <c r="H146" s="1623"/>
      <c r="I146" s="1625"/>
      <c r="J146" s="1723"/>
      <c r="K146" s="1728">
        <f>SUM(H146)</f>
        <v>0</v>
      </c>
      <c r="L146" s="1623">
        <v>0</v>
      </c>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v>0</v>
      </c>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v>0</v>
      </c>
    </row>
    <row r="151" spans="1:14" ht="12.75" customHeight="1" thickTop="1" thickBot="1" x14ac:dyDescent="0.25">
      <c r="A151" s="2348" t="s">
        <v>616</v>
      </c>
      <c r="B151" s="2330"/>
      <c r="C151" s="1724">
        <f>SUM(C129,C130,C139,C149,C150)</f>
        <v>0</v>
      </c>
      <c r="D151" s="1724">
        <f t="shared" ref="D151:K151" si="16">SUM(D129,D130,D139,D149,D150)</f>
        <v>0</v>
      </c>
      <c r="E151" s="1724">
        <f t="shared" si="16"/>
        <v>0</v>
      </c>
      <c r="F151" s="1724">
        <f t="shared" si="16"/>
        <v>0</v>
      </c>
      <c r="G151" s="1724">
        <f t="shared" si="16"/>
        <v>0</v>
      </c>
      <c r="H151" s="1724">
        <f t="shared" si="16"/>
        <v>0</v>
      </c>
      <c r="I151" s="1724">
        <f t="shared" si="16"/>
        <v>0</v>
      </c>
      <c r="J151" s="1724">
        <f t="shared" si="16"/>
        <v>0</v>
      </c>
      <c r="K151" s="1724">
        <f t="shared" si="16"/>
        <v>0</v>
      </c>
      <c r="L151" s="1724">
        <f>SUM(L129,L130,L139,L149,L150)</f>
        <v>0</v>
      </c>
    </row>
    <row r="152" spans="1:14" ht="12.75" customHeight="1" thickTop="1" x14ac:dyDescent="0.2">
      <c r="A152" s="2351" t="s">
        <v>1170</v>
      </c>
      <c r="B152" s="2352"/>
      <c r="C152" s="1725"/>
      <c r="D152" s="1725"/>
      <c r="E152" s="1725"/>
      <c r="F152" s="1725"/>
      <c r="G152" s="1725"/>
      <c r="H152" s="1725"/>
      <c r="I152" s="1725"/>
      <c r="J152" s="1723"/>
      <c r="K152" s="1739">
        <f>'Revenues 9-14'!D268-'Expenditures 15-22'!K151</f>
        <v>0</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6" t="s">
        <v>617</v>
      </c>
      <c r="B154" s="2338"/>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v>0</v>
      </c>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v>0</v>
      </c>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v>0</v>
      </c>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v>0</v>
      </c>
    </row>
    <row r="164" spans="1:14" x14ac:dyDescent="0.2">
      <c r="A164" s="1319" t="s">
        <v>88</v>
      </c>
      <c r="B164" s="503">
        <v>5120</v>
      </c>
      <c r="C164" s="1723"/>
      <c r="D164" s="1723"/>
      <c r="E164" s="1723"/>
      <c r="F164" s="1723"/>
      <c r="G164" s="1723"/>
      <c r="H164" s="1623"/>
      <c r="I164" s="1723"/>
      <c r="J164" s="1723"/>
      <c r="K164" s="1722">
        <f>SUM(C164:J164)</f>
        <v>0</v>
      </c>
      <c r="L164" s="1623">
        <v>0</v>
      </c>
    </row>
    <row r="165" spans="1:14" ht="12.75" customHeight="1" x14ac:dyDescent="0.2">
      <c r="A165" s="1319" t="s">
        <v>1162</v>
      </c>
      <c r="B165" s="503" t="s">
        <v>613</v>
      </c>
      <c r="C165" s="1723"/>
      <c r="D165" s="1723"/>
      <c r="E165" s="1723"/>
      <c r="F165" s="1723"/>
      <c r="G165" s="1723"/>
      <c r="H165" s="1623"/>
      <c r="I165" s="1723"/>
      <c r="J165" s="1723"/>
      <c r="K165" s="1722">
        <f>SUM(C165:J165)</f>
        <v>0</v>
      </c>
      <c r="L165" s="1623">
        <v>0</v>
      </c>
    </row>
    <row r="166" spans="1:14" x14ac:dyDescent="0.2">
      <c r="A166" s="1319" t="s">
        <v>89</v>
      </c>
      <c r="B166" s="512" t="s">
        <v>585</v>
      </c>
      <c r="C166" s="1723"/>
      <c r="D166" s="1723"/>
      <c r="E166" s="1723"/>
      <c r="F166" s="1723"/>
      <c r="G166" s="1723"/>
      <c r="H166" s="1623"/>
      <c r="I166" s="1723"/>
      <c r="J166" s="1723"/>
      <c r="K166" s="1722">
        <f>SUM(C166:J166)</f>
        <v>0</v>
      </c>
      <c r="L166" s="1623">
        <v>0</v>
      </c>
    </row>
    <row r="167" spans="1:14" ht="12.75" customHeight="1" x14ac:dyDescent="0.2">
      <c r="A167" s="1319" t="s">
        <v>615</v>
      </c>
      <c r="B167" s="503" t="s">
        <v>614</v>
      </c>
      <c r="C167" s="1723"/>
      <c r="D167" s="1723"/>
      <c r="E167" s="1723"/>
      <c r="F167" s="1723"/>
      <c r="G167" s="1723"/>
      <c r="H167" s="1623"/>
      <c r="I167" s="1723"/>
      <c r="J167" s="1723"/>
      <c r="K167" s="1722">
        <f>SUM(C167:J167)</f>
        <v>0</v>
      </c>
      <c r="L167" s="1623">
        <v>0</v>
      </c>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c r="I169" s="1723"/>
      <c r="J169" s="1723"/>
      <c r="K169" s="1722">
        <f>SUM(C169:H169)</f>
        <v>0</v>
      </c>
      <c r="L169" s="1745">
        <v>0</v>
      </c>
    </row>
    <row r="170" spans="1:14" ht="33.75" customHeight="1" x14ac:dyDescent="0.2">
      <c r="A170" s="543" t="s">
        <v>1654</v>
      </c>
      <c r="B170" s="545" t="s">
        <v>31</v>
      </c>
      <c r="C170" s="1723"/>
      <c r="D170" s="1723"/>
      <c r="E170" s="1723"/>
      <c r="F170" s="1723"/>
      <c r="G170" s="1723"/>
      <c r="H170" s="1696"/>
      <c r="I170" s="1723"/>
      <c r="J170" s="1723"/>
      <c r="K170" s="1722">
        <f>SUM(C170:J170)</f>
        <v>0</v>
      </c>
      <c r="L170" s="1696">
        <v>0</v>
      </c>
    </row>
    <row r="171" spans="1:14" ht="15.75" customHeight="1" x14ac:dyDescent="0.2">
      <c r="A171" s="507" t="s">
        <v>761</v>
      </c>
      <c r="B171" s="546" t="s">
        <v>84</v>
      </c>
      <c r="C171" s="1723"/>
      <c r="D171" s="1723"/>
      <c r="E171" s="1623"/>
      <c r="F171" s="1723"/>
      <c r="G171" s="1723"/>
      <c r="H171" s="1696"/>
      <c r="I171" s="1632"/>
      <c r="J171" s="1723"/>
      <c r="K171" s="1722">
        <f>SUM(C171:J171)</f>
        <v>0</v>
      </c>
      <c r="L171" s="1696">
        <v>0</v>
      </c>
    </row>
    <row r="172" spans="1:14" ht="12.75" customHeight="1" thickBot="1" x14ac:dyDescent="0.25">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v>0</v>
      </c>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358" t="s">
        <v>989</v>
      </c>
      <c r="B175" s="2359"/>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v>0</v>
      </c>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c r="D182" s="1623"/>
      <c r="E182" s="1623"/>
      <c r="F182" s="1623"/>
      <c r="G182" s="1623"/>
      <c r="H182" s="1623"/>
      <c r="I182" s="1624"/>
      <c r="J182" s="1624"/>
      <c r="K182" s="1722">
        <f>SUM(C182:J182)</f>
        <v>0</v>
      </c>
      <c r="L182" s="1623">
        <v>0</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v>0</v>
      </c>
    </row>
    <row r="184" spans="1:14" ht="12.75" customHeight="1" thickTop="1" thickBot="1" x14ac:dyDescent="0.25">
      <c r="A184" s="1442" t="s">
        <v>806</v>
      </c>
      <c r="B184" s="1430" t="s">
        <v>565</v>
      </c>
      <c r="C184" s="1731">
        <f>SUM(C180,C182,C183)</f>
        <v>0</v>
      </c>
      <c r="D184" s="1731">
        <f t="shared" ref="D184:J184" si="17">SUM(D180,D182,D183)</f>
        <v>0</v>
      </c>
      <c r="E184" s="1731">
        <f t="shared" si="17"/>
        <v>0</v>
      </c>
      <c r="F184" s="1731">
        <f t="shared" si="17"/>
        <v>0</v>
      </c>
      <c r="G184" s="1731">
        <f t="shared" si="17"/>
        <v>0</v>
      </c>
      <c r="H184" s="1731">
        <f t="shared" si="17"/>
        <v>0</v>
      </c>
      <c r="I184" s="1731">
        <f t="shared" si="17"/>
        <v>0</v>
      </c>
      <c r="J184" s="1731">
        <f t="shared" si="17"/>
        <v>0</v>
      </c>
      <c r="K184" s="1731">
        <f>SUM(K180,K182,K183)</f>
        <v>0</v>
      </c>
      <c r="L184" s="1731">
        <f>SUM(L180, L182:L183)</f>
        <v>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v>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v>0</v>
      </c>
    </row>
    <row r="189" spans="1:14" x14ac:dyDescent="0.2">
      <c r="A189" s="1319" t="s">
        <v>301</v>
      </c>
      <c r="B189" s="503">
        <v>4120</v>
      </c>
      <c r="C189" s="1723"/>
      <c r="D189" s="1723"/>
      <c r="E189" s="1623"/>
      <c r="F189" s="1723"/>
      <c r="G189" s="1723"/>
      <c r="H189" s="1623"/>
      <c r="I189" s="1632"/>
      <c r="J189" s="1723"/>
      <c r="K189" s="1722">
        <f t="shared" si="18"/>
        <v>0</v>
      </c>
      <c r="L189" s="1623">
        <v>0</v>
      </c>
    </row>
    <row r="190" spans="1:14" x14ac:dyDescent="0.2">
      <c r="A190" s="1319" t="s">
        <v>302</v>
      </c>
      <c r="B190" s="512">
        <v>4130</v>
      </c>
      <c r="C190" s="1723"/>
      <c r="D190" s="1723"/>
      <c r="E190" s="1623"/>
      <c r="F190" s="1723"/>
      <c r="G190" s="1723"/>
      <c r="H190" s="1623"/>
      <c r="I190" s="1632"/>
      <c r="J190" s="1723"/>
      <c r="K190" s="1722">
        <f t="shared" si="18"/>
        <v>0</v>
      </c>
      <c r="L190" s="1623">
        <v>0</v>
      </c>
    </row>
    <row r="191" spans="1:14" x14ac:dyDescent="0.2">
      <c r="A191" s="1319" t="s">
        <v>692</v>
      </c>
      <c r="B191" s="503">
        <v>4140</v>
      </c>
      <c r="C191" s="1723"/>
      <c r="D191" s="1723"/>
      <c r="E191" s="1623"/>
      <c r="F191" s="1723"/>
      <c r="G191" s="1723"/>
      <c r="H191" s="1623"/>
      <c r="I191" s="1632"/>
      <c r="J191" s="1723"/>
      <c r="K191" s="1722">
        <f t="shared" si="18"/>
        <v>0</v>
      </c>
      <c r="L191" s="1623">
        <v>0</v>
      </c>
    </row>
    <row r="192" spans="1:14" x14ac:dyDescent="0.2">
      <c r="A192" s="1319" t="s">
        <v>86</v>
      </c>
      <c r="B192" s="503">
        <v>4170</v>
      </c>
      <c r="C192" s="1723"/>
      <c r="D192" s="1723"/>
      <c r="E192" s="1623"/>
      <c r="F192" s="1723"/>
      <c r="G192" s="1723"/>
      <c r="H192" s="1623"/>
      <c r="I192" s="1632"/>
      <c r="J192" s="1723"/>
      <c r="K192" s="1722">
        <f t="shared" si="18"/>
        <v>0</v>
      </c>
      <c r="L192" s="1623">
        <v>0</v>
      </c>
    </row>
    <row r="193" spans="1:14" x14ac:dyDescent="0.2">
      <c r="A193" s="1323" t="s">
        <v>693</v>
      </c>
      <c r="B193" s="512">
        <v>4190</v>
      </c>
      <c r="C193" s="1723"/>
      <c r="D193" s="1723"/>
      <c r="E193" s="1623"/>
      <c r="F193" s="1723"/>
      <c r="G193" s="1723"/>
      <c r="H193" s="1623"/>
      <c r="I193" s="1632"/>
      <c r="J193" s="1723"/>
      <c r="K193" s="1722">
        <f t="shared" si="18"/>
        <v>0</v>
      </c>
      <c r="L193" s="1623">
        <v>0</v>
      </c>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v>0</v>
      </c>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v>0</v>
      </c>
    </row>
    <row r="200" spans="1:14" x14ac:dyDescent="0.2">
      <c r="A200" s="1319" t="s">
        <v>88</v>
      </c>
      <c r="B200" s="503">
        <v>5120</v>
      </c>
      <c r="C200" s="1723"/>
      <c r="D200" s="1723"/>
      <c r="E200" s="1723"/>
      <c r="F200" s="1723"/>
      <c r="G200" s="1723"/>
      <c r="H200" s="1623"/>
      <c r="I200" s="1723"/>
      <c r="J200" s="1723"/>
      <c r="K200" s="1722">
        <f>SUM(H200)</f>
        <v>0</v>
      </c>
      <c r="L200" s="1623">
        <v>0</v>
      </c>
    </row>
    <row r="201" spans="1:14" ht="12.75" customHeight="1" x14ac:dyDescent="0.2">
      <c r="A201" s="1319" t="s">
        <v>1162</v>
      </c>
      <c r="B201" s="512" t="s">
        <v>613</v>
      </c>
      <c r="C201" s="1723"/>
      <c r="D201" s="1723"/>
      <c r="E201" s="1723"/>
      <c r="F201" s="1723"/>
      <c r="G201" s="1723"/>
      <c r="H201" s="1623"/>
      <c r="I201" s="1723"/>
      <c r="J201" s="1723"/>
      <c r="K201" s="1722">
        <f>SUM(H201)</f>
        <v>0</v>
      </c>
      <c r="L201" s="1623">
        <v>0</v>
      </c>
    </row>
    <row r="202" spans="1:14" x14ac:dyDescent="0.2">
      <c r="A202" s="1319" t="s">
        <v>89</v>
      </c>
      <c r="B202" s="503" t="s">
        <v>585</v>
      </c>
      <c r="C202" s="1723"/>
      <c r="D202" s="1723"/>
      <c r="E202" s="1723"/>
      <c r="F202" s="1723"/>
      <c r="G202" s="1723"/>
      <c r="H202" s="1623"/>
      <c r="I202" s="1723"/>
      <c r="J202" s="1723"/>
      <c r="K202" s="1722">
        <f>SUM(H202)</f>
        <v>0</v>
      </c>
      <c r="L202" s="1623">
        <v>0</v>
      </c>
    </row>
    <row r="203" spans="1:14" x14ac:dyDescent="0.2">
      <c r="A203" s="1331" t="s">
        <v>615</v>
      </c>
      <c r="B203" s="503" t="s">
        <v>614</v>
      </c>
      <c r="C203" s="1723"/>
      <c r="D203" s="1723"/>
      <c r="E203" s="1723"/>
      <c r="F203" s="1723"/>
      <c r="G203" s="1723"/>
      <c r="H203" s="1627"/>
      <c r="I203" s="1723"/>
      <c r="J203" s="1723"/>
      <c r="K203" s="1722">
        <f>SUM(H203)</f>
        <v>0</v>
      </c>
      <c r="L203" s="1627">
        <v>0</v>
      </c>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v>0</v>
      </c>
    </row>
    <row r="206" spans="1:14" ht="30" customHeight="1" x14ac:dyDescent="0.2">
      <c r="A206" s="555" t="s">
        <v>1655</v>
      </c>
      <c r="B206" s="546" t="s">
        <v>31</v>
      </c>
      <c r="C206" s="1723"/>
      <c r="D206" s="1723"/>
      <c r="E206" s="1723"/>
      <c r="F206" s="1723"/>
      <c r="G206" s="1723"/>
      <c r="H206" s="1623"/>
      <c r="I206" s="1723"/>
      <c r="J206" s="1723"/>
      <c r="K206" s="1722">
        <f>SUM(H206)</f>
        <v>0</v>
      </c>
      <c r="L206" s="1623">
        <v>0</v>
      </c>
    </row>
    <row r="207" spans="1:14" ht="15.75" customHeight="1" x14ac:dyDescent="0.2">
      <c r="A207" s="507" t="s">
        <v>761</v>
      </c>
      <c r="B207" s="546" t="s">
        <v>84</v>
      </c>
      <c r="C207" s="1723"/>
      <c r="D207" s="1723"/>
      <c r="E207" s="1723"/>
      <c r="F207" s="1723"/>
      <c r="G207" s="1723"/>
      <c r="H207" s="1624"/>
      <c r="I207" s="1723"/>
      <c r="J207" s="1723"/>
      <c r="K207" s="1722">
        <f>H207</f>
        <v>0</v>
      </c>
      <c r="L207" s="1623">
        <v>0</v>
      </c>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v>0</v>
      </c>
    </row>
    <row r="210" spans="1:14" ht="12.75" customHeight="1" thickTop="1" thickBot="1" x14ac:dyDescent="0.25">
      <c r="A210" s="1443" t="s">
        <v>275</v>
      </c>
      <c r="B210" s="1444"/>
      <c r="C210" s="1724">
        <f>SUM(C184,C185)</f>
        <v>0</v>
      </c>
      <c r="D210" s="1724">
        <f>SUM(D184,D185)</f>
        <v>0</v>
      </c>
      <c r="E210" s="1724">
        <f>SUM(E184,E185,E196)</f>
        <v>0</v>
      </c>
      <c r="F210" s="1724">
        <f>SUM(F184,F185)</f>
        <v>0</v>
      </c>
      <c r="G210" s="1724">
        <f>SUM(G184,G185)</f>
        <v>0</v>
      </c>
      <c r="H210" s="1724">
        <f>SUM(H184,H185,H196,H208,H209)</f>
        <v>0</v>
      </c>
      <c r="I210" s="1724">
        <f>SUM(I184,I185)</f>
        <v>0</v>
      </c>
      <c r="J210" s="1724">
        <f>SUM(J184,J185)</f>
        <v>0</v>
      </c>
      <c r="K210" s="1722">
        <f>SUM(K184,K185,K196,K208,K209)</f>
        <v>0</v>
      </c>
      <c r="L210" s="1724">
        <f>SUM(L184,L185,L196,L208,L209)</f>
        <v>0</v>
      </c>
    </row>
    <row r="211" spans="1:14" ht="13.5" thickTop="1" x14ac:dyDescent="0.2">
      <c r="A211" s="2358" t="s">
        <v>989</v>
      </c>
      <c r="B211" s="2359"/>
      <c r="C211" s="1725"/>
      <c r="D211" s="1725"/>
      <c r="E211" s="1725"/>
      <c r="F211" s="1725"/>
      <c r="G211" s="1725"/>
      <c r="H211" s="1725"/>
      <c r="I211" s="1723"/>
      <c r="J211" s="1723"/>
      <c r="K211" s="1739">
        <f>'Revenues 9-14'!F268-'Expenditures 15-22'!K210</f>
        <v>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3" t="s">
        <v>959</v>
      </c>
      <c r="B213" s="2354"/>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c r="E215" s="1723"/>
      <c r="F215" s="1723"/>
      <c r="G215" s="1723"/>
      <c r="H215" s="1723"/>
      <c r="I215" s="1723"/>
      <c r="J215" s="1723"/>
      <c r="K215" s="1722">
        <f>D215</f>
        <v>0</v>
      </c>
      <c r="L215" s="1623">
        <v>0</v>
      </c>
    </row>
    <row r="216" spans="1:14" x14ac:dyDescent="0.2">
      <c r="A216" s="1319" t="s">
        <v>162</v>
      </c>
      <c r="B216" s="503" t="s">
        <v>961</v>
      </c>
      <c r="C216" s="1723"/>
      <c r="D216" s="1624"/>
      <c r="E216" s="1723"/>
      <c r="F216" s="1723"/>
      <c r="G216" s="1723"/>
      <c r="H216" s="1723"/>
      <c r="I216" s="1723"/>
      <c r="J216" s="1723"/>
      <c r="K216" s="1722">
        <f t="shared" ref="K216:K228" si="19">D216</f>
        <v>0</v>
      </c>
      <c r="L216" s="1623">
        <v>0</v>
      </c>
    </row>
    <row r="217" spans="1:14" x14ac:dyDescent="0.2">
      <c r="A217" s="1319" t="s">
        <v>163</v>
      </c>
      <c r="B217" s="503">
        <v>1200</v>
      </c>
      <c r="C217" s="1723"/>
      <c r="D217" s="1623"/>
      <c r="E217" s="1723"/>
      <c r="F217" s="1723"/>
      <c r="G217" s="1723"/>
      <c r="H217" s="1723"/>
      <c r="I217" s="1723"/>
      <c r="J217" s="1723"/>
      <c r="K217" s="1722">
        <f t="shared" si="19"/>
        <v>0</v>
      </c>
      <c r="L217" s="1623">
        <v>0</v>
      </c>
    </row>
    <row r="218" spans="1:14" x14ac:dyDescent="0.2">
      <c r="A218" s="1319" t="s">
        <v>276</v>
      </c>
      <c r="B218" s="503" t="s">
        <v>962</v>
      </c>
      <c r="C218" s="1723"/>
      <c r="D218" s="1624"/>
      <c r="E218" s="1723"/>
      <c r="F218" s="1723"/>
      <c r="G218" s="1723"/>
      <c r="H218" s="1723"/>
      <c r="I218" s="1723"/>
      <c r="J218" s="1723"/>
      <c r="K218" s="1722">
        <f t="shared" si="19"/>
        <v>0</v>
      </c>
      <c r="L218" s="1623">
        <v>0</v>
      </c>
    </row>
    <row r="219" spans="1:14" x14ac:dyDescent="0.2">
      <c r="A219" s="1319" t="s">
        <v>277</v>
      </c>
      <c r="B219" s="503">
        <v>1250</v>
      </c>
      <c r="C219" s="1723"/>
      <c r="D219" s="1623"/>
      <c r="E219" s="1723"/>
      <c r="F219" s="1723"/>
      <c r="G219" s="1723"/>
      <c r="H219" s="1723"/>
      <c r="I219" s="1723"/>
      <c r="J219" s="1723"/>
      <c r="K219" s="1722">
        <f t="shared" si="19"/>
        <v>0</v>
      </c>
      <c r="L219" s="1623">
        <v>0</v>
      </c>
    </row>
    <row r="220" spans="1:14" x14ac:dyDescent="0.2">
      <c r="A220" s="1319" t="s">
        <v>278</v>
      </c>
      <c r="B220" s="503" t="s">
        <v>160</v>
      </c>
      <c r="C220" s="1723"/>
      <c r="D220" s="1624"/>
      <c r="E220" s="1723"/>
      <c r="F220" s="1723"/>
      <c r="G220" s="1723"/>
      <c r="H220" s="1723"/>
      <c r="I220" s="1723"/>
      <c r="J220" s="1723"/>
      <c r="K220" s="1722">
        <f t="shared" si="19"/>
        <v>0</v>
      </c>
      <c r="L220" s="1623">
        <v>0</v>
      </c>
    </row>
    <row r="221" spans="1:14" x14ac:dyDescent="0.2">
      <c r="A221" s="1319" t="s">
        <v>956</v>
      </c>
      <c r="B221" s="503">
        <v>1300</v>
      </c>
      <c r="C221" s="1723"/>
      <c r="D221" s="1623"/>
      <c r="E221" s="1723"/>
      <c r="F221" s="1723"/>
      <c r="G221" s="1723"/>
      <c r="H221" s="1723"/>
      <c r="I221" s="1723"/>
      <c r="J221" s="1723"/>
      <c r="K221" s="1722">
        <f t="shared" si="19"/>
        <v>0</v>
      </c>
      <c r="L221" s="1623">
        <v>0</v>
      </c>
    </row>
    <row r="222" spans="1:14" x14ac:dyDescent="0.2">
      <c r="A222" s="1319" t="s">
        <v>718</v>
      </c>
      <c r="B222" s="503">
        <v>1400</v>
      </c>
      <c r="C222" s="1723"/>
      <c r="D222" s="1623"/>
      <c r="E222" s="1723"/>
      <c r="F222" s="1723"/>
      <c r="G222" s="1723"/>
      <c r="H222" s="1723"/>
      <c r="I222" s="1723"/>
      <c r="J222" s="1723"/>
      <c r="K222" s="1722">
        <f t="shared" si="19"/>
        <v>0</v>
      </c>
      <c r="L222" s="1623">
        <v>0</v>
      </c>
    </row>
    <row r="223" spans="1:14" x14ac:dyDescent="0.2">
      <c r="A223" s="1319" t="s">
        <v>957</v>
      </c>
      <c r="B223" s="503">
        <v>1500</v>
      </c>
      <c r="C223" s="1723"/>
      <c r="D223" s="1623"/>
      <c r="E223" s="1723"/>
      <c r="F223" s="1723"/>
      <c r="G223" s="1723"/>
      <c r="H223" s="1723"/>
      <c r="I223" s="1723"/>
      <c r="J223" s="1723"/>
      <c r="K223" s="1722">
        <f t="shared" si="19"/>
        <v>0</v>
      </c>
      <c r="L223" s="1623">
        <v>0</v>
      </c>
    </row>
    <row r="224" spans="1:14" x14ac:dyDescent="0.2">
      <c r="A224" s="1319" t="s">
        <v>958</v>
      </c>
      <c r="B224" s="503">
        <v>1600</v>
      </c>
      <c r="C224" s="1723"/>
      <c r="D224" s="1623"/>
      <c r="E224" s="1723"/>
      <c r="F224" s="1723"/>
      <c r="G224" s="1723"/>
      <c r="H224" s="1723"/>
      <c r="I224" s="1723"/>
      <c r="J224" s="1723"/>
      <c r="K224" s="1722">
        <f t="shared" si="19"/>
        <v>0</v>
      </c>
      <c r="L224" s="1623">
        <v>0</v>
      </c>
    </row>
    <row r="225" spans="1:12" x14ac:dyDescent="0.2">
      <c r="A225" s="1319" t="s">
        <v>980</v>
      </c>
      <c r="B225" s="503">
        <v>1650</v>
      </c>
      <c r="C225" s="1723"/>
      <c r="D225" s="1623"/>
      <c r="E225" s="1723"/>
      <c r="F225" s="1723"/>
      <c r="G225" s="1723"/>
      <c r="H225" s="1723"/>
      <c r="I225" s="1723"/>
      <c r="J225" s="1723"/>
      <c r="K225" s="1722">
        <f t="shared" si="19"/>
        <v>0</v>
      </c>
      <c r="L225" s="1623">
        <v>0</v>
      </c>
    </row>
    <row r="226" spans="1:12" x14ac:dyDescent="0.2">
      <c r="A226" s="1319" t="s">
        <v>719</v>
      </c>
      <c r="B226" s="503" t="s">
        <v>161</v>
      </c>
      <c r="C226" s="1723"/>
      <c r="D226" s="1624"/>
      <c r="E226" s="1723"/>
      <c r="F226" s="1723"/>
      <c r="G226" s="1723"/>
      <c r="H226" s="1723"/>
      <c r="I226" s="1723"/>
      <c r="J226" s="1723"/>
      <c r="K226" s="1722">
        <f t="shared" si="19"/>
        <v>0</v>
      </c>
      <c r="L226" s="1623">
        <v>0</v>
      </c>
    </row>
    <row r="227" spans="1:12" x14ac:dyDescent="0.2">
      <c r="A227" s="1319" t="s">
        <v>1080</v>
      </c>
      <c r="B227" s="503">
        <v>1800</v>
      </c>
      <c r="C227" s="1723"/>
      <c r="D227" s="1623"/>
      <c r="E227" s="1723"/>
      <c r="F227" s="1723"/>
      <c r="G227" s="1723"/>
      <c r="H227" s="1723"/>
      <c r="I227" s="1723"/>
      <c r="J227" s="1723"/>
      <c r="K227" s="1722">
        <f t="shared" si="19"/>
        <v>0</v>
      </c>
      <c r="L227" s="1623">
        <v>0</v>
      </c>
    </row>
    <row r="228" spans="1:12" x14ac:dyDescent="0.2">
      <c r="A228" s="1319" t="s">
        <v>1081</v>
      </c>
      <c r="B228" s="503">
        <v>1900</v>
      </c>
      <c r="C228" s="1723"/>
      <c r="D228" s="1623"/>
      <c r="E228" s="1723"/>
      <c r="F228" s="1723"/>
      <c r="G228" s="1723"/>
      <c r="H228" s="1723"/>
      <c r="I228" s="1723"/>
      <c r="J228" s="1723"/>
      <c r="K228" s="1722">
        <f t="shared" si="19"/>
        <v>0</v>
      </c>
      <c r="L228" s="1623">
        <v>0</v>
      </c>
    </row>
    <row r="229" spans="1:12" ht="12.75" customHeight="1" thickBot="1" x14ac:dyDescent="0.25">
      <c r="A229" s="1429" t="s">
        <v>710</v>
      </c>
      <c r="B229" s="1432" t="s">
        <v>566</v>
      </c>
      <c r="C229" s="1723"/>
      <c r="D229" s="1724">
        <f>SUM(D215:D228)</f>
        <v>0</v>
      </c>
      <c r="E229" s="1723"/>
      <c r="F229" s="1723"/>
      <c r="G229" s="1723"/>
      <c r="H229" s="1723"/>
      <c r="I229" s="1723"/>
      <c r="J229" s="1723"/>
      <c r="K229" s="1724">
        <f>SUM(K215:K228)</f>
        <v>0</v>
      </c>
      <c r="L229" s="1724">
        <f>SUM(L215:L228)</f>
        <v>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v>0</v>
      </c>
    </row>
    <row r="233" spans="1:12" x14ac:dyDescent="0.2">
      <c r="A233" s="1319" t="s">
        <v>1083</v>
      </c>
      <c r="B233" s="503">
        <v>2120</v>
      </c>
      <c r="C233" s="1723"/>
      <c r="D233" s="1623"/>
      <c r="E233" s="1723"/>
      <c r="F233" s="1723"/>
      <c r="G233" s="1723"/>
      <c r="H233" s="1723"/>
      <c r="I233" s="1723"/>
      <c r="J233" s="1723"/>
      <c r="K233" s="1722">
        <f t="shared" si="20"/>
        <v>0</v>
      </c>
      <c r="L233" s="1623">
        <v>0</v>
      </c>
    </row>
    <row r="234" spans="1:12" x14ac:dyDescent="0.2">
      <c r="A234" s="1319" t="s">
        <v>196</v>
      </c>
      <c r="B234" s="503">
        <v>2130</v>
      </c>
      <c r="C234" s="1723"/>
      <c r="D234" s="1623"/>
      <c r="E234" s="1723"/>
      <c r="F234" s="1723"/>
      <c r="G234" s="1723"/>
      <c r="H234" s="1723"/>
      <c r="I234" s="1723"/>
      <c r="J234" s="1723"/>
      <c r="K234" s="1722">
        <f t="shared" si="20"/>
        <v>0</v>
      </c>
      <c r="L234" s="1623">
        <v>0</v>
      </c>
    </row>
    <row r="235" spans="1:12" x14ac:dyDescent="0.2">
      <c r="A235" s="1319" t="s">
        <v>197</v>
      </c>
      <c r="B235" s="503">
        <v>2140</v>
      </c>
      <c r="C235" s="1723"/>
      <c r="D235" s="1623"/>
      <c r="E235" s="1723"/>
      <c r="F235" s="1723"/>
      <c r="G235" s="1723"/>
      <c r="H235" s="1723"/>
      <c r="I235" s="1723"/>
      <c r="J235" s="1723"/>
      <c r="K235" s="1722">
        <f t="shared" si="20"/>
        <v>0</v>
      </c>
      <c r="L235" s="1623">
        <v>0</v>
      </c>
    </row>
    <row r="236" spans="1:12" x14ac:dyDescent="0.2">
      <c r="A236" s="1319" t="s">
        <v>198</v>
      </c>
      <c r="B236" s="503">
        <v>2150</v>
      </c>
      <c r="C236" s="1723"/>
      <c r="D236" s="1623"/>
      <c r="E236" s="1723"/>
      <c r="F236" s="1723"/>
      <c r="G236" s="1723"/>
      <c r="H236" s="1723"/>
      <c r="I236" s="1723"/>
      <c r="J236" s="1723"/>
      <c r="K236" s="1722">
        <f t="shared" si="20"/>
        <v>0</v>
      </c>
      <c r="L236" s="1623">
        <v>0</v>
      </c>
    </row>
    <row r="237" spans="1:12" x14ac:dyDescent="0.2">
      <c r="A237" s="1319" t="s">
        <v>164</v>
      </c>
      <c r="B237" s="503">
        <v>2190</v>
      </c>
      <c r="C237" s="1723"/>
      <c r="D237" s="1623"/>
      <c r="E237" s="1723"/>
      <c r="F237" s="1723"/>
      <c r="G237" s="1723"/>
      <c r="H237" s="1723"/>
      <c r="I237" s="1723"/>
      <c r="J237" s="1723"/>
      <c r="K237" s="1722">
        <f t="shared" si="20"/>
        <v>0</v>
      </c>
      <c r="L237" s="1623">
        <v>0</v>
      </c>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v>0</v>
      </c>
    </row>
    <row r="241" spans="1:12" x14ac:dyDescent="0.2">
      <c r="A241" s="1319" t="s">
        <v>810</v>
      </c>
      <c r="B241" s="503">
        <v>2220</v>
      </c>
      <c r="C241" s="1723"/>
      <c r="D241" s="1623"/>
      <c r="E241" s="1723"/>
      <c r="F241" s="1723"/>
      <c r="G241" s="1723"/>
      <c r="H241" s="1723"/>
      <c r="I241" s="1723"/>
      <c r="J241" s="1723"/>
      <c r="K241" s="1728">
        <f>D241</f>
        <v>0</v>
      </c>
      <c r="L241" s="1623">
        <v>0</v>
      </c>
    </row>
    <row r="242" spans="1:12" x14ac:dyDescent="0.2">
      <c r="A242" s="1319" t="s">
        <v>811</v>
      </c>
      <c r="B242" s="503">
        <v>2230</v>
      </c>
      <c r="C242" s="1723"/>
      <c r="D242" s="1623"/>
      <c r="E242" s="1723"/>
      <c r="F242" s="1723"/>
      <c r="G242" s="1723"/>
      <c r="H242" s="1723"/>
      <c r="I242" s="1723"/>
      <c r="J242" s="1723"/>
      <c r="K242" s="1728">
        <f>D242</f>
        <v>0</v>
      </c>
      <c r="L242" s="1623">
        <v>0</v>
      </c>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v>0</v>
      </c>
    </row>
    <row r="246" spans="1:12" x14ac:dyDescent="0.2">
      <c r="A246" s="1319" t="s">
        <v>813</v>
      </c>
      <c r="B246" s="503">
        <v>2320</v>
      </c>
      <c r="C246" s="1723"/>
      <c r="D246" s="1623"/>
      <c r="E246" s="1723"/>
      <c r="F246" s="1723"/>
      <c r="G246" s="1723"/>
      <c r="H246" s="1723"/>
      <c r="I246" s="1723"/>
      <c r="J246" s="1723"/>
      <c r="K246" s="1728">
        <f t="shared" ref="K246:K256" si="21">D246</f>
        <v>0</v>
      </c>
      <c r="L246" s="1623">
        <v>0</v>
      </c>
    </row>
    <row r="247" spans="1:12" x14ac:dyDescent="0.2">
      <c r="A247" s="1319" t="s">
        <v>814</v>
      </c>
      <c r="B247" s="503">
        <v>2330</v>
      </c>
      <c r="C247" s="1723"/>
      <c r="D247" s="1623"/>
      <c r="E247" s="1723"/>
      <c r="F247" s="1723"/>
      <c r="G247" s="1723"/>
      <c r="H247" s="1723"/>
      <c r="I247" s="1723"/>
      <c r="J247" s="1723"/>
      <c r="K247" s="1728">
        <f t="shared" si="21"/>
        <v>0</v>
      </c>
      <c r="L247" s="1623">
        <v>0</v>
      </c>
    </row>
    <row r="248" spans="1:12" x14ac:dyDescent="0.2">
      <c r="A248" s="1320" t="s">
        <v>296</v>
      </c>
      <c r="B248" s="494" t="s">
        <v>279</v>
      </c>
      <c r="C248" s="1723"/>
      <c r="D248" s="1629"/>
      <c r="E248" s="1723"/>
      <c r="F248" s="1723"/>
      <c r="G248" s="1723"/>
      <c r="H248" s="1723"/>
      <c r="I248" s="1723"/>
      <c r="J248" s="1723"/>
      <c r="K248" s="1728">
        <f t="shared" si="21"/>
        <v>0</v>
      </c>
      <c r="L248" s="1623">
        <v>0</v>
      </c>
    </row>
    <row r="249" spans="1:12" x14ac:dyDescent="0.2">
      <c r="A249" s="1321" t="s">
        <v>1785</v>
      </c>
      <c r="B249" s="557" t="s">
        <v>280</v>
      </c>
      <c r="C249" s="1723"/>
      <c r="D249" s="1629"/>
      <c r="E249" s="1723"/>
      <c r="F249" s="1723"/>
      <c r="G249" s="1723"/>
      <c r="H249" s="1723"/>
      <c r="I249" s="1723"/>
      <c r="J249" s="1723"/>
      <c r="K249" s="1728">
        <f t="shared" si="21"/>
        <v>0</v>
      </c>
      <c r="L249" s="1623">
        <v>0</v>
      </c>
    </row>
    <row r="250" spans="1:12" x14ac:dyDescent="0.2">
      <c r="A250" s="1320" t="s">
        <v>1786</v>
      </c>
      <c r="B250" s="494" t="s">
        <v>281</v>
      </c>
      <c r="C250" s="1723"/>
      <c r="D250" s="1629"/>
      <c r="E250" s="1723"/>
      <c r="F250" s="1723"/>
      <c r="G250" s="1723"/>
      <c r="H250" s="1723"/>
      <c r="I250" s="1723"/>
      <c r="J250" s="1723"/>
      <c r="K250" s="1728">
        <f t="shared" si="21"/>
        <v>0</v>
      </c>
      <c r="L250" s="1623">
        <v>0</v>
      </c>
    </row>
    <row r="251" spans="1:12" x14ac:dyDescent="0.2">
      <c r="A251" s="1320" t="s">
        <v>236</v>
      </c>
      <c r="B251" s="494" t="s">
        <v>282</v>
      </c>
      <c r="C251" s="1723"/>
      <c r="D251" s="1629"/>
      <c r="E251" s="1723"/>
      <c r="F251" s="1723"/>
      <c r="G251" s="1723"/>
      <c r="H251" s="1723"/>
      <c r="I251" s="1723"/>
      <c r="J251" s="1723"/>
      <c r="K251" s="1728">
        <f t="shared" si="21"/>
        <v>0</v>
      </c>
      <c r="L251" s="1623">
        <v>0</v>
      </c>
    </row>
    <row r="252" spans="1:12" x14ac:dyDescent="0.2">
      <c r="A252" s="1320" t="s">
        <v>697</v>
      </c>
      <c r="B252" s="494" t="s">
        <v>283</v>
      </c>
      <c r="C252" s="1723"/>
      <c r="D252" s="1629"/>
      <c r="E252" s="1723"/>
      <c r="F252" s="1723"/>
      <c r="G252" s="1723"/>
      <c r="H252" s="1723"/>
      <c r="I252" s="1723"/>
      <c r="J252" s="1723"/>
      <c r="K252" s="1728">
        <f t="shared" si="21"/>
        <v>0</v>
      </c>
      <c r="L252" s="1623">
        <v>0</v>
      </c>
    </row>
    <row r="253" spans="1:12" x14ac:dyDescent="0.2">
      <c r="A253" s="1320" t="s">
        <v>237</v>
      </c>
      <c r="B253" s="494" t="s">
        <v>284</v>
      </c>
      <c r="C253" s="1723"/>
      <c r="D253" s="1629"/>
      <c r="E253" s="1723"/>
      <c r="F253" s="1723"/>
      <c r="G253" s="1723"/>
      <c r="H253" s="1723"/>
      <c r="I253" s="1723"/>
      <c r="J253" s="1723"/>
      <c r="K253" s="1728">
        <f t="shared" si="21"/>
        <v>0</v>
      </c>
      <c r="L253" s="1623">
        <v>0</v>
      </c>
    </row>
    <row r="254" spans="1:12" ht="22.5" x14ac:dyDescent="0.2">
      <c r="A254" s="1320" t="s">
        <v>1022</v>
      </c>
      <c r="B254" s="557" t="s">
        <v>285</v>
      </c>
      <c r="C254" s="1723"/>
      <c r="D254" s="1629"/>
      <c r="E254" s="1723"/>
      <c r="F254" s="1723"/>
      <c r="G254" s="1723"/>
      <c r="H254" s="1723"/>
      <c r="I254" s="1723"/>
      <c r="J254" s="1723"/>
      <c r="K254" s="1728">
        <f t="shared" si="21"/>
        <v>0</v>
      </c>
      <c r="L254" s="1623">
        <v>0</v>
      </c>
    </row>
    <row r="255" spans="1:12" x14ac:dyDescent="0.2">
      <c r="A255" s="1320" t="s">
        <v>1023</v>
      </c>
      <c r="B255" s="494" t="s">
        <v>286</v>
      </c>
      <c r="C255" s="1723"/>
      <c r="D255" s="1629"/>
      <c r="E255" s="1723"/>
      <c r="F255" s="1723"/>
      <c r="G255" s="1723"/>
      <c r="H255" s="1723"/>
      <c r="I255" s="1723"/>
      <c r="J255" s="1723"/>
      <c r="K255" s="1728">
        <f t="shared" si="21"/>
        <v>0</v>
      </c>
      <c r="L255" s="1623">
        <v>0</v>
      </c>
    </row>
    <row r="256" spans="1:12" x14ac:dyDescent="0.2">
      <c r="A256" s="1320" t="s">
        <v>965</v>
      </c>
      <c r="B256" s="503" t="s">
        <v>287</v>
      </c>
      <c r="C256" s="1723"/>
      <c r="D256" s="1629"/>
      <c r="E256" s="1723"/>
      <c r="F256" s="1723"/>
      <c r="G256" s="1723"/>
      <c r="H256" s="1723"/>
      <c r="I256" s="1723"/>
      <c r="J256" s="1723"/>
      <c r="K256" s="1728">
        <f t="shared" si="21"/>
        <v>0</v>
      </c>
      <c r="L256" s="1623">
        <v>0</v>
      </c>
    </row>
    <row r="257" spans="1:14" ht="12.75" customHeight="1" thickBot="1" x14ac:dyDescent="0.25">
      <c r="A257" s="1429" t="s">
        <v>712</v>
      </c>
      <c r="B257" s="1447">
        <v>2300</v>
      </c>
      <c r="C257" s="1723"/>
      <c r="D257" s="1724">
        <f>SUM(D245:D256)</f>
        <v>0</v>
      </c>
      <c r="E257" s="1723"/>
      <c r="F257" s="1723"/>
      <c r="G257" s="1723"/>
      <c r="H257" s="1723"/>
      <c r="I257" s="1723"/>
      <c r="J257" s="1723"/>
      <c r="K257" s="1724">
        <f>SUM(K245:K256)</f>
        <v>0</v>
      </c>
      <c r="L257" s="1724">
        <f>SUM(L245:L256)</f>
        <v>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c r="E259" s="1723"/>
      <c r="F259" s="1723"/>
      <c r="G259" s="1723"/>
      <c r="H259" s="1723"/>
      <c r="I259" s="1723"/>
      <c r="J259" s="1723"/>
      <c r="K259" s="1728">
        <f>D259</f>
        <v>0</v>
      </c>
      <c r="L259" s="1636">
        <v>0</v>
      </c>
    </row>
    <row r="260" spans="1:14" s="493" customFormat="1" x14ac:dyDescent="0.2">
      <c r="A260" s="1337" t="s">
        <v>1784</v>
      </c>
      <c r="B260" s="512">
        <v>2490</v>
      </c>
      <c r="C260" s="1723"/>
      <c r="D260" s="1623"/>
      <c r="E260" s="1723"/>
      <c r="F260" s="1723"/>
      <c r="G260" s="1723"/>
      <c r="H260" s="1723"/>
      <c r="I260" s="1723"/>
      <c r="J260" s="1723"/>
      <c r="K260" s="1728">
        <f>D260</f>
        <v>0</v>
      </c>
      <c r="L260" s="1623">
        <v>0</v>
      </c>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v>0</v>
      </c>
    </row>
    <row r="264" spans="1:14" x14ac:dyDescent="0.2">
      <c r="A264" s="1319" t="s">
        <v>460</v>
      </c>
      <c r="B264" s="559">
        <v>2520</v>
      </c>
      <c r="C264" s="1723"/>
      <c r="D264" s="1623"/>
      <c r="E264" s="1723"/>
      <c r="F264" s="1723"/>
      <c r="G264" s="1723"/>
      <c r="H264" s="1723"/>
      <c r="I264" s="1723"/>
      <c r="J264" s="1723"/>
      <c r="K264" s="1728">
        <f t="shared" ref="K264:K269" si="22">D264</f>
        <v>0</v>
      </c>
      <c r="L264" s="1623">
        <v>0</v>
      </c>
    </row>
    <row r="265" spans="1:14" x14ac:dyDescent="0.2">
      <c r="A265" s="1319" t="s">
        <v>4</v>
      </c>
      <c r="B265" s="503">
        <v>2530</v>
      </c>
      <c r="C265" s="1723"/>
      <c r="D265" s="1623"/>
      <c r="E265" s="1723"/>
      <c r="F265" s="1723"/>
      <c r="G265" s="1723"/>
      <c r="H265" s="1723"/>
      <c r="I265" s="1723"/>
      <c r="J265" s="1723"/>
      <c r="K265" s="1728">
        <f t="shared" si="22"/>
        <v>0</v>
      </c>
      <c r="L265" s="1623">
        <v>0</v>
      </c>
    </row>
    <row r="266" spans="1:14" x14ac:dyDescent="0.2">
      <c r="A266" s="1319" t="s">
        <v>195</v>
      </c>
      <c r="B266" s="503">
        <v>2540</v>
      </c>
      <c r="C266" s="1723"/>
      <c r="D266" s="1623"/>
      <c r="E266" s="1723"/>
      <c r="F266" s="1723"/>
      <c r="G266" s="1723"/>
      <c r="H266" s="1723"/>
      <c r="I266" s="1723"/>
      <c r="J266" s="1723"/>
      <c r="K266" s="1728">
        <f t="shared" si="22"/>
        <v>0</v>
      </c>
      <c r="L266" s="1623">
        <v>0</v>
      </c>
    </row>
    <row r="267" spans="1:14" x14ac:dyDescent="0.2">
      <c r="A267" s="1319" t="s">
        <v>947</v>
      </c>
      <c r="B267" s="503">
        <v>2550</v>
      </c>
      <c r="C267" s="1723"/>
      <c r="D267" s="1623"/>
      <c r="E267" s="1723"/>
      <c r="F267" s="1723"/>
      <c r="G267" s="1723"/>
      <c r="H267" s="1723"/>
      <c r="I267" s="1723"/>
      <c r="J267" s="1723"/>
      <c r="K267" s="1728">
        <f t="shared" si="22"/>
        <v>0</v>
      </c>
      <c r="L267" s="1623">
        <v>0</v>
      </c>
    </row>
    <row r="268" spans="1:14" x14ac:dyDescent="0.2">
      <c r="A268" s="1319" t="s">
        <v>100</v>
      </c>
      <c r="B268" s="503">
        <v>2560</v>
      </c>
      <c r="C268" s="1723"/>
      <c r="D268" s="1623"/>
      <c r="E268" s="1723"/>
      <c r="F268" s="1723"/>
      <c r="G268" s="1723"/>
      <c r="H268" s="1723"/>
      <c r="I268" s="1723"/>
      <c r="J268" s="1723"/>
      <c r="K268" s="1728">
        <f t="shared" si="22"/>
        <v>0</v>
      </c>
      <c r="L268" s="1623">
        <v>0</v>
      </c>
    </row>
    <row r="269" spans="1:14" x14ac:dyDescent="0.2">
      <c r="A269" s="1319" t="s">
        <v>101</v>
      </c>
      <c r="B269" s="503">
        <v>2570</v>
      </c>
      <c r="C269" s="1723"/>
      <c r="D269" s="1623"/>
      <c r="E269" s="1723"/>
      <c r="F269" s="1723"/>
      <c r="G269" s="1723"/>
      <c r="H269" s="1723"/>
      <c r="I269" s="1723"/>
      <c r="J269" s="1723"/>
      <c r="K269" s="1728">
        <f t="shared" si="22"/>
        <v>0</v>
      </c>
      <c r="L269" s="1623">
        <v>0</v>
      </c>
    </row>
    <row r="270" spans="1:14" ht="12.75" customHeight="1" thickBot="1" x14ac:dyDescent="0.25">
      <c r="A270" s="1429" t="s">
        <v>714</v>
      </c>
      <c r="B270" s="1432" t="s">
        <v>35</v>
      </c>
      <c r="C270" s="1723"/>
      <c r="D270" s="1724">
        <f>SUM(D263:D269)</f>
        <v>0</v>
      </c>
      <c r="E270" s="1723"/>
      <c r="F270" s="1723"/>
      <c r="G270" s="1723"/>
      <c r="H270" s="1723"/>
      <c r="I270" s="1723"/>
      <c r="J270" s="1723"/>
      <c r="K270" s="1724">
        <f>SUM(K263:K269)</f>
        <v>0</v>
      </c>
      <c r="L270" s="1724">
        <f>SUM(L263:L269)</f>
        <v>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v>0</v>
      </c>
    </row>
    <row r="273" spans="1:12" x14ac:dyDescent="0.2">
      <c r="A273" s="1319" t="s">
        <v>603</v>
      </c>
      <c r="B273" s="512">
        <v>2620</v>
      </c>
      <c r="C273" s="1723"/>
      <c r="D273" s="1623"/>
      <c r="E273" s="1723"/>
      <c r="F273" s="1723"/>
      <c r="G273" s="1723"/>
      <c r="H273" s="1723"/>
      <c r="I273" s="1723"/>
      <c r="J273" s="1723"/>
      <c r="K273" s="1728">
        <f>D273</f>
        <v>0</v>
      </c>
      <c r="L273" s="1623">
        <v>0</v>
      </c>
    </row>
    <row r="274" spans="1:12" ht="12" customHeight="1" x14ac:dyDescent="0.2">
      <c r="A274" s="1319" t="s">
        <v>1054</v>
      </c>
      <c r="B274" s="503">
        <v>2630</v>
      </c>
      <c r="C274" s="1723"/>
      <c r="D274" s="1623"/>
      <c r="E274" s="1723"/>
      <c r="F274" s="1723"/>
      <c r="G274" s="1723"/>
      <c r="H274" s="1723"/>
      <c r="I274" s="1723"/>
      <c r="J274" s="1723"/>
      <c r="K274" s="1728">
        <f>D274</f>
        <v>0</v>
      </c>
      <c r="L274" s="1623">
        <v>0</v>
      </c>
    </row>
    <row r="275" spans="1:12" x14ac:dyDescent="0.2">
      <c r="A275" s="1319" t="s">
        <v>400</v>
      </c>
      <c r="B275" s="503">
        <v>2640</v>
      </c>
      <c r="C275" s="1723"/>
      <c r="D275" s="1623"/>
      <c r="E275" s="1723"/>
      <c r="F275" s="1723"/>
      <c r="G275" s="1723"/>
      <c r="H275" s="1723"/>
      <c r="I275" s="1723"/>
      <c r="J275" s="1723"/>
      <c r="K275" s="1728">
        <f>D275</f>
        <v>0</v>
      </c>
      <c r="L275" s="1623">
        <v>0</v>
      </c>
    </row>
    <row r="276" spans="1:12" x14ac:dyDescent="0.2">
      <c r="A276" s="1319" t="s">
        <v>401</v>
      </c>
      <c r="B276" s="503">
        <v>2660</v>
      </c>
      <c r="C276" s="1723"/>
      <c r="D276" s="1623"/>
      <c r="E276" s="1723"/>
      <c r="F276" s="1723"/>
      <c r="G276" s="1723"/>
      <c r="H276" s="1723"/>
      <c r="I276" s="1723"/>
      <c r="J276" s="1723"/>
      <c r="K276" s="1728">
        <f>D276</f>
        <v>0</v>
      </c>
      <c r="L276" s="1623">
        <v>0</v>
      </c>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v>0</v>
      </c>
    </row>
    <row r="279" spans="1:12" ht="12.75" customHeight="1" thickBot="1" x14ac:dyDescent="0.25">
      <c r="A279" s="1449" t="s">
        <v>806</v>
      </c>
      <c r="B279" s="1436">
        <v>2000</v>
      </c>
      <c r="C279" s="1723"/>
      <c r="D279" s="1731">
        <f>SUM(D238,D243,D257,D261,D270,D277,D278)</f>
        <v>0</v>
      </c>
      <c r="E279" s="1723"/>
      <c r="F279" s="1723"/>
      <c r="G279" s="1723"/>
      <c r="H279" s="1723"/>
      <c r="I279" s="1723"/>
      <c r="J279" s="1723"/>
      <c r="K279" s="1731">
        <f>SUM(K238,K243,K257,K261,K270,K277,K278)</f>
        <v>0</v>
      </c>
      <c r="L279" s="1731">
        <f>SUM(L238,L243,L257,L261,L270,L277,L278)</f>
        <v>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v>0</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v>0</v>
      </c>
    </row>
    <row r="283" spans="1:12" x14ac:dyDescent="0.2">
      <c r="A283" s="1319" t="s">
        <v>301</v>
      </c>
      <c r="B283" s="503">
        <v>4120</v>
      </c>
      <c r="C283" s="1723"/>
      <c r="D283" s="1623"/>
      <c r="E283" s="1723"/>
      <c r="F283" s="1723"/>
      <c r="G283" s="1723"/>
      <c r="H283" s="1723"/>
      <c r="I283" s="1723"/>
      <c r="J283" s="1723"/>
      <c r="K283" s="1722">
        <f>D283</f>
        <v>0</v>
      </c>
      <c r="L283" s="1623">
        <v>0</v>
      </c>
    </row>
    <row r="284" spans="1:12" x14ac:dyDescent="0.2">
      <c r="A284" s="1319" t="s">
        <v>692</v>
      </c>
      <c r="B284" s="503">
        <v>4140</v>
      </c>
      <c r="C284" s="1723"/>
      <c r="D284" s="1624"/>
      <c r="E284" s="1723"/>
      <c r="F284" s="1723"/>
      <c r="G284" s="1723"/>
      <c r="H284" s="1723"/>
      <c r="I284" s="1723"/>
      <c r="J284" s="1723"/>
      <c r="K284" s="1722">
        <f>D284</f>
        <v>0</v>
      </c>
      <c r="L284" s="1623">
        <v>0</v>
      </c>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v>0</v>
      </c>
    </row>
    <row r="289" spans="1:14" x14ac:dyDescent="0.2">
      <c r="A289" s="1319" t="s">
        <v>88</v>
      </c>
      <c r="B289" s="503">
        <v>5120</v>
      </c>
      <c r="C289" s="1723"/>
      <c r="D289" s="1723"/>
      <c r="E289" s="1723"/>
      <c r="F289" s="1723"/>
      <c r="G289" s="1723"/>
      <c r="H289" s="1623"/>
      <c r="I289" s="1723"/>
      <c r="J289" s="1723"/>
      <c r="K289" s="1722">
        <f>H289</f>
        <v>0</v>
      </c>
      <c r="L289" s="1623">
        <v>0</v>
      </c>
    </row>
    <row r="290" spans="1:14" ht="12.75" customHeight="1" x14ac:dyDescent="0.2">
      <c r="A290" s="1319" t="s">
        <v>1162</v>
      </c>
      <c r="B290" s="512" t="s">
        <v>613</v>
      </c>
      <c r="C290" s="1723"/>
      <c r="D290" s="1723"/>
      <c r="E290" s="1723"/>
      <c r="F290" s="1723"/>
      <c r="G290" s="1723"/>
      <c r="H290" s="1623"/>
      <c r="I290" s="1723"/>
      <c r="J290" s="1723"/>
      <c r="K290" s="1722">
        <f>H290</f>
        <v>0</v>
      </c>
      <c r="L290" s="1623">
        <v>0</v>
      </c>
    </row>
    <row r="291" spans="1:14" x14ac:dyDescent="0.2">
      <c r="A291" s="1319" t="s">
        <v>89</v>
      </c>
      <c r="B291" s="503" t="s">
        <v>585</v>
      </c>
      <c r="C291" s="1723"/>
      <c r="D291" s="1723"/>
      <c r="E291" s="1723"/>
      <c r="F291" s="1723"/>
      <c r="G291" s="1723"/>
      <c r="H291" s="1623"/>
      <c r="I291" s="1723"/>
      <c r="J291" s="1723"/>
      <c r="K291" s="1722">
        <f>H291</f>
        <v>0</v>
      </c>
      <c r="L291" s="1623">
        <v>0</v>
      </c>
    </row>
    <row r="292" spans="1:14" x14ac:dyDescent="0.2">
      <c r="A292" s="1319" t="s">
        <v>757</v>
      </c>
      <c r="B292" s="503" t="s">
        <v>614</v>
      </c>
      <c r="C292" s="1723"/>
      <c r="D292" s="1723"/>
      <c r="E292" s="1723"/>
      <c r="F292" s="1723"/>
      <c r="G292" s="1723"/>
      <c r="H292" s="1623"/>
      <c r="I292" s="1723"/>
      <c r="J292" s="1723"/>
      <c r="K292" s="1722">
        <f>H292</f>
        <v>0</v>
      </c>
      <c r="L292" s="1623">
        <v>0</v>
      </c>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v>0</v>
      </c>
    </row>
    <row r="295" spans="1:14" ht="12.75" customHeight="1" thickTop="1" thickBot="1" x14ac:dyDescent="0.25">
      <c r="A295" s="2349" t="s">
        <v>502</v>
      </c>
      <c r="B295" s="2350"/>
      <c r="C295" s="1723"/>
      <c r="D295" s="1724">
        <f>SUM(D229,D279,D280,D285)</f>
        <v>0</v>
      </c>
      <c r="E295" s="1723"/>
      <c r="F295" s="1723"/>
      <c r="G295" s="1723"/>
      <c r="H295" s="1724">
        <f>H293</f>
        <v>0</v>
      </c>
      <c r="I295" s="1723"/>
      <c r="J295" s="1723"/>
      <c r="K295" s="1724">
        <f>SUM(K229,K279,K280,K285,K293,K294)</f>
        <v>0</v>
      </c>
      <c r="L295" s="1724">
        <f>SUM(L229,L279,L280,L285,L293,L294)</f>
        <v>0</v>
      </c>
    </row>
    <row r="296" spans="1:14" ht="13.5" thickTop="1" x14ac:dyDescent="0.2">
      <c r="A296" s="2358" t="s">
        <v>989</v>
      </c>
      <c r="B296" s="2359"/>
      <c r="C296" s="1723"/>
      <c r="D296" s="1725"/>
      <c r="E296" s="1723"/>
      <c r="F296" s="1723"/>
      <c r="G296" s="1723"/>
      <c r="H296" s="1757"/>
      <c r="I296" s="1723"/>
      <c r="J296" s="1723"/>
      <c r="K296" s="1739">
        <f>'Revenues 9-14'!G268-'Expenditures 15-22'!K295</f>
        <v>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1" t="s">
        <v>142</v>
      </c>
      <c r="B298" s="2335"/>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v>0</v>
      </c>
    </row>
    <row r="302" spans="1:14" ht="13.5" customHeight="1" x14ac:dyDescent="0.2">
      <c r="A302" s="1332" t="s">
        <v>973</v>
      </c>
      <c r="B302" s="503" t="s">
        <v>570</v>
      </c>
      <c r="C302" s="1623"/>
      <c r="D302" s="1623"/>
      <c r="E302" s="1623"/>
      <c r="F302" s="1623"/>
      <c r="G302" s="1623"/>
      <c r="H302" s="1623"/>
      <c r="I302" s="1624"/>
      <c r="J302" s="1624"/>
      <c r="K302" s="1722">
        <f>SUM(C302:J302)</f>
        <v>0</v>
      </c>
      <c r="L302" s="1623">
        <v>0</v>
      </c>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v>0</v>
      </c>
    </row>
    <row r="307" spans="1:14" x14ac:dyDescent="0.2">
      <c r="A307" s="1319" t="s">
        <v>301</v>
      </c>
      <c r="B307" s="503">
        <v>4120</v>
      </c>
      <c r="C307" s="1723"/>
      <c r="D307" s="1723"/>
      <c r="E307" s="1624"/>
      <c r="F307" s="1723"/>
      <c r="G307" s="1723"/>
      <c r="H307" s="1624"/>
      <c r="I307" s="1632"/>
      <c r="J307" s="1723"/>
      <c r="K307" s="1722">
        <f>SUM(E307,H307)</f>
        <v>0</v>
      </c>
      <c r="L307" s="1623">
        <v>0</v>
      </c>
    </row>
    <row r="308" spans="1:14" x14ac:dyDescent="0.2">
      <c r="A308" s="1319" t="s">
        <v>692</v>
      </c>
      <c r="B308" s="503">
        <v>4140</v>
      </c>
      <c r="C308" s="1723"/>
      <c r="D308" s="1723"/>
      <c r="E308" s="1624"/>
      <c r="F308" s="1723"/>
      <c r="G308" s="1723"/>
      <c r="H308" s="1624"/>
      <c r="I308" s="1632"/>
      <c r="J308" s="1723"/>
      <c r="K308" s="1722">
        <f>SUM(E308,H308)</f>
        <v>0</v>
      </c>
      <c r="L308" s="1623">
        <v>0</v>
      </c>
    </row>
    <row r="309" spans="1:14" ht="12.75" customHeight="1" x14ac:dyDescent="0.2">
      <c r="A309" s="1323" t="s">
        <v>693</v>
      </c>
      <c r="B309" s="512">
        <v>4190</v>
      </c>
      <c r="C309" s="1723"/>
      <c r="D309" s="1723"/>
      <c r="E309" s="1624"/>
      <c r="F309" s="1723"/>
      <c r="G309" s="1723"/>
      <c r="H309" s="1624"/>
      <c r="I309" s="1632"/>
      <c r="J309" s="1723"/>
      <c r="K309" s="1722">
        <f>SUM(E309,H309)</f>
        <v>0</v>
      </c>
      <c r="L309" s="1623">
        <v>0</v>
      </c>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v>0</v>
      </c>
    </row>
    <row r="312" spans="1:14" s="548" customFormat="1" ht="12.75" customHeight="1" thickTop="1" thickBot="1" x14ac:dyDescent="0.25">
      <c r="A312" s="2346" t="s">
        <v>275</v>
      </c>
      <c r="B312" s="2347"/>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2" t="s">
        <v>989</v>
      </c>
      <c r="B313" s="2343"/>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5" t="s">
        <v>148</v>
      </c>
      <c r="B315" s="2356"/>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7" t="s">
        <v>892</v>
      </c>
      <c r="B317" s="2356"/>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v>0</v>
      </c>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v>0</v>
      </c>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v>0</v>
      </c>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v>0</v>
      </c>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v>0</v>
      </c>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v>0</v>
      </c>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v>0</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v>0</v>
      </c>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v>0</v>
      </c>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v>0</v>
      </c>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v>0</v>
      </c>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v>0</v>
      </c>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v>0</v>
      </c>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v>0</v>
      </c>
    </row>
    <row r="338" spans="1:14" ht="12.75" customHeight="1" x14ac:dyDescent="0.2">
      <c r="A338" s="1333" t="s">
        <v>1162</v>
      </c>
      <c r="B338" s="562" t="s">
        <v>613</v>
      </c>
      <c r="C338" s="1734"/>
      <c r="D338" s="1734"/>
      <c r="E338" s="1734"/>
      <c r="F338" s="1734"/>
      <c r="G338" s="1734"/>
      <c r="H338" s="1633"/>
      <c r="I338" s="1734"/>
      <c r="J338" s="1734"/>
      <c r="K338" s="1722">
        <f>H338</f>
        <v>0</v>
      </c>
      <c r="L338" s="1633">
        <v>0</v>
      </c>
    </row>
    <row r="339" spans="1:14" x14ac:dyDescent="0.2">
      <c r="A339" s="1319" t="s">
        <v>895</v>
      </c>
      <c r="B339" s="512">
        <v>5150</v>
      </c>
      <c r="C339" s="1734"/>
      <c r="D339" s="1734"/>
      <c r="E339" s="1734"/>
      <c r="F339" s="1734"/>
      <c r="G339" s="1734"/>
      <c r="H339" s="1624"/>
      <c r="I339" s="1734"/>
      <c r="J339" s="1734"/>
      <c r="K339" s="1722">
        <f>H339</f>
        <v>0</v>
      </c>
      <c r="L339" s="1624">
        <v>0</v>
      </c>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v>0</v>
      </c>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344" t="s">
        <v>989</v>
      </c>
      <c r="B343" s="2345"/>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4" t="s">
        <v>960</v>
      </c>
      <c r="B345" s="2335"/>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v>0</v>
      </c>
    </row>
    <row r="349" spans="1:14" x14ac:dyDescent="0.2">
      <c r="A349" s="1319" t="s">
        <v>195</v>
      </c>
      <c r="B349" s="503">
        <v>2540</v>
      </c>
      <c r="C349" s="1623"/>
      <c r="D349" s="1623"/>
      <c r="E349" s="1623"/>
      <c r="F349" s="1623"/>
      <c r="G349" s="1623"/>
      <c r="H349" s="1623"/>
      <c r="I349" s="1624"/>
      <c r="J349" s="1624"/>
      <c r="K349" s="1722">
        <f>SUM(C349:J349)</f>
        <v>0</v>
      </c>
      <c r="L349" s="1623">
        <v>0</v>
      </c>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v>0</v>
      </c>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v>0</v>
      </c>
    </row>
    <row r="355" spans="1:14" ht="12.75" customHeight="1" x14ac:dyDescent="0.2">
      <c r="A355" s="1328" t="s">
        <v>1828</v>
      </c>
      <c r="B355" s="562" t="s">
        <v>1821</v>
      </c>
      <c r="C355" s="1723"/>
      <c r="D355" s="1723"/>
      <c r="E355" s="1723"/>
      <c r="F355" s="1723"/>
      <c r="G355" s="1723"/>
      <c r="H355" s="1624"/>
      <c r="I355" s="1766"/>
      <c r="J355" s="1723"/>
      <c r="K355" s="1657">
        <f>H355</f>
        <v>0</v>
      </c>
      <c r="L355" s="1624">
        <v>0</v>
      </c>
    </row>
    <row r="356" spans="1:14" ht="12.75" customHeight="1" x14ac:dyDescent="0.2">
      <c r="A356" s="1518" t="s">
        <v>693</v>
      </c>
      <c r="B356" s="557" t="s">
        <v>554</v>
      </c>
      <c r="C356" s="1723"/>
      <c r="D356" s="1723"/>
      <c r="E356" s="1723"/>
      <c r="F356" s="1723"/>
      <c r="G356" s="1723"/>
      <c r="H356" s="1634"/>
      <c r="I356" s="1766"/>
      <c r="J356" s="1723"/>
      <c r="K356" s="1650">
        <f>H356</f>
        <v>0</v>
      </c>
      <c r="L356" s="1634">
        <v>0</v>
      </c>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v>0</v>
      </c>
    </row>
    <row r="361" spans="1:14" ht="12.75" customHeight="1" x14ac:dyDescent="0.2">
      <c r="A361" s="1320" t="s">
        <v>615</v>
      </c>
      <c r="B361" s="494" t="s">
        <v>614</v>
      </c>
      <c r="C361" s="1723"/>
      <c r="D361" s="1723"/>
      <c r="E361" s="1723"/>
      <c r="F361" s="1723"/>
      <c r="G361" s="1723"/>
      <c r="H361" s="1624"/>
      <c r="I361" s="1723"/>
      <c r="J361" s="1723"/>
      <c r="K361" s="1722">
        <f>SUM(C361:J361)</f>
        <v>0</v>
      </c>
      <c r="L361" s="1623">
        <v>0</v>
      </c>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v>0</v>
      </c>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v>0</v>
      </c>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v>0</v>
      </c>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358" t="s">
        <v>989</v>
      </c>
      <c r="B368" s="2359"/>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d21dc803-237d-4c68-8692-8d731fd29118"/>
    <ds:schemaRef ds:uri="http://schemas.microsoft.com/office/2006/metadata/properties"/>
    <ds:schemaRef ds:uri="http://purl.org/dc/elements/1.1/"/>
    <ds:schemaRef ds:uri="http://www.w3.org/XML/1998/namespace"/>
    <ds:schemaRef ds:uri="http://schemas.microsoft.com/sharepoint/v3"/>
    <ds:schemaRef ds:uri="http://schemas.microsoft.com/office/2006/documentManagement/types"/>
    <ds:schemaRef ds:uri="6ce3111e-7420-4802-b50a-75d4e9a0b980"/>
    <ds:schemaRef ds:uri="http://purl.org/dc/terms/"/>
    <ds:schemaRef ds:uri="http://schemas.microsoft.com/office/infopath/2007/PartnerControls"/>
    <ds:schemaRef ds:uri="http://schemas.openxmlformats.org/package/2006/metadata/core-properties"/>
    <ds:schemaRef ds:uri="4d435f69-8686-490b-bd6d-b153bf22ab50"/>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2020-07-13T12:53:44Z</cp:lastPrinted>
  <dcterms:created xsi:type="dcterms:W3CDTF">2003-10-29T19:06:34Z</dcterms:created>
  <dcterms:modified xsi:type="dcterms:W3CDTF">2020-10-01T13:12:51Z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