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12990559-B133-4B1F-B30E-2E8F0F97392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85" i="127"/>
  <c r="B8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G30" i="108" l="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B1381" i="106"/>
  <c r="D1381" i="106" s="1"/>
  <c r="C151" i="29"/>
  <c r="B1226" i="106" s="1"/>
  <c r="D1226"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<sst xmlns="http://schemas.openxmlformats.org/spreadsheetml/2006/main" count="5150" uniqueCount="2088">
  <si>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</si>
  <si>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</si>
  <si>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</si>
  <si>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</si>
  <si>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</si>
  <si>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</si>
  <si>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</si>
  <si>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</si>
  <si>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</si>
  <si>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</si>
  <si>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</si>
  <si>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</si>
  <si>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</si>
  <si>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</si>
  <si>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</si>
  <si>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</si>
  <si>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</si>
  <si>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</si>
  <si>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</si>
  <si>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</si>
  <si>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</si>
  <si>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</si>
  <si>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</si>
  <si>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</si>
  <si>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</si>
  <si>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</si>
  <si>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</si>
  <si>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</si>
  <si>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</si>
  <si>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</si>
  <si>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</si>
  <si>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</si>
  <si>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</si>
  <si>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</si>
  <si>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</si>
  <si>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</si>
  <si>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</si>
  <si>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</si>
  <si>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</si>
  <si>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</si>
  <si>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</si>
  <si>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</si>
  <si>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</si>
  <si>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</si>
  <si>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</si>
  <si>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</si>
  <si>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</si>
  <si>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</si>
  <si>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</si>
  <si>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</si>
  <si>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</si>
  <si>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</si>
  <si>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</si>
  <si>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</si>
  <si>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</si>
  <si>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</si>
  <si>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</si>
  <si>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</si>
  <si>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</si>
  <si>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</si>
  <si>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</si>
  <si>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</si>
  <si>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</si>
  <si>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</si>
  <si>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</si>
  <si>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</si>
  <si>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</si>
  <si>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</si>
  <si>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</si>
  <si>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</si>
  <si>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</si>
  <si>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</si>
  <si>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</si>
  <si>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</si>
  <si>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</si>
  <si>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</si>
  <si>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</si>
  <si>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</si>
  <si>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</si>
  <si>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</si>
  <si>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</si>
  <si>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</si>
  <si>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</si>
  <si>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</si>
  <si>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</si>
  <si>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</si>
  <si>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</si>
  <si>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</si>
  <si>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</si>
  <si>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</si>
  <si>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</si>
  <si>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</si>
  <si>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</si>
  <si>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</si>
  <si>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</si>
  <si>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</si>
  <si>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</si>
  <si>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</si>
  <si>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</si>
  <si>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</si>
  <si>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</si>
  <si>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</si>
  <si>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</si>
  <si>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</si>
  <si>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</si>
  <si>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</si>
  <si>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</si>
  <si>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</si>
  <si>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</si>
  <si>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</si>
  <si>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</si>
  <si>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</si>
  <si>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</si>
  <si>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</si>
  <si>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</si>
  <si>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</si>
  <si>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</si>
  <si>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</si>
  <si>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</si>
  <si>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</si>
  <si>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</si>
  <si>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</si>
  <si>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</si>
  <si>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</si>
  <si>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</si>
  <si>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</si>
  <si>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</si>
  <si>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</si>
  <si>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</si>
  <si>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</si>
  <si>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</si>
  <si>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</si>
  <si>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</si>
  <si>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</si>
  <si>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</si>
  <si>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</si>
  <si>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</si>
  <si>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</si>
  <si>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</si>
  <si>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</si>
  <si>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</si>
  <si>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</si>
  <si>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</si>
  <si>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</si>
  <si>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</si>
  <si>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</si>
  <si>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</si>
  <si>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</si>
  <si>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</si>
  <si>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</si>
  <si>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</si>
  <si>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</si>
  <si>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</si>
  <si>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</si>
  <si>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</si>
  <si>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</si>
  <si>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</si>
  <si>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</si>
  <si>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</si>
  <si>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</si>
  <si>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</si>
  <si>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</si>
  <si>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</si>
  <si>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</si>
  <si>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</si>
  <si>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</si>
  <si>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</si>
  <si>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</si>
  <si>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</si>
  <si>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</si>
  <si>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</si>
  <si>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</si>
  <si>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</si>
  <si>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</si>
  <si>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</si>
  <si>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</si>
  <si>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</si>
  <si>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</si>
  <si>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</si>
  <si>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</si>
  <si>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</si>
  <si>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</si>
  <si>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</si>
  <si>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</si>
  <si>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</si>
  <si>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</si>
  <si>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</si>
  <si>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</si>
  <si>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</si>
  <si>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</si>
  <si>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</si>
  <si>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</si>
  <si>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</si>
  <si>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</si>
  <si>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</si>
  <si>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</si>
  <si>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</si>
  <si>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</si>
  <si>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</si>
  <si>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</si>
  <si>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</si>
  <si>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</si>
  <si>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</si>
  <si>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</si>
  <si>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</si>
  <si>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</si>
  <si>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</si>
  <si>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</si>
  <si>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</si>
  <si>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</si>
  <si>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</si>
  <si>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</si>
  <si>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</si>
  <si>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</si>
  <si>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</si>
  <si>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</si>
  <si>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</si>
  <si>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</si>
  <si>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</si>
  <si>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</si>
  <si>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</si>
  <si>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</si>
  <si>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</si>
  <si>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</si>
  <si>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</si>
  <si>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</si>
  <si>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</si>
  <si>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</si>
  <si>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</si>
  <si>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</si>
  <si>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</si>
  <si>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</si>
  <si>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</si>
  <si>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</si>
  <si>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</si>
  <si>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</si>
  <si>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</si>
  <si>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</si>
  <si>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</si>
  <si>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</si>
  <si>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</si>
  <si>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</si>
  <si>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</si>
  <si>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</si>
  <si>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</si>
  <si>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</si>
  <si>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</si>
  <si>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</si>
  <si>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</si>
  <si>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</si>
  <si>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</si>
  <si>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</si>
  <si>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</si>
  <si>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</si>
  <si>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</si>
  <si>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</si>
  <si>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</si>
  <si>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</si>
  <si>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</si>
  <si>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</si>
  <si>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</si>
  <si>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</si>
  <si>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</si>
  <si>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</si>
  <si>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</si>
  <si>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</si>
  <si>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</si>
  <si>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</si>
  <si>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</si>
  <si>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</si>
  <si>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</si>
  <si>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</si>
  <si>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</si>
  <si>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</si>
  <si>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</si>
  <si>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</si>
  <si>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</si>
  <si>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</si>
  <si>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</si>
  <si>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</si>
  <si>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</si>
  <si>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</si>
  <si>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</si>
  <si>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</si>
  <si>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</si>
  <si>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</si>
  <si>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</si>
  <si>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</si>
  <si>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</si>
  <si>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</si>
  <si>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</si>
  <si>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</si>
  <si>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</si>
  <si>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</si>
  <si>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</si>
  <si>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</si>
  <si>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</si>
  <si>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</si>
  <si>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</si>
  <si>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</si>
  <si>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</si>
  <si>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</si>
  <si>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</si>
  <si>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</si>
  <si>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</si>
  <si>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</si>
  <si>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</si>
  <si>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</si>
  <si>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</si>
  <si>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</si>
  <si>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</si>
  <si>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</si>
  <si>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</si>
  <si>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</si>
  <si>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</si>
  <si>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</si>
  <si>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</si>
  <si>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</si>
  <si>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</si>
  <si>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</si>
  <si>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</si>
  <si>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</si>
  <si>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</si>
  <si>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</si>
  <si>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</si>
  <si>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</si>
  <si>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</si>
  <si>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</si>
  <si>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</si>
  <si>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</si>
  <si>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</si>
  <si>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</si>
  <si>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</si>
  <si>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</si>
  <si>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</si>
  <si>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</si>
  <si>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</si>
  <si>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</si>
  <si>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</si>
  <si>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</si>
  <si>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</si>
  <si>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</si>
  <si>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</si>
  <si>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</si>
  <si>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</si>
  <si>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</si>
  <si>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</si>
  <si>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</si>
  <si>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</si>
  <si>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</si>
  <si>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</si>
  <si>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</si>
  <si>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</si>
  <si>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</si>
  <si>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</si>
  <si>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</si>
  <si>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</si>
  <si>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</si>
  <si>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</si>
  <si>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</si>
  <si>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</si>
  <si>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</si>
  <si>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</si>
  <si>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</si>
  <si>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</si>
  <si>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</si>
  <si>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</si>
  <si>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</si>
  <si>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</si>
  <si>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</si>
  <si>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</si>
  <si>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</si>
  <si>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</si>
  <si>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</si>
  <si>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</si>
  <si>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</si>
  <si>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</si>
  <si>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</si>
  <si>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</si>
  <si>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</si>
  <si>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</si>
  <si>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</si>
  <si>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</si>
  <si>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</si>
  <si>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</si>
  <si>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</si>
  <si>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</si>
  <si>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</si>
  <si>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</si>
  <si>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</si>
  <si>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</si>
  <si>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</si>
  <si>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</si>
  <si>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</si>
  <si>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</si>
  <si>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</si>
  <si>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</si>
  <si>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</si>
  <si>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</si>
  <si>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</si>
  <si>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</si>
  <si>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</si>
  <si>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</si>
  <si>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</si>
  <si>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</si>
  <si>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</si>
  <si>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</si>
  <si>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</si>
  <si>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</si>
  <si>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</si>
  <si>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</si>
  <si>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</si>
  <si>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</si>
  <si>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</si>
  <si>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</si>
  <si>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</si>
  <si>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</si>
  <si>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</si>
  <si>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</si>
  <si>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</si>
  <si>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</si>
  <si>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</si>
  <si>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</si>
  <si>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</si>
  <si>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</si>
  <si>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</si>
  <si>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</si>
  <si>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</si>
  <si>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</si>
  <si>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</si>
  <si>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</si>
  <si>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</si>
  <si>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</si>
  <si>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</si>
  <si>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</si>
  <si>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</si>
  <si>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</si>
  <si>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</si>
  <si>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</si>
  <si>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</si>
  <si>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</si>
  <si>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</si>
  <si>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</si>
  <si>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</si>
  <si>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</si>
  <si>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</si>
  <si>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</si>
  <si>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</si>
  <si>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</si>
  <si>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</si>
  <si>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</si>
  <si>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</si>
  <si>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</si>
  <si>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</si>
  <si>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</si>
  <si>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</si>
  <si>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</si>
  <si>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</si>
  <si>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</si>
  <si>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</si>
  <si>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</si>
  <si>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</si>
  <si>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</si>
  <si>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</si>
  <si>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</si>
  <si>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</si>
  <si>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</si>
  <si>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</si>
  <si>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</si>
  <si>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</si>
  <si>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</si>
  <si>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</si>
  <si>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</si>
  <si>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</si>
  <si>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</si>
  <si>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</si>
  <si>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</si>
  <si>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</si>
  <si>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</si>
  <si>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</si>
  <si>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</si>
  <si>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</si>
  <si>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</si>
  <si>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</si>
  <si>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</si>
  <si>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</si>
  <si>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</si>
  <si>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</si>
  <si>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</si>
  <si>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</si>
  <si>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</si>
  <si>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</si>
  <si>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</si>
  <si>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</si>
  <si>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</si>
  <si>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</si>
  <si>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</si>
  <si>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</si>
  <si>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</si>
  <si>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</si>
  <si>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</si>
  <si>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</si>
  <si>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</si>
  <si>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</si>
  <si>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</si>
  <si>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</si>
  <si>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</si>
  <si>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</si>
  <si>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</si>
  <si>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</si>
  <si>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</si>
  <si>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</si>
  <si>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</si>
  <si>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</si>
  <si>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</si>
  <si>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</si>
  <si>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</si>
  <si>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</si>
  <si>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</si>
  <si>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</si>
  <si>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</si>
  <si>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</si>
  <si>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</si>
  <si>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</si>
  <si>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</si>
  <si>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</si>
  <si>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</si>
  <si>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</si>
  <si>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</si>
  <si>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</si>
  <si>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</si>
  <si>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</si>
  <si>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</si>
  <si>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</si>
  <si>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</si>
  <si>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</si>
  <si>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</si>
  <si>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</si>
  <si>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</si>
  <si>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</si>
  <si>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</si>
  <si>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</si>
  <si>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</si>
  <si>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</si>
  <si>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</si>
  <si>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</si>
  <si>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</si>
  <si>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</si>
  <si>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</si>
  <si>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</si>
  <si>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</si>
  <si>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</si>
  <si>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</si>
  <si>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</si>
  <si>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</si>
  <si>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</si>
  <si>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</si>
  <si>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</si>
  <si>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</si>
  <si>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</si>
  <si>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</si>
  <si>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</si>
  <si>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</si>
  <si>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</si>
  <si>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</si>
  <si>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</si>
  <si>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</si>
  <si>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</si>
  <si>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</si>
  <si>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</si>
  <si>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</si>
  <si>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</si>
  <si>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</si>
  <si>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</si>
  <si>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</si>
  <si>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</si>
  <si>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</si>
  <si>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</si>
  <si>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</si>
  <si>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</si>
  <si>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</si>
  <si>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</si>
  <si>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</si>
  <si>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</si>
  <si>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</si>
  <si>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</si>
  <si>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</si>
  <si>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</si>
  <si>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</si>
  <si>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</si>
  <si>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</si>
  <si>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</si>
  <si>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</si>
  <si>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</si>
  <si>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</si>
  <si>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</si>
  <si>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</si>
  <si>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</si>
  <si>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</si>
  <si>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</si>
  <si>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</si>
  <si>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</si>
  <si>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</si>
  <si>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</si>
  <si>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</si>
  <si>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</si>
  <si>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</si>
  <si>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</si>
  <si>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</si>
  <si>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</si>
  <si>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</si>
  <si>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</si>
  <si>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</si>
  <si>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</si>
  <si>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</si>
  <si>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</si>
  <si>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</si>
  <si>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</si>
  <si>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</si>
  <si>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</si>
  <si>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</si>
  <si>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</si>
  <si>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</si>
  <si>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</si>
  <si>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</si>
  <si>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</si>
  <si>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</si>
  <si>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</si>
  <si>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</si>
  <si>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</si>
  <si>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</si>
  <si>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</si>
  <si>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</si>
  <si>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</si>
  <si>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</si>
  <si>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</si>
  <si>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</si>
  <si>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</si>
  <si>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</si>
  <si>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</si>
  <si>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</si>
  <si>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</si>
  <si>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</si>
  <si>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</si>
  <si>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</si>
  <si>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</si>
  <si>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</si>
  <si>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</si>
  <si>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</si>
  <si>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</si>
  <si>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</si>
  <si>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</si>
  <si>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</si>
  <si>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</si>
  <si>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</si>
  <si>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</si>
  <si>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</si>
  <si>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</si>
  <si>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</si>
  <si>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</si>
  <si>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</si>
  <si>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</si>
  <si>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</si>
  <si>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</si>
  <si>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</si>
  <si>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</si>
  <si>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</si>
  <si>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</si>
  <si>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</si>
  <si>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</si>
  <si>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</si>
  <si>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</si>
  <si>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</si>
  <si>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</si>
  <si>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</si>
  <si>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</si>
  <si>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</si>
  <si>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</si>
  <si>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</si>
  <si>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</si>
  <si>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</si>
  <si>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</si>
  <si>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</si>
  <si>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</si>
  <si>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</si>
  <si>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</si>
  <si>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</si>
  <si>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</si>
  <si>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</si>
  <si>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</si>
  <si>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</si>
  <si>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</si>
  <si>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</si>
  <si>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</si>
  <si>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</si>
  <si>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</si>
  <si>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</si>
  <si>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</si>
  <si>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</si>
  <si>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</si>
  <si>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</si>
  <si>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</si>
  <si>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</si>
  <si>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</si>
  <si>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</si>
  <si>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</si>
  <si>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</si>
  <si>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</si>
  <si>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</si>
  <si>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</si>
  <si>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</si>
  <si>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</si>
  <si>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</si>
  <si>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</si>
  <si>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</si>
  <si>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</si>
  <si>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</si>
  <si>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</si>
  <si>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</si>
  <si>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</si>
  <si>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</si>
  <si>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</si>
  <si>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</si>
  <si>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</si>
  <si>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</si>
  <si>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</si>
  <si>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</si>
  <si>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</si>
  <si>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</si>
  <si>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</si>
  <si>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</si>
  <si>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</si>
  <si>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</si>
  <si>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</si>
  <si>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</si>
  <si>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</si>
  <si>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</si>
  <si>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</si>
  <si>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</si>
  <si>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</si>
  <si>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</si>
  <si>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</si>
  <si>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</si>
  <si>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</si>
  <si>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</si>
  <si>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</si>
  <si>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</si>
  <si>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</si>
  <si>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</si>
  <si>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</si>
  <si>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</si>
  <si>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</si>
  <si>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</si>
  <si>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</si>
  <si>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</si>
  <si>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</si>
  <si>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</si>
  <si>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</si>
  <si>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</si>
  <si>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</si>
  <si>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</si>
  <si>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</si>
  <si>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</si>
  <si>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</si>
  <si>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</si>
  <si>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</si>
  <si>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</si>
  <si>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</si>
  <si>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</si>
  <si>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</si>
  <si>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</si>
  <si>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</si>
  <si>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</si>
  <si>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</si>
  <si>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</si>
  <si>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</si>
  <si>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</si>
  <si>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</si>
  <si>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</si>
  <si>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</si>
  <si>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</si>
  <si>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</si>
  <si>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</si>
  <si>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</si>
  <si>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</si>
  <si>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</si>
  <si>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</si>
  <si>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</si>
  <si>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</si>
  <si>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</si>
  <si>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</si>
  <si>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</si>
  <si>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</si>
  <si>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</si>
  <si>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</si>
  <si>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</si>
  <si>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</si>
  <si>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</si>
  <si>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</si>
  <si>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</si>
  <si>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</si>
  <si>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</si>
  <si>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</si>
  <si>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</si>
  <si>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</si>
  <si>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</si>
  <si>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</si>
  <si>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</si>
  <si>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</si>
  <si>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</si>
  <si>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</si>
  <si>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</si>
  <si>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</si>
  <si>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</si>
  <si>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</si>
  <si>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</si>
  <si>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</si>
  <si>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</si>
  <si>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</si>
  <si>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</si>
  <si>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</si>
  <si>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</si>
  <si>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</si>
  <si>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</si>
  <si>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</si>
  <si>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</si>
  <si>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</si>
  <si>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</si>
  <si>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</si>
  <si>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</si>
  <si>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</si>
  <si>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</si>
  <si>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</si>
  <si>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</si>
  <si>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</si>
  <si>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</si>
  <si>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</si>
  <si>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</si>
  <si>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</si>
  <si>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</si>
  <si>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</si>
  <si>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</si>
  <si>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</si>
  <si>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</si>
  <si>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</si>
  <si>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</si>
  <si>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</si>
  <si>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</si>
  <si>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</si>
  <si>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</si>
  <si>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</si>
  <si>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</si>
  <si>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</si>
  <si>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</si>
  <si>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</si>
  <si>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</si>
  <si>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</si>
  <si>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</si>
  <si>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</si>
  <si>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</si>
  <si>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</si>
  <si>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</si>
  <si>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</si>
  <si>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</si>
  <si>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</si>
  <si>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</si>
  <si>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</si>
  <si>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</si>
  <si>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</si>
  <si>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</si>
  <si>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</si>
  <si>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</si>
  <si>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</si>
  <si>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</si>
  <si>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</si>
  <si>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</si>
  <si>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</si>
  <si>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</si>
  <si>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</si>
  <si>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</si>
  <si>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</si>
  <si>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</si>
  <si>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</si>
  <si>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</si>
  <si>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</si>
  <si>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</si>
  <si>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</si>
  <si>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</si>
  <si>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</si>
  <si>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</si>
  <si>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</si>
  <si>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</si>
  <si>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</si>
  <si>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</si>
  <si>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</si>
  <si>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</si>
  <si>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</si>
  <si>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</si>
  <si>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</si>
  <si>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</si>
  <si>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</si>
  <si>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</si>
  <si>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</si>
  <si>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</si>
  <si>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</si>
  <si>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</si>
  <si>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</si>
  <si>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</si>
  <si>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</si>
  <si>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</si>
  <si>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</si>
  <si>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</si>
  <si>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</si>
  <si>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</si>
  <si>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</si>
  <si>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</si>
  <si>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</si>
  <si>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</si>
  <si>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</si>
  <si>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</si>
  <si>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</si>
  <si>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</si>
  <si>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</si>
  <si>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</si>
  <si>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</si>
  <si>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</si>
  <si>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</si>
  <si>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</si>
  <si>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</si>
  <si>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</si>
  <si>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</si>
  <si>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</si>
  <si>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</si>
  <si>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</si>
  <si>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</si>
  <si>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</si>
  <si>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</si>
  <si>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</si>
  <si>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</si>
  <si>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</si>
  <si>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</si>
  <si>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</si>
  <si>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</si>
  <si>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</si>
  <si>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</si>
  <si>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</si>
  <si>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</si>
  <si>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</si>
  <si>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</si>
  <si>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</si>
  <si>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</si>
  <si>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</si>
  <si>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</si>
  <si>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</si>
  <si>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</si>
  <si>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</si>
  <si>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</si>
  <si>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</si>
  <si>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</si>
  <si>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</si>
  <si>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</si>
  <si>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</si>
  <si>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</si>
  <si>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</si>
  <si>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</si>
  <si>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</si>
  <si>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</si>
  <si>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</si>
  <si>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</si>
  <si>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</si>
  <si>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</si>
  <si>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</si>
  <si>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</si>
  <si>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</si>
  <si>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</si>
  <si>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</si>
  <si>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</si>
  <si>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</si>
  <si>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</si>
  <si>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</si>
  <si>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</si>
  <si>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</si>
  <si>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</si>
  <si>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</si>
  <si>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</si>
  <si>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</si>
  <si>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</si>
  <si>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</si>
  <si>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</si>
  <si>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</si>
  <si>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</si>
  <si>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</si>
  <si>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</si>
  <si>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</si>
  <si>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</si>
  <si>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</si>
  <si>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</si>
  <si>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</si>
  <si>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</si>
  <si>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</si>
  <si>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</si>
  <si>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</si>
  <si>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</si>
  <si>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</si>
  <si>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</si>
  <si>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</si>
  <si>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</si>
  <si>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</si>
  <si>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</si>
  <si>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</si>
  <si>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</si>
  <si>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</si>
  <si>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</si>
  <si>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</si>
  <si>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</si>
  <si>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</si>
  <si>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</si>
  <si>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</si>
  <si>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</si>
  <si>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</si>
  <si>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</si>
  <si>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</si>
  <si>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</si>
  <si>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</si>
  <si>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</si>
  <si>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</si>
  <si>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</si>
  <si>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</si>
  <si>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</si>
  <si>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</si>
  <si>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</si>
  <si>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</si>
  <si>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</si>
  <si>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</si>
  <si>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</si>
  <si>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</si>
  <si>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</si>
  <si>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</si>
  <si>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</si>
  <si>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</si>
  <si>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</si>
  <si>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</si>
  <si>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</si>
  <si>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</si>
  <si>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</si>
  <si>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</si>
  <si>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</si>
  <si>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</si>
  <si>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</si>
  <si>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</si>
  <si>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</si>
  <si>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</si>
  <si>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</si>
  <si>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</si>
  <si>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</si>
  <si>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</si>
  <si>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</si>
  <si>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</si>
  <si>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</si>
  <si>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</si>
  <si>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</si>
  <si>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</si>
  <si>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</si>
  <si>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</si>
  <si>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</si>
  <si>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</si>
  <si>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</si>
  <si>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</si>
  <si>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</si>
  <si>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</si>
  <si>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</si>
  <si>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</si>
  <si>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</si>
  <si>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</si>
  <si>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</si>
  <si>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</si>
  <si>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</si>
  <si>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</si>
  <si>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</si>
  <si>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</si>
  <si>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</si>
  <si>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</si>
  <si>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</si>
  <si>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</si>
  <si>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</si>
  <si>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</si>
  <si>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</si>
  <si>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</si>
  <si>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</si>
  <si>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</si>
  <si>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</si>
  <si>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</si>
  <si>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</si>
  <si>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</si>
  <si>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</si>
  <si>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</si>
  <si>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</si>
  <si>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</si>
  <si>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</si>
  <si>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</si>
  <si>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</si>
  <si>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</si>
  <si>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</si>
  <si>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</si>
  <si>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</si>
  <si>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</si>
  <si>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</si>
  <si>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</si>
  <si>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</si>
  <si>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</si>
  <si>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</si>
  <si>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</si>
  <si>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</si>
  <si>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</si>
  <si>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</si>
  <si>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</si>
  <si>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</si>
  <si>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</si>
  <si>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</si>
  <si>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</si>
  <si>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</si>
  <si>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</si>
  <si>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</si>
  <si>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</si>
  <si>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</si>
  <si>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</si>
  <si>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</si>
  <si>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</si>
  <si>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</si>
  <si>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</si>
  <si>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</si>
  <si>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</si>
  <si>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</si>
  <si>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</si>
  <si>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</si>
  <si>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</si>
  <si>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</si>
  <si>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</si>
  <si>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</si>
  <si>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</si>
  <si>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</si>
  <si>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</si>
  <si>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</si>
  <si>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</si>
  <si>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</si>
  <si>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</si>
  <si>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</si>
  <si>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</si>
  <si>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</si>
  <si>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</si>
  <si>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</si>
  <si>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</si>
  <si>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</si>
  <si>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</si>
  <si>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</si>
  <si>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</si>
  <si>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</si>
  <si>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</si>
  <si>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</si>
  <si>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</si>
  <si>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</si>
  <si>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</si>
  <si>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</si>
  <si>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</si>
  <si>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</si>
  <si>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</si>
  <si>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</si>
  <si>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</si>
  <si>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</si>
  <si>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</si>
  <si>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</si>
  <si>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</si>
  <si>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</si>
  <si>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</si>
  <si>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</si>
  <si>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</si>
  <si>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</si>
  <si>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</si>
  <si>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</si>
  <si>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</si>
  <si>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</si>
  <si>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</si>
  <si>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</si>
  <si>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</si>
  <si>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</si>
  <si>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</si>
  <si>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</si>
  <si>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</si>
  <si>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</si>
  <si>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</si>
  <si>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</si>
  <si>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</si>
  <si>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</si>
  <si>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</si>
  <si>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</si>
  <si>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</si>
  <si>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</si>
  <si>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</si>
  <si>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</si>
  <si>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</si>
  <si>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</si>
  <si>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</si>
  <si>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</si>
  <si>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</si>
  <si>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</si>
  <si>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</si>
  <si>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</si>
  <si>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</si>
  <si>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</si>
  <si>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</si>
  <si>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</si>
  <si>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</si>
  <si>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</si>
  <si>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</si>
  <si>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</si>
  <si>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</si>
  <si>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</si>
  <si>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</si>
  <si>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</si>
  <si>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</si>
  <si>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</si>
  <si>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</si>
  <si>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</si>
  <si>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</si>
  <si>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</si>
  <si>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</si>
  <si>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</si>
  <si>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</si>
  <si>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</si>
  <si>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</si>
  <si>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</si>
  <si>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</si>
  <si>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</si>
  <si>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</si>
  <si>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</si>
  <si>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</si>
  <si>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</si>
  <si>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</si>
  <si>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</si>
  <si>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</si>
  <si>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</si>
  <si>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</si>
  <si>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</si>
  <si>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</si>
  <si>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</si>
  <si>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</si>
  <si>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</si>
  <si>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</si>
  <si>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</si>
  <si>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</si>
  <si>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</si>
  <si>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</si>
  <si>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</si>
  <si>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</si>
  <si>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</si>
  <si>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</si>
  <si>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</si>
  <si>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</si>
  <si>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</si>
  <si>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</si>
  <si>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</si>
  <si>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</si>
  <si>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</si>
  <si>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</si>
  <si>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</si>
  <si>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</si>
  <si>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</si>
  <si>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</si>
  <si>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</si>
  <si>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</si>
  <si>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</si>
  <si>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</si>
  <si>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</si>
  <si>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</si>
  <si>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</si>
  <si>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</si>
  <si>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</si>
  <si>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</si>
  <si>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</si>
  <si>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</si>
  <si>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</si>
  <si>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</si>
  <si>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</si>
  <si>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</si>
  <si>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</si>
  <si>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</si>
  <si>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</si>
  <si>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</si>
  <si>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</si>
  <si>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</si>
  <si>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</si>
  <si>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</si>
  <si>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</si>
  <si>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</si>
  <si>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</si>
  <si>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</si>
  <si>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</si>
  <si>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</si>
  <si>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</si>
  <si>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</si>
  <si>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</si>
  <si>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</si>
  <si>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</si>
  <si>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</si>
  <si>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</si>
  <si>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</si>
  <si>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</si>
  <si>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</si>
  <si>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</si>
  <si>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</si>
  <si>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</si>
  <si>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</si>
  <si>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</si>
  <si>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</si>
  <si>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</si>
  <si>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</si>
  <si>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</si>
  <si>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</si>
  <si>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</si>
  <si>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</si>
  <si>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</si>
  <si>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</si>
  <si>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</si>
  <si>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</si>
  <si>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</si>
  <si>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</si>
  <si>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</si>
  <si>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</si>
  <si>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</si>
  <si>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</si>
  <si>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</si>
  <si>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</si>
  <si>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</si>
  <si>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</si>
  <si>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</si>
  <si>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</si>
  <si>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</si>
  <si>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</si>
  <si>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</si>
  <si>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</si>
  <si>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</si>
  <si>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</si>
  <si>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</si>
  <si>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</si>
  <si>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</si>
  <si>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</si>
  <si>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</si>
  <si>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</si>
  <si>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</si>
  <si>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</si>
  <si>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</si>
  <si>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</si>
  <si>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</si>
  <si>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</si>
  <si>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</si>
  <si>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</si>
  <si>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</si>
  <si>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</si>
  <si>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</si>
  <si>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</si>
  <si>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</si>
  <si>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</si>
  <si>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</si>
  <si>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</si>
  <si>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</si>
  <si>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</si>
  <si>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</si>
  <si>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</si>
  <si>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</si>
  <si>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</si>
  <si>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</si>
  <si>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</si>
  <si>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</si>
  <si>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</si>
  <si>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</si>
  <si>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</si>
  <si>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</si>
  <si>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</si>
  <si>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</si>
  <si>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</si>
  <si>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</si>
  <si>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</si>
  <si>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</si>
  <si>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</si>
  <si>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</si>
  <si>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</si>
  <si>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</si>
  <si>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</si>
  <si>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</si>
  <si>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</si>
  <si>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</si>
  <si>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</si>
  <si>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</si>
  <si>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</si>
  <si>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</si>
  <si>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</si>
  <si>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</si>
  <si>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</si>
  <si>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</si>
  <si>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</si>
  <si>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</si>
  <si>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</si>
  <si>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</si>
  <si>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</si>
  <si>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</si>
  <si>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</si>
  <si>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</si>
  <si>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</si>
  <si>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</si>
  <si>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</si>
  <si>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</si>
  <si>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</si>
  <si>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</si>
  <si>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</si>
  <si>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</si>
  <si>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</si>
  <si>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</si>
  <si>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</si>
  <si>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</si>
  <si>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</si>
  <si>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</si>
  <si>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</si>
  <si>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</si>
  <si>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</si>
  <si>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</si>
  <si>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</si>
  <si>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</si>
  <si>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</si>
  <si>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</si>
  <si>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</si>
  <si>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</si>
  <si>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</si>
  <si>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</si>
  <si>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</si>
  <si>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</si>
  <si>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</si>
  <si>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</si>
  <si>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</si>
  <si>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</si>
  <si>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</si>
  <si>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</si>
  <si>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</si>
  <si>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</si>
  <si>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</si>
  <si>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</si>
  <si>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</si>
  <si>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</si>
  <si>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</si>
  <si>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</si>
  <si>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</si>
  <si>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</si>
  <si>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</si>
  <si>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</si>
  <si>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</si>
  <si>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</si>
  <si>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</si>
  <si>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</si>
  <si>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</si>
  <si>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</si>
  <si>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</si>
  <si>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</si>
  <si>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</si>
  <si>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</si>
  <si>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</si>
  <si>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</si>
  <si>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</si>
  <si>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</si>
  <si>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</si>
  <si>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</si>
  <si>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</si>
  <si>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</si>
  <si>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</si>
  <si>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</si>
  <si>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</si>
  <si>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</si>
  <si>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</si>
  <si>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</si>
  <si>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</si>
  <si>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</si>
  <si>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</si>
  <si>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</si>
  <si>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</si>
  <si>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</si>
  <si>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</si>
  <si>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</si>
  <si>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</si>
  <si>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</si>
  <si>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</si>
  <si>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</si>
  <si>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</si>
  <si>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</si>
  <si>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</si>
  <si>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</si>
  <si>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</si>
  <si>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</si>
  <si>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</si>
  <si>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</si>
  <si>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</si>
  <si>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</si>
  <si>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</si>
  <si>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</si>
  <si>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</si>
  <si>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</si>
  <si>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</si>
  <si>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</si>
  <si>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</si>
  <si>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</si>
  <si>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</si>
  <si>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</si>
  <si>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</si>
  <si>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</si>
  <si>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</si>
  <si>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</si>
  <si>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</si>
  <si>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</si>
  <si>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</si>
  <si>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</si>
  <si>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</si>
  <si>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</si>
  <si>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</si>
  <si>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</si>
  <si>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</si>
  <si>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</si>
  <si>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</si>
  <si>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</si>
  <si>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</si>
  <si>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</si>
  <si>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</si>
  <si>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</si>
  <si>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</si>
  <si>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</si>
  <si>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</si>
  <si>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</si>
  <si>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</si>
  <si>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</si>
  <si>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</si>
  <si>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</si>
  <si>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</si>
  <si>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</si>
  <si>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</si>
  <si>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</si>
  <si>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</si>
  <si>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</si>
  <si>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</si>
  <si>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</si>
  <si>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</si>
  <si>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</si>
  <si>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</si>
  <si>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</si>
  <si>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</si>
  <si>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</si>
  <si>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</si>
  <si>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</si>
  <si>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</si>
  <si>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</si>
  <si>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</si>
  <si>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</si>
  <si>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</si>
  <si>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</si>
  <si>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</si>
  <si>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</si>
  <si>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</si>
  <si>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</si>
  <si>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</si>
  <si>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</si>
  <si>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</si>
  <si>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</si>
  <si>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</si>
  <si>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</si>
  <si>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</si>
  <si>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</si>
  <si>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</si>
  <si>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</si>
  <si>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</si>
  <si>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</si>
  <si>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</si>
  <si>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</si>
  <si>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</si>
  <si>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</si>
  <si>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</si>
  <si>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</si>
  <si>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</si>
  <si>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</si>
  <si>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</si>
  <si>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</si>
  <si>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</si>
  <si>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</si>
  <si>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</si>
  <si>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</si>
  <si>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</si>
  <si>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</si>
  <si>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</si>
  <si>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</si>
  <si>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</si>
  <si>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</si>
  <si>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</si>
  <si>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</si>
  <si>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</si>
  <si>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</si>
  <si>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</si>
  <si>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</si>
  <si>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</si>
  <si>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</si>
  <si>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</si>
  <si>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</si>
  <si>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</si>
  <si>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</si>
  <si>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</si>
  <si>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</si>
  <si>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</si>
  <si>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</si>
  <si>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</si>
  <si>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</si>
  <si>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</si>
  <si>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</si>
  <si>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</si>
  <si>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</si>
  <si>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</si>
  <si>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</si>
  <si>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</si>
  <si>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</si>
  <si>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</si>
  <si>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</si>
  <si>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</si>
  <si>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</si>
  <si>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</si>
  <si>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</si>
  <si>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</si>
  <si>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</si>
  <si>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</si>
  <si>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</si>
  <si>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</si>
  <si>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</si>
  <si>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</si>
  <si>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</si>
  <si>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</si>
  <si>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</si>
  <si>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</si>
  <si>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</si>
  <si>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</si>
  <si>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</si>
  <si>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</si>
  <si>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</si>
  <si>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</si>
  <si>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</si>
  <si>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</si>
  <si>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</si>
  <si>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</si>
  <si>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</si>
  <si>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</si>
  <si>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</si>
  <si>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</si>
  <si>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</si>
  <si>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</si>
  <si>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</si>
  <si>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</si>
  <si>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</si>
  <si>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</si>
  <si>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</si>
  <si>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</si>
  <si>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</si>
  <si>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</si>
  <si>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</si>
  <si>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</si>
  <si>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</si>
  <si>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</si>
  <si>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</si>
  <si>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</si>
  <si>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</si>
  <si>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</si>
  <si>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</si>
  <si>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</si>
  <si>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</si>
  <si>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</si>
  <si>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</si>
  <si>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</si>
  <si>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</si>
  <si>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</si>
  <si>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</si>
  <si>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</si>
  <si>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</si>
  <si>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</si>
  <si>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</si>
  <si>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</si>
  <si>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</si>
  <si>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</si>
  <si>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</si>
  <si>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</si>
  <si>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</si>
  <si>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</si>
  <si>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</si>
  <si>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</si>
  <si>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</si>
  <si>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</si>
  <si>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</si>
  <si>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</si>
  <si>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</si>
  <si>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</si>
  <si>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</si>
  <si>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</si>
  <si>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</si>
  <si>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</si>
  <si>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</si>
  <si>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</si>
  <si>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</si>
  <si>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</si>
  <si>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</si>
  <si>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</si>
  <si>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</si>
  <si>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</si>
  <si>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</si>
  <si>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</si>
  <si>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</si>
  <si>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</si>
  <si>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</si>
  <si>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</si>
  <si>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</si>
  <si>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</si>
  <si>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</si>
  <si>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</si>
  <si>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</si>
  <si>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</si>
  <si>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</si>
  <si>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</si>
  <si>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</si>
  <si>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</si>
  <si>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</si>
  <si>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</si>
  <si>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</si>
  <si>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</si>
  <si>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</si>
  <si>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</si>
  <si>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</si>
  <si>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</si>
  <si>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</si>
  <si>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</si>
  <si>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</si>
  <si>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</si>
  <si>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</si>
  <si>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</si>
  <si>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</si>
  <si>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</si>
  <si>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</si>
  <si>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</si>
  <si>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</si>
  <si>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</si>
  <si>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</si>
  <si>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</si>
  <si>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</si>
  <si>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</si>
  <si>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</si>
  <si>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</si>
  <si>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</si>
  <si>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</si>
  <si>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</si>
  <si>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</si>
  <si>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</si>
  <si>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</si>
  <si>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</si>
  <si>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</si>
  <si>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</si>
  <si>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</si>
  <si>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</si>
  <si>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</si>
  <si>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</si>
  <si>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</si>
  <si>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</si>
  <si>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</si>
  <si>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</si>
  <si>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</si>
  <si>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</si>
  <si>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</si>
  <si>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</si>
  <si>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</si>
  <si>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</si>
  <si>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</si>
  <si>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</si>
  <si>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</si>
  <si>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</si>
  <si>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</si>
  <si>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</si>
  <si>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</si>
  <si>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</si>
  <si>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</si>
  <si>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</si>
  <si>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</si>
  <si>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</si>
  <si>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</si>
  <si>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</si>
  <si>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</si>
  <si>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</si>
  <si>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</si>
  <si>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</si>
  <si>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</si>
  <si>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</si>
  <si>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</si>
  <si>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</si>
  <si>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</si>
  <si>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</si>
  <si>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</si>
  <si>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</si>
  <si>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</si>
  <si>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</si>
  <si>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</si>
  <si>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</si>
  <si>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</si>
  <si>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</si>
  <si>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</si>
  <si>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</si>
  <si>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</si>
  <si>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</si>
  <si>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</si>
  <si>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</si>
  <si>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</si>
  <si>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</si>
  <si>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</si>
  <si>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</si>
  <si>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</si>
  <si>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</si>
  <si>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</si>
  <si>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</si>
  <si>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</si>
  <si>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</si>
  <si>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</si>
  <si>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</si>
  <si>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</si>
  <si>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</si>
  <si>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</si>
  <si>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</si>
  <si>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</si>
  <si>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</si>
  <si>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</si>
  <si>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</si>
  <si>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</si>
  <si>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</si>
  <si>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</si>
  <si>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</si>
  <si>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</si>
  <si>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</si>
  <si>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</si>
  <si>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</si>
  <si>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</si>
  <si>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</si>
  <si>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</si>
  <si>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</si>
  <si>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</si>
  <si>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</si>
  <si>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</si>
  <si>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</si>
  <si>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</si>
  <si>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</si>
  <si>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</si>
  <si>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</si>
  <si>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</si>
  <si>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</si>
  <si>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</si>
  <si>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</si>
  <si>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</si>
  <si>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</si>
  <si>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</si>
  <si>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</si>
  <si>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</si>
  <si>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</si>
  <si>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</si>
  <si>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</si>
  <si>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</si>
  <si>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</si>
  <si>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</si>
  <si>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</si>
  <si>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</si>
  <si>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</si>
  <si>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</si>
  <si>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</si>
  <si>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</si>
  <si>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</si>
  <si>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</si>
  <si>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</si>
  <si>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</si>
  <si>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</si>
  <si>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</si>
  <si>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</si>
  <si>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</si>
  <si>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</si>
  <si>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</si>
  <si>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</si>
  <si>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</si>
  <si>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</si>
  <si>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</si>
  <si>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</si>
  <si>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</si>
  <si>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</si>
  <si>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</si>
  <si>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</si>
  <si>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</si>
  <si>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</si>
  <si>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</si>
  <si>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</si>
  <si>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</si>
  <si>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</si>
  <si>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</si>
  <si>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</si>
  <si>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</si>
  <si>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</si>
  <si>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</si>
  <si>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</si>
  <si>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</si>
  <si>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</si>
  <si>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</si>
  <si>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</si>
  <si>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</si>
  <si>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</si>
  <si>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</si>
  <si>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</si>
  <si>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</si>
  <si>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</si>
  <si>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</si>
  <si>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</si>
  <si>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</si>
  <si>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</si>
  <si>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</si>
  <si>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</si>
  <si>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</si>
  <si>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</si>
  <si>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</si>
  <si>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</si>
  <si>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</si>
  <si>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</si>
  <si>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</si>
  <si>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</si>
  <si>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</si>
  <si>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</si>
  <si>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</si>
  <si>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</si>
  <si>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</si>
  <si>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</si>
  <si>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</si>
  <si>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</si>
  <si>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</si>
  <si>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</si>
  <si>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</si>
  <si>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</si>
  <si>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</si>
  <si>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</si>
  <si>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</si>
  <si>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</si>
  <si>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</si>
  <si>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</si>
  <si>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</si>
  <si>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</si>
  <si>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</si>
  <si>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</si>
  <si>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</si>
  <si>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</si>
  <si>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</si>
  <si>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</si>
  <si>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</si>
  <si>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</si>
  <si>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</si>
  <si>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</si>
  <si>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</si>
  <si>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</si>
  <si>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</si>
  <si>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</si>
  <si>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</si>
  <si>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</si>
  <si>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</si>
  <si>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</si>
  <si>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</si>
  <si>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</si>
  <si>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</si>
  <si>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</si>
  <si>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</si>
  <si>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</si>
  <si>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</si>
  <si>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</si>
  <si>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</si>
  <si>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</si>
  <si>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</si>
  <si>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</si>
  <si>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</si>
  <si>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</si>
  <si>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</si>
  <si>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</si>
  <si>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</si>
  <si>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</si>
  <si>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</si>
  <si>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</si>
  <si>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</si>
  <si>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</si>
  <si>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</si>
  <si>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</si>
  <si>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</si>
  <si>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</si>
  <si>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</si>
  <si>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</si>
  <si>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</si>
  <si>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</si>
  <si>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</si>
  <si>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</si>
  <si>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</si>
  <si>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</si>
  <si>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</si>
  <si>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</si>
  <si>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</si>
  <si>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</si>
  <si>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</si>
  <si>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</si>
  <si>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</si>
  <si>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</si>
  <si>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</si>
  <si>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</si>
  <si>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</si>
  <si>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</si>
  <si>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</si>
  <si>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</si>
  <si>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</si>
  <si>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</si>
  <si>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</si>
  <si>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</si>
  <si>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</si>
  <si>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</si>
  <si>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</si>
  <si>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</si>
  <si>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</si>
  <si>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</si>
  <si>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</si>
  <si>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</si>
  <si>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</si>
  <si>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</si>
  <si>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</si>
  <si>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</si>
  <si>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</si>
  <si>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</si>
  <si>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</si>
  <si>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</si>
  <si>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</si>
  <si>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</si>
  <si>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</si>
  <si>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</si>
  <si>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</si>
  <si>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</si>
  <si>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</si>
  <si>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</si>
  <si>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</si>
  <si>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</si>
  <si>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</si>
  <si>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</si>
  <si>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</si>
  <si>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</si>
  <si>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</si>
  <si>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</si>
  <si>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</si>
  <si>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</si>
  <si>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</si>
  <si>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</si>
  <si>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</si>
  <si>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</si>
  <si>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</si>
  <si>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</si>
  <si>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</si>
  <si>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</si>
  <si>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IROQUOIS</t>
  </si>
  <si>
    <t>106 E FRONT STREET</t>
  </si>
  <si>
    <t>GILMAN</t>
  </si>
  <si>
    <t>Nicole Bullington</t>
  </si>
  <si>
    <t>bullingtonn@iroqsea.org</t>
  </si>
  <si>
    <t>815-683-2662</t>
  </si>
  <si>
    <t>815-683-9913</t>
  </si>
  <si>
    <t>Installment Loan for Purchase of Building</t>
  </si>
  <si>
    <t>Installment Loan</t>
  </si>
  <si>
    <t>No applicable contracts paid in the current year</t>
  </si>
  <si>
    <t>Page 11 - Acct 1999 - Other Local Revenues</t>
  </si>
  <si>
    <t>Col 10 - Educational</t>
  </si>
  <si>
    <t>Refunds &amp; Miscellaneous - $30,334</t>
  </si>
  <si>
    <t>Page 14 - Acct 4998 - Other Restricted Revenue from Federal Sources</t>
  </si>
  <si>
    <t>E-Rate - $15,301</t>
  </si>
  <si>
    <t>AUDITCHECK Tab</t>
  </si>
  <si>
    <t>#8 Long Term Debt Issued Error</t>
  </si>
  <si>
    <t>#13 Contracts Paid Error</t>
  </si>
  <si>
    <t>Page 2 - Auditor's Questionnaire</t>
  </si>
  <si>
    <t>#20 - Findings other than those listed in Part A</t>
  </si>
  <si>
    <t>Organization did not budget for On-Behalf Payments</t>
  </si>
  <si>
    <t>Page 8 - Acct 8990 - Other Uses not classified elsewhere</t>
  </si>
  <si>
    <t>Col 20 - Operations &amp; Maintenance</t>
  </si>
  <si>
    <t>Installment loan payment - $23,640</t>
  </si>
  <si>
    <t>Refund - $925</t>
  </si>
  <si>
    <t>Paid on Installment Loan, see #2 above</t>
  </si>
  <si>
    <t>Iroquois Special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</si>
</sst>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c r="C5" s="26" t="s">
        <v>904</v>
      </c>
      <c r="D5" s="81"/>
      <c r="E5" s="81"/>
      <c r="H5" s="38"/>
      <c r="I5" s="2127" t="s">
        <v>675</v>
      </c>
      <c r="J5" s="2072"/>
      <c r="K5" s="2072"/>
      <c r="L5" s="2072"/>
      <c r="M5" s="2072"/>
      <c r="N5" s="2072"/>
      <c r="O5" s="2072"/>
      <c r="P5" s="2072"/>
      <c r="Q5" s="2072"/>
      <c r="R5" s="2072"/>
      <c r="S5" s="2072"/>
      <c r="AF5" s="1827"/>
    </row>
    <row r="6" spans="1:32" ht="14.1" customHeight="1" x14ac:dyDescent="0.2">
      <c r="B6" s="101" t="s">
        <v>2051</v>
      </c>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32038801060</v>
      </c>
      <c r="B13" s="2089"/>
      <c r="C13" s="2089"/>
      <c r="D13" s="2089"/>
      <c r="E13" s="2089"/>
      <c r="F13" s="2089"/>
      <c r="G13" s="2089"/>
      <c r="H13" s="2090"/>
      <c r="I13" s="31"/>
      <c r="J13" s="30"/>
      <c r="K13" s="28"/>
      <c r="L13" s="30"/>
      <c r="M13" s="30"/>
      <c r="N13" s="30"/>
      <c r="O13" s="30"/>
      <c r="P13" s="30"/>
      <c r="Q13" s="30"/>
      <c r="R13" s="30"/>
      <c r="S13" s="30"/>
      <c r="T13" s="2093" t="s">
        <v>2052</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2061</v>
      </c>
      <c r="B15" s="2091"/>
      <c r="C15" s="2091"/>
      <c r="D15" s="2091"/>
      <c r="E15" s="2091"/>
      <c r="F15" s="2091"/>
      <c r="G15" s="2091"/>
      <c r="H15" s="2092"/>
      <c r="T15" s="2054" t="s">
        <v>2053</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2087</v>
      </c>
      <c r="B17" s="2116"/>
      <c r="C17" s="2116"/>
      <c r="D17" s="2116"/>
      <c r="E17" s="2116"/>
      <c r="F17" s="2116"/>
      <c r="G17" s="2116"/>
      <c r="H17" s="2117"/>
      <c r="T17" s="2103" t="s">
        <v>2054</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2062</v>
      </c>
      <c r="B19" s="2087"/>
      <c r="C19" s="2087"/>
      <c r="D19" s="2087"/>
      <c r="E19" s="2087"/>
      <c r="F19" s="2087"/>
      <c r="G19" s="2087"/>
      <c r="H19" s="2085"/>
      <c r="I19" s="30"/>
      <c r="J19" s="96"/>
      <c r="K19" s="40"/>
      <c r="L19" s="38"/>
      <c r="M19" s="109" t="s">
        <v>312</v>
      </c>
      <c r="P19" s="27"/>
      <c r="Q19" s="27"/>
      <c r="R19" s="27"/>
      <c r="S19" s="31"/>
      <c r="T19" s="2086" t="s">
        <v>2055</v>
      </c>
      <c r="U19" s="2084"/>
      <c r="V19" s="2084"/>
      <c r="W19" s="2085"/>
      <c r="X19" s="2101" t="s">
        <v>2056</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2063</v>
      </c>
      <c r="B21" s="2084"/>
      <c r="C21" s="2084"/>
      <c r="D21" s="2084"/>
      <c r="E21" s="2084"/>
      <c r="F21" s="2084"/>
      <c r="G21" s="2084"/>
      <c r="H21" s="2085"/>
      <c r="I21" s="2109" t="s">
        <v>673</v>
      </c>
      <c r="J21" s="2072"/>
      <c r="K21" s="2072"/>
      <c r="L21" s="2072"/>
      <c r="M21" s="2072"/>
      <c r="N21" s="2072"/>
      <c r="O21" s="2072"/>
      <c r="P21" s="2072"/>
      <c r="Q21" s="2072"/>
      <c r="R21" s="2072"/>
      <c r="S21" s="2073"/>
      <c r="T21" s="2051" t="s">
        <v>2057</v>
      </c>
      <c r="U21" s="2052"/>
      <c r="V21" s="2052"/>
      <c r="W21" s="2052"/>
      <c r="X21" s="2065" t="s">
        <v>2058</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v>65.018319000000005</v>
      </c>
      <c r="U23" s="2047"/>
      <c r="V23" s="2047"/>
      <c r="W23" s="2047"/>
      <c r="X23" s="2062">
        <v>44469</v>
      </c>
      <c r="Y23" s="2063"/>
      <c r="Z23" s="2063"/>
      <c r="AA23" s="2064"/>
    </row>
    <row r="24" spans="1:27" ht="14.1" customHeight="1" x14ac:dyDescent="0.2">
      <c r="A24" s="85" t="s">
        <v>672</v>
      </c>
      <c r="B24" s="46"/>
      <c r="C24" s="46"/>
      <c r="D24" s="46"/>
      <c r="E24" s="46"/>
      <c r="F24" s="46"/>
      <c r="G24" s="46"/>
      <c r="H24" s="58"/>
      <c r="J24" s="2148" t="str">
        <f>IF(B5="x",IF(AUDITCHECK!D29="AFR form Incomplete.","",IF(AUDITCHECK!D29="Deficit reduction plan is required.","School District must complete a deficit reduction plan in the 2020-2021 Budget",)),"")</f>
        <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60938</v>
      </c>
      <c r="B25" s="2084"/>
      <c r="C25" s="2084"/>
      <c r="D25" s="2084"/>
      <c r="E25" s="2084"/>
      <c r="F25" s="2084"/>
      <c r="G25" s="2084"/>
      <c r="H25" s="2085"/>
      <c r="I25" s="110"/>
      <c r="J25" s="2150"/>
      <c r="K25" s="2150"/>
      <c r="L25" s="2150"/>
      <c r="M25" s="2150"/>
      <c r="N25" s="2150"/>
      <c r="O25" s="2150"/>
      <c r="P25" s="2150"/>
      <c r="Q25" s="2150"/>
      <c r="R25" s="2150"/>
      <c r="S25" s="2151"/>
      <c r="T25" s="2043" t="s">
        <v>2059</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2051</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144" t="s">
        <v>2051</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2064</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2065</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2066</v>
      </c>
      <c r="B42" s="2133"/>
      <c r="C42" s="2134"/>
      <c r="D42" s="2147" t="s">
        <v>2067</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43368</v>
      </c>
      <c r="C31" s="1734">
        <v>236400</v>
      </c>
      <c r="D31" s="1735">
        <v>7</v>
      </c>
      <c r="E31" s="1734">
        <v>236400</v>
      </c>
      <c r="F31" s="1734"/>
      <c r="G31" s="1734"/>
      <c r="H31" s="1734">
        <v>23640</v>
      </c>
      <c r="I31" s="1736">
        <f>((E31+F31)-H31)+G31</f>
        <v>212760</v>
      </c>
      <c r="J31" s="1734">
        <v>150981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236400</v>
      </c>
      <c r="D49" s="1742"/>
      <c r="E49" s="1736">
        <f t="shared" ref="E49:J49" si="2">SUM(E31:E48)</f>
        <v>236400</v>
      </c>
      <c r="F49" s="1736">
        <f t="shared" si="2"/>
        <v>0</v>
      </c>
      <c r="G49" s="1736">
        <f t="shared" si="2"/>
        <v>0</v>
      </c>
      <c r="H49" s="1736">
        <f t="shared" si="2"/>
        <v>23640</v>
      </c>
      <c r="I49" s="1736">
        <f t="shared" si="2"/>
        <v>212760</v>
      </c>
      <c r="J49" s="1736">
        <f t="shared" si="2"/>
        <v>150981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t="s">
        <v>2069</v>
      </c>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0</v>
      </c>
      <c r="I12" s="1755">
        <f>SUM(I5:I11)</f>
        <v>0</v>
      </c>
      <c r="J12" s="1755">
        <f>SUM(J5:J11)</f>
        <v>0</v>
      </c>
      <c r="K12" s="1755">
        <f>SUM(K5:K11)</f>
        <v>0</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c r="I14" s="1749"/>
      <c r="J14" s="1751"/>
      <c r="K14" s="1745"/>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473175</v>
      </c>
      <c r="D8" s="1771"/>
      <c r="E8" s="1771"/>
      <c r="F8" s="1765">
        <f>(C8+D8)-E8</f>
        <v>473175</v>
      </c>
      <c r="G8" s="681">
        <v>50</v>
      </c>
      <c r="H8" s="619">
        <v>228478</v>
      </c>
      <c r="I8" s="619">
        <v>9726</v>
      </c>
      <c r="J8" s="619"/>
      <c r="K8" s="1442">
        <f>(H8+I8)-J8</f>
        <v>238204</v>
      </c>
      <c r="L8" s="1442">
        <f>F8-K8</f>
        <v>234971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144748</v>
      </c>
      <c r="D10" s="1772">
        <v>39050</v>
      </c>
      <c r="E10" s="1772"/>
      <c r="F10" s="1773">
        <f>(C10+D10)-E10</f>
        <v>183798</v>
      </c>
      <c r="G10" s="681">
        <v>20</v>
      </c>
      <c r="H10" s="683">
        <v>56253</v>
      </c>
      <c r="I10" s="683">
        <v>9190</v>
      </c>
      <c r="J10" s="683"/>
      <c r="K10" s="1442">
        <f>(H10+I10)-J10</f>
        <v>65443</v>
      </c>
      <c r="L10" s="1442">
        <f>F10-K10</f>
        <v>118355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1205857</v>
      </c>
      <c r="D12" s="1771">
        <v>25527</v>
      </c>
      <c r="E12" s="1771"/>
      <c r="F12" s="1765">
        <f>(C12+D12)-E12</f>
        <v>1231384</v>
      </c>
      <c r="G12" s="681">
        <v>10</v>
      </c>
      <c r="H12" s="619">
        <v>1126165</v>
      </c>
      <c r="I12" s="619">
        <v>32372</v>
      </c>
      <c r="J12" s="619"/>
      <c r="K12" s="1442">
        <f>(H12+I12)-J12</f>
        <v>1158537</v>
      </c>
      <c r="L12" s="1442">
        <f>F12-K12</f>
        <v>72847</v>
      </c>
    </row>
    <row r="13" spans="1:14" ht="14.25" thickTop="1" thickBot="1" x14ac:dyDescent="0.25">
      <c r="A13" s="684" t="s">
        <v>1112</v>
      </c>
      <c r="B13" s="679">
        <v>252</v>
      </c>
      <c r="C13" s="1771">
        <v>493445</v>
      </c>
      <c r="D13" s="1771">
        <v>28279</v>
      </c>
      <c r="E13" s="1771"/>
      <c r="F13" s="1765">
        <f>(C13+D13)-E13</f>
        <v>521724</v>
      </c>
      <c r="G13" s="681">
        <v>5</v>
      </c>
      <c r="H13" s="619">
        <v>241114</v>
      </c>
      <c r="I13" s="619">
        <v>28302</v>
      </c>
      <c r="J13" s="619"/>
      <c r="K13" s="1442">
        <f>(H13+I13)-J13</f>
        <v>269416</v>
      </c>
      <c r="L13" s="1442">
        <f>F13-K13</f>
        <v>252308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2317225</v>
      </c>
      <c r="D16" s="1765">
        <f>SUM(D3,D5:D6,D8:D10,D12:D15)</f>
        <v>92856</v>
      </c>
      <c r="E16" s="1765">
        <f>SUM(E3,E5:E6,E8:E10,E12:E15)</f>
        <v>0</v>
      </c>
      <c r="F16" s="1765">
        <f>SUM(F3,F5:F6,F8:F10,F12:F15)</f>
        <v>2410081</v>
      </c>
      <c r="G16" s="681"/>
      <c r="H16" s="1435">
        <f>SUM(H3,H6,H8:H10,H12:H14,)</f>
        <v>1652010</v>
      </c>
      <c r="I16" s="1435">
        <f>SUM(I3,I6,I8:I10,I12:I14,)</f>
        <v>79590</v>
      </c>
      <c r="J16" s="1435">
        <f>SUM(J3,J6,J8:J10,J12:J14,)</f>
        <v>0</v>
      </c>
      <c r="K16" s="1435">
        <f>(H16+I16)-J16</f>
        <v>1731600</v>
      </c>
      <c r="L16" s="1435">
        <f>F16-K16</f>
        <v>678481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79590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5289196</v>
      </c>
      <c r="G8" s="701"/>
    </row>
    <row r="9" spans="1:9" x14ac:dyDescent="0.2">
      <c r="A9" s="705" t="s">
        <v>457</v>
      </c>
      <c r="B9" s="706" t="s">
        <v>1848</v>
      </c>
      <c r="C9" s="707"/>
      <c r="D9" s="705" t="s">
        <v>498</v>
      </c>
      <c r="E9" s="704"/>
      <c r="F9" s="1775">
        <f>'Expenditures 15-22'!K151</f>
        <v>173929</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498772</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5961897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415044</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144130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12133</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25527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39050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28279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664163</v>
      </c>
      <c r="G77" s="701"/>
    </row>
    <row r="78" spans="1:9" s="728" customFormat="1" ht="12" customHeight="1" thickTop="1" thickBot="1" x14ac:dyDescent="0.25">
      <c r="A78" s="1450"/>
      <c r="B78" s="1448"/>
      <c r="C78" s="1445"/>
      <c r="D78" s="1449" t="s">
        <v>2012</v>
      </c>
      <c r="E78" s="1447"/>
      <c r="F78" s="1788">
        <f>(F14-F77)</f>
        <v>5297734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397</v>
      </c>
      <c r="G95" s="745"/>
    </row>
    <row r="96" spans="1:7" x14ac:dyDescent="0.2">
      <c r="A96" s="741" t="s">
        <v>139</v>
      </c>
      <c r="B96" s="741" t="s">
        <v>174</v>
      </c>
      <c r="C96" s="743">
        <v>1700</v>
      </c>
      <c r="D96" s="751" t="str">
        <f>'Revenues 9-14'!A82</f>
        <v>Total District/School Activity Income</v>
      </c>
      <c r="E96" s="739"/>
      <c r="F96" s="1793">
        <f>SUM('Revenues 9-14'!C82,'Revenues 9-14'!D82)</f>
        <v>14</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20010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183471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6690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250568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85364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15301</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561925</v>
      </c>
    </row>
    <row r="176" spans="1:7" ht="12" customHeight="1" x14ac:dyDescent="0.2">
      <c r="A176" s="1443"/>
      <c r="B176" s="1453"/>
      <c r="C176" s="1454"/>
      <c r="D176" s="1455" t="s">
        <v>2014</v>
      </c>
      <c r="E176" s="1456"/>
      <c r="F176" s="1793">
        <f>'PCTC-OEPP 27-28'!F78-F175</f>
        <v>4735809</v>
      </c>
    </row>
    <row r="177" spans="1:9" ht="12" customHeight="1" x14ac:dyDescent="0.2">
      <c r="A177" s="1443"/>
      <c r="B177" s="1453"/>
      <c r="C177" s="1454"/>
      <c r="D177" s="1455" t="s">
        <v>1794</v>
      </c>
      <c r="E177" s="1456"/>
      <c r="F177" s="1793">
        <f>'Cap Outlay Deprec 26'!I18</f>
        <v>79590</v>
      </c>
    </row>
    <row r="178" spans="1:9" ht="12" customHeight="1" x14ac:dyDescent="0.2">
      <c r="A178" s="1443"/>
      <c r="B178" s="1453"/>
      <c r="C178" s="1454"/>
      <c r="D178" s="1455" t="s">
        <v>2015</v>
      </c>
      <c r="E178" s="1456"/>
      <c r="F178" s="1793">
        <f>F176+F177</f>
        <v>4815399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3601217</v>
      </c>
      <c r="F19" s="1802"/>
      <c r="G19" s="1804">
        <f>'Expenditures 15-22'!K33-SUM('Expenditures 15-22'!G33,'Expenditures 15-22'!I33)+'Expenditures 15-22'!D229</f>
        <v>3601217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877095</v>
      </c>
      <c r="F21" s="1805"/>
      <c r="G21" s="1808">
        <f>'Expenditures 15-22'!K42-SUM('Expenditures 15-22'!G42,'Expenditures 15-22'!I42)+'Expenditures 15-22'!K120-SUM('Expenditures 15-22'!G120,'Expenditures 15-22'!I120)+'Expenditures 15-22'!K180-SUM('Expenditures 15-22'!G180,'Expenditures 15-22'!I180)+'Expenditures 15-22'!D238</f>
        <v>877095</v>
      </c>
      <c r="H21" s="817"/>
      <c r="I21" s="157"/>
    </row>
    <row r="22" spans="1:9" s="542" customFormat="1" ht="12" customHeight="1" x14ac:dyDescent="0.2">
      <c r="A22" s="824" t="s">
        <v>560</v>
      </c>
      <c r="B22" s="825"/>
      <c r="C22" s="823">
        <v>2200</v>
      </c>
      <c r="D22" s="1805"/>
      <c r="E22" s="1807">
        <f>'Expenditures 15-22'!K47-SUM('Expenditures 15-22'!G47,'Expenditures 15-22'!I47)+'Expenditures 15-22'!D243</f>
        <v>71031</v>
      </c>
      <c r="F22" s="1805"/>
      <c r="G22" s="1808">
        <f>'Expenditures 15-22'!K47-SUM('Expenditures 15-22'!G47,'Expenditures 15-22'!I47)+'Expenditures 15-22'!D243</f>
        <v>71031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490719</v>
      </c>
      <c r="F23" s="1805"/>
      <c r="G23" s="1807">
        <f>'Expenditures 15-22'!K53-SUM('Expenditures 15-22'!G53,'Expenditures 15-22'!I53)+'Expenditures 15-22'!D257+'Expenditures 15-22'!K330-SUM('Expenditures 15-22'!G330,'Expenditures 15-22'!I330)</f>
        <v>490719</v>
      </c>
      <c r="H23" s="817"/>
      <c r="I23" s="157"/>
    </row>
    <row r="24" spans="1:9" s="542" customFormat="1" ht="12" customHeight="1" x14ac:dyDescent="0.2">
      <c r="A24" s="824" t="s">
        <v>562</v>
      </c>
      <c r="B24" s="825"/>
      <c r="C24" s="823">
        <v>2400</v>
      </c>
      <c r="D24" s="1805"/>
      <c r="E24" s="1807">
        <f>'Expenditures 15-22'!K57-SUM('Expenditures 15-22'!G57,'Expenditures 15-22'!I57)+'Expenditures 15-22'!D261</f>
        <v>144380</v>
      </c>
      <c r="F24" s="1805"/>
      <c r="G24" s="1808">
        <f>'Expenditures 15-22'!K57-SUM('Expenditures 15-22'!G57,'Expenditures 15-22'!I57)+'Expenditures 15-22'!D261</f>
        <v>144380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57659</v>
      </c>
      <c r="E27" s="1807">
        <f>E8</f>
        <v>0</v>
      </c>
      <c r="F27" s="1807">
        <f>'Expenditures 15-22'!K60-SUM('Expenditures 15-22'!G60,'Expenditures 15-22'!I60)+'Expenditures 15-22'!D264-E8</f>
        <v>57659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134879</v>
      </c>
      <c r="F28" s="1809">
        <f>'Expenditures 15-22'!K61-SUM('Expenditures 15-22'!G61,'Expenditures 15-22'!I61)+'Expenditures 15-22'!K124-SUM('Expenditures 15-22'!G124,'Expenditures 15-22'!I124)+'Expenditures 15-22'!D266-E9</f>
        <v>134879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470493</v>
      </c>
      <c r="F29" s="1805"/>
      <c r="G29" s="1808">
        <f>'Expenditures 15-22'!K62-SUM('Expenditures 15-22'!G62,'Expenditures 15-22'!I62)+'Expenditures 15-22'!K125-SUM('Expenditures 15-22'!G125,'Expenditures 15-22'!I125)+'Expenditures 15-22'!K182-SUM('Expenditures 15-22'!G182,'Expenditures 15-22'!I182)+'Expenditures 15-22'!D267</f>
        <v>470493</v>
      </c>
      <c r="H29" s="815"/>
    </row>
    <row r="30" spans="1:9" ht="12" customHeight="1" x14ac:dyDescent="0.2">
      <c r="A30" s="824" t="s">
        <v>100</v>
      </c>
      <c r="B30" s="827"/>
      <c r="C30" s="823">
        <v>2560</v>
      </c>
      <c r="D30" s="1805"/>
      <c r="E30" s="1807">
        <f>'Expenditures 15-22'!K63-SUM('Expenditures 15-22'!G63,'Expenditures 15-22'!I63)+'Expenditures 15-22'!D268-E10</f>
        <v>21568</v>
      </c>
      <c r="F30" s="1805"/>
      <c r="G30" s="1807">
        <f>'Expenditures 15-22'!K63-SUM('Expenditures 15-22'!G63,'Expenditures 15-22'!I63)+'Expenditures 15-22'!D268-E10</f>
        <v>21568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57659</v>
      </c>
      <c r="E41" s="1809">
        <f>SUM(E19:E40)</f>
        <v>5811382</v>
      </c>
      <c r="F41" s="1809">
        <f>SUM(F19:F39)</f>
        <v>192538</v>
      </c>
      <c r="G41" s="1809">
        <f>SUM(G19:G40)</f>
        <v>5676503</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57659</v>
      </c>
      <c r="F43" s="1458" t="s">
        <v>470</v>
      </c>
      <c r="G43" s="1810">
        <f>F41</f>
        <v>192538</v>
      </c>
    </row>
    <row r="44" spans="1:7" ht="12" customHeight="1" x14ac:dyDescent="0.2">
      <c r="A44" s="817"/>
      <c r="B44" s="157"/>
      <c r="C44" s="831"/>
      <c r="D44" s="1458" t="s">
        <v>471</v>
      </c>
      <c r="E44" s="1810">
        <f>E41</f>
        <v>5811382</v>
      </c>
      <c r="F44" s="1458" t="s">
        <v>471</v>
      </c>
      <c r="G44" s="1810">
        <f>G41</f>
        <v>5676503</v>
      </c>
    </row>
    <row r="45" spans="1:7" ht="12" customHeight="1" x14ac:dyDescent="0.2">
      <c r="A45" s="817"/>
      <c r="B45" s="157"/>
      <c r="C45" s="157"/>
      <c r="D45" s="1459" t="s">
        <v>999</v>
      </c>
      <c r="E45" s="1811">
        <f>(E43/E44)</f>
        <v>9.9217363442981373E-3</v>
      </c>
      <c r="F45" s="1459" t="s">
        <v>999</v>
      </c>
      <c r="G45" s="1811">
        <f>(G43/G44)</f>
        <v>3.3918417730070788E-2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9" sqref="A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Iroquois Special Education</v>
      </c>
      <c r="D6" s="2406"/>
      <c r="E6" s="2406"/>
      <c r="F6" s="1482"/>
      <c r="G6" s="1507"/>
      <c r="L6" s="1507"/>
      <c r="M6" s="1855"/>
      <c r="N6" s="1855"/>
      <c r="O6" s="1855"/>
    </row>
    <row r="7" spans="1:15" ht="11.25" customHeight="1" thickBot="1" x14ac:dyDescent="0.3">
      <c r="A7" s="1480"/>
      <c r="B7" s="1481"/>
      <c r="C7" s="2407">
        <f>COVER!A13</f>
        <v>32038801060</v>
      </c>
      <c r="D7" s="2407"/>
      <c r="E7" s="2407"/>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2" t="str">
        <f>COVER!A17</f>
        <v>Iroquois Special Education</v>
      </c>
      <c r="K6" s="2422"/>
      <c r="L6" s="2423"/>
      <c r="M6" s="838"/>
      <c r="N6" s="1999"/>
    </row>
    <row r="7" spans="1:14" x14ac:dyDescent="0.2">
      <c r="A7" s="2424" t="s">
        <v>864</v>
      </c>
      <c r="B7" s="2425"/>
      <c r="C7" s="2425"/>
      <c r="D7" s="2425"/>
      <c r="E7" s="2426"/>
      <c r="F7" s="839"/>
      <c r="G7" s="838"/>
      <c r="H7" s="838"/>
      <c r="I7" s="1925" t="s">
        <v>369</v>
      </c>
      <c r="J7" s="2427">
        <f>COVER!A13</f>
        <v>32038801060</v>
      </c>
      <c r="K7" s="2427"/>
      <c r="L7" s="242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8" t="s">
        <v>478</v>
      </c>
      <c r="B11" s="2429"/>
      <c r="C11" s="243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495068</v>
      </c>
      <c r="F13" s="1943"/>
      <c r="G13" s="1969">
        <f>H68</f>
        <v>0</v>
      </c>
      <c r="H13" s="1945">
        <f t="shared" si="0"/>
        <v>495068</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1" t="s">
        <v>7</v>
      </c>
      <c r="C18" s="2432"/>
      <c r="D18" s="243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495068</v>
      </c>
      <c r="F19" s="1951">
        <f t="shared" si="2"/>
        <v>0</v>
      </c>
      <c r="G19" s="1951">
        <f t="shared" ref="G19" si="3">SUM(G12:G17)-G18</f>
        <v>0</v>
      </c>
      <c r="H19" s="1951">
        <f t="shared" si="2"/>
        <v>495068</v>
      </c>
      <c r="I19" s="1951">
        <f t="shared" si="2"/>
        <v>0</v>
      </c>
      <c r="J19" s="1951">
        <f t="shared" si="2"/>
        <v>0</v>
      </c>
      <c r="K19" s="1951">
        <f t="shared" si="2"/>
        <v>0</v>
      </c>
      <c r="L19" s="1951">
        <f t="shared" si="2"/>
        <v>0</v>
      </c>
      <c r="M19" s="838"/>
      <c r="N19" s="1999"/>
    </row>
    <row r="20" spans="1:14" ht="13.5" thickTop="1" x14ac:dyDescent="0.2">
      <c r="A20" s="2004">
        <v>9</v>
      </c>
      <c r="B20" s="2434" t="s">
        <v>2021</v>
      </c>
      <c r="C20" s="2434"/>
      <c r="D20" s="2435"/>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6"/>
      <c r="D27" s="2436"/>
      <c r="E27" s="843"/>
      <c r="F27" s="2437"/>
      <c r="G27" s="2437"/>
      <c r="H27" s="2437"/>
      <c r="I27" s="838"/>
      <c r="J27" s="838"/>
      <c r="K27" s="838"/>
      <c r="L27" s="838"/>
      <c r="M27" s="838"/>
      <c r="N27" s="1999"/>
    </row>
    <row r="28" spans="1:14" x14ac:dyDescent="0.2">
      <c r="A28" s="1998"/>
      <c r="B28" s="2008"/>
      <c r="C28" s="1958" t="s">
        <v>1026</v>
      </c>
      <c r="D28" s="844"/>
      <c r="E28" s="1959"/>
      <c r="F28" s="2438" t="s">
        <v>1492</v>
      </c>
      <c r="G28" s="2438"/>
      <c r="H28" s="2438"/>
      <c r="I28" s="838"/>
      <c r="J28" s="838"/>
      <c r="K28" s="838"/>
      <c r="L28" s="838"/>
      <c r="M28" s="838"/>
      <c r="N28" s="1999"/>
    </row>
    <row r="29" spans="1:14" x14ac:dyDescent="0.2">
      <c r="A29" s="1998"/>
      <c r="B29" s="2008"/>
      <c r="C29" s="2439"/>
      <c r="D29" s="2439"/>
      <c r="E29" s="845"/>
      <c r="F29" s="2439"/>
      <c r="G29" s="2439"/>
      <c r="H29" s="2439"/>
      <c r="I29" s="838"/>
      <c r="J29" s="838"/>
      <c r="K29" s="838"/>
      <c r="L29" s="838"/>
      <c r="M29" s="838"/>
      <c r="N29" s="1999"/>
    </row>
    <row r="30" spans="1:14" x14ac:dyDescent="0.2">
      <c r="A30" s="1998"/>
      <c r="B30" s="2008"/>
      <c r="C30" s="1961" t="s">
        <v>1544</v>
      </c>
      <c r="D30" s="838"/>
      <c r="E30" s="1960"/>
      <c r="F30" s="2421" t="s">
        <v>1493</v>
      </c>
      <c r="G30" s="2421"/>
      <c r="H30" s="242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2" t="s">
        <v>2024</v>
      </c>
      <c r="D34" s="2443"/>
      <c r="E34" s="2443"/>
      <c r="F34" s="2443"/>
      <c r="G34" s="2443"/>
      <c r="H34" s="2443"/>
      <c r="I34" s="2443"/>
      <c r="J34" s="2443"/>
      <c r="K34" s="2017"/>
      <c r="L34" s="838"/>
      <c r="M34" s="838"/>
      <c r="N34" s="1999"/>
    </row>
    <row r="35" spans="1:14" x14ac:dyDescent="0.2">
      <c r="A35" s="1998"/>
      <c r="B35" s="838"/>
      <c r="C35" s="2443"/>
      <c r="D35" s="2443"/>
      <c r="E35" s="2443"/>
      <c r="F35" s="2443"/>
      <c r="G35" s="2443"/>
      <c r="H35" s="2443"/>
      <c r="I35" s="2443"/>
      <c r="J35" s="244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2" t="s">
        <v>2025</v>
      </c>
      <c r="D37" s="2443"/>
      <c r="E37" s="2443"/>
      <c r="F37" s="2443"/>
      <c r="G37" s="2443"/>
      <c r="H37" s="2443"/>
      <c r="I37" s="2443"/>
      <c r="J37" s="2443"/>
      <c r="K37" s="2017"/>
      <c r="L37" s="2019"/>
      <c r="M37" s="838"/>
      <c r="N37" s="1999"/>
    </row>
    <row r="38" spans="1:14" x14ac:dyDescent="0.2">
      <c r="A38" s="1998"/>
      <c r="B38" s="838"/>
      <c r="C38" s="2443"/>
      <c r="D38" s="2443"/>
      <c r="E38" s="2443"/>
      <c r="F38" s="2443"/>
      <c r="G38" s="2443"/>
      <c r="H38" s="2443"/>
      <c r="I38" s="2443"/>
      <c r="J38" s="244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4" t="s">
        <v>2026</v>
      </c>
      <c r="D40" s="2445"/>
      <c r="E40" s="2445"/>
      <c r="F40" s="2445"/>
      <c r="G40" s="2445"/>
      <c r="H40" s="2445"/>
      <c r="I40" s="2445"/>
      <c r="J40" s="244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2" t="str">
        <f>J6</f>
        <v>Iroquois Special Education</v>
      </c>
      <c r="M52" s="2422"/>
      <c r="N52" s="2452"/>
    </row>
    <row r="53" spans="1:14" x14ac:dyDescent="0.2">
      <c r="A53" s="1983"/>
      <c r="B53" s="1984"/>
      <c r="C53" s="1984"/>
      <c r="D53" s="1984"/>
      <c r="E53" s="1984"/>
      <c r="F53" s="1984"/>
      <c r="G53" s="1984"/>
      <c r="H53" s="1984"/>
      <c r="I53" s="1984"/>
      <c r="J53" s="1984"/>
      <c r="K53" s="1925" t="s">
        <v>369</v>
      </c>
      <c r="L53" s="2427">
        <f>J7</f>
        <v>32038801060</v>
      </c>
      <c r="M53" s="2427"/>
      <c r="N53" s="245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4"/>
      <c r="B55" s="2455"/>
      <c r="C55" s="2455"/>
      <c r="D55" s="1971"/>
      <c r="E55" s="1971"/>
      <c r="F55" s="1971"/>
      <c r="G55" s="2456" t="s">
        <v>2030</v>
      </c>
      <c r="H55" s="2456"/>
      <c r="I55" s="2456"/>
      <c r="J55" s="2456"/>
      <c r="K55" s="2456"/>
      <c r="L55" s="2456"/>
      <c r="M55" s="2456"/>
      <c r="N55" s="2457"/>
    </row>
    <row r="56" spans="1:14" ht="63.75" x14ac:dyDescent="0.2">
      <c r="A56" s="2458" t="s">
        <v>2031</v>
      </c>
      <c r="B56" s="2459"/>
      <c r="C56" s="246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1" t="s">
        <v>296</v>
      </c>
      <c r="B57" s="2462"/>
      <c r="C57" s="246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0" t="s">
        <v>2041</v>
      </c>
      <c r="B58" s="2441"/>
      <c r="C58" s="2441"/>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3" t="s">
        <v>297</v>
      </c>
      <c r="B59" s="2464"/>
      <c r="C59" s="246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3" t="s">
        <v>236</v>
      </c>
      <c r="B60" s="2464"/>
      <c r="C60" s="246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3" t="s">
        <v>697</v>
      </c>
      <c r="B61" s="2464"/>
      <c r="C61" s="2464"/>
      <c r="D61" s="1968">
        <v>2365</v>
      </c>
      <c r="E61" s="1978">
        <f>'Expenditures 15-22'!K323</f>
        <v>0</v>
      </c>
      <c r="F61" s="1973"/>
      <c r="G61" s="2032"/>
      <c r="H61" s="2033"/>
      <c r="I61" s="2033"/>
      <c r="J61" s="2033"/>
      <c r="K61" s="2033"/>
      <c r="L61" s="2033"/>
      <c r="M61" s="2033"/>
      <c r="N61" s="1976">
        <f t="shared" si="4"/>
        <v>0</v>
      </c>
    </row>
    <row r="62" spans="1:14" ht="24" customHeight="1" x14ac:dyDescent="0.2">
      <c r="A62" s="2463" t="s">
        <v>237</v>
      </c>
      <c r="B62" s="2464"/>
      <c r="C62" s="2464"/>
      <c r="D62" s="1968">
        <v>2366</v>
      </c>
      <c r="E62" s="1978">
        <f>'Expenditures 15-22'!K324</f>
        <v>0</v>
      </c>
      <c r="F62" s="1973"/>
      <c r="G62" s="2032"/>
      <c r="H62" s="2033"/>
      <c r="I62" s="2033"/>
      <c r="J62" s="2033"/>
      <c r="K62" s="2033"/>
      <c r="L62" s="2033"/>
      <c r="M62" s="2033"/>
      <c r="N62" s="1976">
        <f t="shared" si="4"/>
        <v>0</v>
      </c>
    </row>
    <row r="63" spans="1:14" ht="24" customHeight="1" x14ac:dyDescent="0.2">
      <c r="A63" s="2440" t="s">
        <v>1022</v>
      </c>
      <c r="B63" s="2441"/>
      <c r="C63" s="2441"/>
      <c r="D63" s="1968">
        <v>2367</v>
      </c>
      <c r="E63" s="1978">
        <f>'Expenditures 15-22'!K325</f>
        <v>0</v>
      </c>
      <c r="F63" s="1973"/>
      <c r="G63" s="2032"/>
      <c r="H63" s="2033"/>
      <c r="I63" s="2033"/>
      <c r="J63" s="2033"/>
      <c r="K63" s="2033"/>
      <c r="L63" s="2033"/>
      <c r="M63" s="2033"/>
      <c r="N63" s="1976">
        <f t="shared" si="4"/>
        <v>0</v>
      </c>
    </row>
    <row r="64" spans="1:14" ht="24" customHeight="1" x14ac:dyDescent="0.2">
      <c r="A64" s="2463" t="s">
        <v>1023</v>
      </c>
      <c r="B64" s="2464"/>
      <c r="C64" s="2464"/>
      <c r="D64" s="1968">
        <v>2368</v>
      </c>
      <c r="E64" s="1978">
        <f>'Expenditures 15-22'!K326</f>
        <v>0</v>
      </c>
      <c r="F64" s="1973"/>
      <c r="G64" s="2032"/>
      <c r="H64" s="2033"/>
      <c r="I64" s="2033"/>
      <c r="J64" s="2033"/>
      <c r="K64" s="2033"/>
      <c r="L64" s="2033"/>
      <c r="M64" s="2033"/>
      <c r="N64" s="1976">
        <f t="shared" si="4"/>
        <v>0</v>
      </c>
    </row>
    <row r="65" spans="1:14" ht="24" customHeight="1" x14ac:dyDescent="0.2">
      <c r="A65" s="2463" t="s">
        <v>965</v>
      </c>
      <c r="B65" s="2464"/>
      <c r="C65" s="2464"/>
      <c r="D65" s="1968">
        <v>2369</v>
      </c>
      <c r="E65" s="1978">
        <f>'Expenditures 15-22'!K327</f>
        <v>0</v>
      </c>
      <c r="F65" s="1973"/>
      <c r="G65" s="2032"/>
      <c r="H65" s="2033"/>
      <c r="I65" s="2033"/>
      <c r="J65" s="2033"/>
      <c r="K65" s="2033"/>
      <c r="L65" s="2033"/>
      <c r="M65" s="2033"/>
      <c r="N65" s="1976">
        <f t="shared" si="4"/>
        <v>0</v>
      </c>
    </row>
    <row r="66" spans="1:14" ht="24" customHeight="1" x14ac:dyDescent="0.2">
      <c r="A66" s="2463" t="s">
        <v>469</v>
      </c>
      <c r="B66" s="2464"/>
      <c r="C66" s="2464"/>
      <c r="D66" s="1968">
        <v>2371</v>
      </c>
      <c r="E66" s="1978">
        <f>'Expenditures 15-22'!K328</f>
        <v>0</v>
      </c>
      <c r="F66" s="1973"/>
      <c r="G66" s="2032"/>
      <c r="H66" s="2033"/>
      <c r="I66" s="2033"/>
      <c r="J66" s="2033"/>
      <c r="K66" s="2033"/>
      <c r="L66" s="2033"/>
      <c r="M66" s="2033"/>
      <c r="N66" s="1976">
        <f t="shared" si="4"/>
        <v>0</v>
      </c>
    </row>
    <row r="67" spans="1:14" ht="24.75" customHeight="1" x14ac:dyDescent="0.2">
      <c r="A67" s="2465" t="s">
        <v>2042</v>
      </c>
      <c r="B67" s="2466"/>
      <c r="C67" s="2466"/>
      <c r="D67" s="1970">
        <v>2372</v>
      </c>
      <c r="E67" s="1979">
        <f>'Expenditures 15-22'!K329</f>
        <v>0</v>
      </c>
      <c r="F67" s="1973"/>
      <c r="G67" s="2034"/>
      <c r="H67" s="2035"/>
      <c r="I67" s="2035"/>
      <c r="J67" s="2035"/>
      <c r="K67" s="2035"/>
      <c r="L67" s="2035"/>
      <c r="M67" s="2035"/>
      <c r="N67" s="1976">
        <f t="shared" si="4"/>
        <v>0</v>
      </c>
    </row>
    <row r="68" spans="1:14" x14ac:dyDescent="0.2">
      <c r="A68" s="2467" t="s">
        <v>1151</v>
      </c>
      <c r="B68" s="2468"/>
      <c r="C68" s="2468"/>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2079</v>
      </c>
    </row>
    <row r="6" spans="1:2" x14ac:dyDescent="0.2">
      <c r="A6" s="847"/>
      <c r="B6" s="2037" t="s">
        <v>2080</v>
      </c>
    </row>
    <row r="7" spans="1:2" x14ac:dyDescent="0.2">
      <c r="A7" s="847"/>
      <c r="B7" s="307" t="s">
        <v>2081</v>
      </c>
    </row>
    <row r="8" spans="1:2" x14ac:dyDescent="0.2">
      <c r="A8" s="847"/>
    </row>
    <row r="9" spans="1:2" x14ac:dyDescent="0.2">
      <c r="A9" s="847">
        <v>2</v>
      </c>
      <c r="B9" s="2038" t="s">
        <v>2082</v>
      </c>
    </row>
    <row r="10" spans="1:2" x14ac:dyDescent="0.2">
      <c r="A10" s="847"/>
      <c r="B10" s="2037" t="s">
        <v>2083</v>
      </c>
    </row>
    <row r="11" spans="1:2" x14ac:dyDescent="0.2">
      <c r="A11" s="847"/>
      <c r="B11" s="307" t="s">
        <v>2084</v>
      </c>
    </row>
    <row r="13" spans="1:2" x14ac:dyDescent="0.2">
      <c r="A13" s="847">
        <v>3</v>
      </c>
      <c r="B13" s="2038" t="s">
        <v>2071</v>
      </c>
    </row>
    <row r="14" spans="1:2" x14ac:dyDescent="0.2">
      <c r="A14" s="847"/>
      <c r="B14" s="2037" t="s">
        <v>2072</v>
      </c>
    </row>
    <row r="15" spans="1:2" x14ac:dyDescent="0.2">
      <c r="A15" s="847"/>
      <c r="B15" s="307" t="s">
        <v>2073</v>
      </c>
    </row>
    <row r="16" spans="1:2" x14ac:dyDescent="0.2">
      <c r="A16" s="847"/>
    </row>
    <row r="17" spans="1:2" x14ac:dyDescent="0.2">
      <c r="A17" s="847"/>
      <c r="B17" s="2037" t="s">
        <v>2083</v>
      </c>
    </row>
    <row r="18" spans="1:2" x14ac:dyDescent="0.2">
      <c r="A18" s="847"/>
      <c r="B18" s="307" t="s">
        <v>2085</v>
      </c>
    </row>
    <row r="19" spans="1:2" x14ac:dyDescent="0.2">
      <c r="A19" s="847"/>
    </row>
    <row r="20" spans="1:2" x14ac:dyDescent="0.2">
      <c r="A20" s="847">
        <v>4</v>
      </c>
      <c r="B20" s="2038" t="s">
        <v>2074</v>
      </c>
    </row>
    <row r="21" spans="1:2" x14ac:dyDescent="0.2">
      <c r="A21" s="847"/>
      <c r="B21" s="2037" t="s">
        <v>2072</v>
      </c>
    </row>
    <row r="22" spans="1:2" x14ac:dyDescent="0.2">
      <c r="A22" s="847"/>
      <c r="B22" s="307" t="s">
        <v>2075</v>
      </c>
    </row>
    <row r="23" spans="1:2" x14ac:dyDescent="0.2">
      <c r="A23" s="847"/>
    </row>
    <row r="24" spans="1:2" x14ac:dyDescent="0.2">
      <c r="A24" s="847">
        <v>5</v>
      </c>
      <c r="B24" s="2038" t="s">
        <v>2076</v>
      </c>
    </row>
    <row r="25" spans="1:2" x14ac:dyDescent="0.2">
      <c r="A25" s="847"/>
      <c r="B25" s="2037" t="s">
        <v>2077</v>
      </c>
    </row>
    <row r="26" spans="1:2" x14ac:dyDescent="0.2">
      <c r="A26" s="847"/>
      <c r="B26" s="307" t="s">
        <v>2086</v>
      </c>
    </row>
    <row r="27" spans="1:2" x14ac:dyDescent="0.2">
      <c r="A27" s="847"/>
    </row>
    <row r="28" spans="1:2" x14ac:dyDescent="0.2">
      <c r="A28" s="847"/>
      <c r="B28" s="2037" t="s">
        <v>2078</v>
      </c>
    </row>
    <row r="29" spans="1:2" x14ac:dyDescent="0.2">
      <c r="A29" s="847"/>
      <c r="B29" s="307" t="s">
        <v>2070</v>
      </c>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row>
    <row r="84" spans="1:2" x14ac:dyDescent="0.2">
      <c r="A84" s="848"/>
    </row>
    <row r="85" spans="1:2" x14ac:dyDescent="0.2">
      <c r="A85" s="848"/>
      <c r="B85" s="253" t="str">
        <f>COVER!A17</f>
        <v>Iroquois Special Education</v>
      </c>
    </row>
    <row r="86" spans="1:2" x14ac:dyDescent="0.2">
      <c r="B86" s="849">
        <f>COVER!A13</f>
        <v>32038801060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5582685</v>
      </c>
      <c r="C8" s="1813">
        <f>'Acct Summary 7-8'!D8</f>
        <v>253992</v>
      </c>
      <c r="D8" s="1813">
        <f>'Acct Summary 7-8'!F8</f>
        <v>415364</v>
      </c>
      <c r="E8" s="1813">
        <f>'Acct Summary 7-8'!I8</f>
        <v>0</v>
      </c>
      <c r="F8" s="1813">
        <f>SUM(B8:E8)</f>
        <v>6252041</v>
      </c>
    </row>
    <row r="9" spans="1:8" s="858" customFormat="1" ht="14.25" customHeight="1" thickBot="1" x14ac:dyDescent="0.25">
      <c r="A9" s="857" t="s">
        <v>1353</v>
      </c>
      <c r="B9" s="1814">
        <f>'Acct Summary 7-8'!C17</f>
        <v>5289196</v>
      </c>
      <c r="C9" s="1814">
        <f>'Acct Summary 7-8'!D17</f>
        <v>173929</v>
      </c>
      <c r="D9" s="1814">
        <f>'Acct Summary 7-8'!F17</f>
        <v>498772</v>
      </c>
      <c r="E9" s="1813"/>
      <c r="F9" s="1813">
        <f>SUM(B9:E9)</f>
        <v>5961897</v>
      </c>
    </row>
    <row r="10" spans="1:8" s="858" customFormat="1" ht="14.25" thickTop="1" thickBot="1" x14ac:dyDescent="0.25">
      <c r="A10" s="859" t="s">
        <v>1354</v>
      </c>
      <c r="B10" s="1815">
        <f>(B8-B9)</f>
        <v>293489</v>
      </c>
      <c r="C10" s="1815">
        <f>(C8-C9)</f>
        <v>80063</v>
      </c>
      <c r="D10" s="1815">
        <f>(D8-D9)</f>
        <v>-83408</v>
      </c>
      <c r="E10" s="1814">
        <f>(E8-E9)</f>
        <v>0</v>
      </c>
      <c r="F10" s="1816">
        <f>SUM(F8-F9)</f>
        <v>290144</v>
      </c>
    </row>
    <row r="11" spans="1:8" s="858" customFormat="1" ht="14.25" thickTop="1" thickBot="1" x14ac:dyDescent="0.25">
      <c r="A11" s="860" t="s">
        <v>1903</v>
      </c>
      <c r="B11" s="1817">
        <f>'Acct Summary 7-8'!C81</f>
        <v>1192939</v>
      </c>
      <c r="C11" s="1817">
        <f>'Acct Summary 7-8'!D81</f>
        <v>61779</v>
      </c>
      <c r="D11" s="1817">
        <f>'Acct Summary 7-8'!F81</f>
        <v>118692</v>
      </c>
      <c r="E11" s="1817">
        <f>'Acct Summary 7-8'!I81</f>
        <v>0</v>
      </c>
      <c r="F11" s="1818">
        <f>SUM(B11:E11)</f>
        <v>1373410</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32038801060</v>
      </c>
      <c r="E2" s="1542">
        <v>2020</v>
      </c>
      <c r="F2" s="1542">
        <v>1</v>
      </c>
      <c r="G2" s="1899">
        <v>101000300</v>
      </c>
    </row>
    <row r="3" spans="1:7" ht="15" x14ac:dyDescent="0.25">
      <c r="A3" t="s">
        <v>950</v>
      </c>
      <c r="B3" s="135" t="str">
        <f>COVER!A15</f>
        <v>IROQUOIS</v>
      </c>
      <c r="E3" s="1830" t="s">
        <v>1971</v>
      </c>
      <c r="F3" s="1830" t="s">
        <v>1970</v>
      </c>
      <c r="G3" s="1899">
        <v>101000400</v>
      </c>
    </row>
    <row r="4" spans="1:7" ht="15" x14ac:dyDescent="0.25">
      <c r="A4" t="s">
        <v>1000</v>
      </c>
      <c r="B4" s="135" t="str">
        <f>COVER!A17</f>
        <v>Iroquois Special Education</v>
      </c>
      <c r="E4" s="1828">
        <v>44119</v>
      </c>
      <c r="F4" s="1829">
        <v>44151</v>
      </c>
      <c r="G4" s="1899">
        <v>101000600</v>
      </c>
    </row>
    <row r="5" spans="1:7" ht="15" x14ac:dyDescent="0.25">
      <c r="A5" t="s">
        <v>699</v>
      </c>
      <c r="B5" s="135" t="str">
        <f>COVER!A38</f>
        <v>Nicole Bullington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239016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1192939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1192939</v>
      </c>
      <c r="D92" s="2" t="str">
        <f t="shared" si="0"/>
        <v>Error?</v>
      </c>
      <c r="G92" s="1899">
        <v>102640600</v>
      </c>
    </row>
    <row r="93" spans="1:7" ht="15" x14ac:dyDescent="0.25">
      <c r="A93" s="5">
        <v>32</v>
      </c>
      <c r="B93" s="1832">
        <f>'Assets-Liab 5-6'!C41</f>
        <v>1192939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61779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61779</v>
      </c>
      <c r="D123" s="2" t="str">
        <f t="shared" si="0"/>
        <v>Error?</v>
      </c>
      <c r="G123" s="1899">
        <v>203000400</v>
      </c>
    </row>
    <row r="124" spans="1:7" ht="15" x14ac:dyDescent="0.25">
      <c r="A124" s="5">
        <v>63</v>
      </c>
      <c r="B124" s="1832">
        <f>'Assets-Liab 5-6'!D41</f>
        <v>61779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118692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118692</v>
      </c>
      <c r="D170" s="2" t="str">
        <f t="shared" si="1"/>
        <v>Error?</v>
      </c>
    </row>
    <row r="171" spans="1:4" x14ac:dyDescent="0.2">
      <c r="A171" s="5">
        <v>110</v>
      </c>
      <c r="B171" s="1832">
        <f>'Assets-Liab 5-6'!F41</f>
        <v>118692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473175</v>
      </c>
      <c r="D274" s="2" t="str">
        <f t="shared" si="3"/>
        <v>Error?</v>
      </c>
    </row>
    <row r="275" spans="1:4" x14ac:dyDescent="0.2">
      <c r="A275" s="5">
        <v>214</v>
      </c>
      <c r="B275" s="1832">
        <f>'Assets-Liab 5-6'!M18</f>
        <v>183798</v>
      </c>
      <c r="D275" s="2" t="str">
        <f t="shared" si="3"/>
        <v>Error?</v>
      </c>
    </row>
    <row r="276" spans="1:4" x14ac:dyDescent="0.2">
      <c r="A276" s="5">
        <v>215</v>
      </c>
      <c r="B276" s="1832">
        <f>'Assets-Liab 5-6'!M19</f>
        <v>1753108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2410081</v>
      </c>
      <c r="C279" s="2" t="s">
        <v>569</v>
      </c>
      <c r="D279" s="2" t="str">
        <f t="shared" si="3"/>
        <v>Error?</v>
      </c>
    </row>
    <row r="280" spans="1:4" x14ac:dyDescent="0.2">
      <c r="A280" s="5">
        <v>219</v>
      </c>
      <c r="B280" s="1832">
        <f>'Assets-Liab 5-6'!M40</f>
        <v>2410081</v>
      </c>
      <c r="D280" s="2" t="str">
        <f t="shared" si="3"/>
        <v>Error?</v>
      </c>
    </row>
    <row r="281" spans="1:4" x14ac:dyDescent="0.2">
      <c r="A281" s="5">
        <v>220</v>
      </c>
      <c r="B281" s="1832">
        <f>'Assets-Liab 5-6'!M41</f>
        <v>2410081</v>
      </c>
      <c r="C281" s="2" t="s">
        <v>569</v>
      </c>
      <c r="D281" s="2" t="str">
        <f t="shared" si="3"/>
        <v>Error?</v>
      </c>
    </row>
    <row r="282" spans="1:4" x14ac:dyDescent="0.2">
      <c r="A282" s="5">
        <v>221</v>
      </c>
      <c r="B282" s="1832">
        <f>'Assets-Liab 5-6'!N21</f>
        <v>61779</v>
      </c>
      <c r="D282" s="2" t="str">
        <f t="shared" si="3"/>
        <v>Error?</v>
      </c>
    </row>
    <row r="283" spans="1:4" x14ac:dyDescent="0.2">
      <c r="A283" s="5">
        <v>222</v>
      </c>
      <c r="B283" s="1832">
        <f>'Assets-Liab 5-6'!N22</f>
        <v>150981</v>
      </c>
      <c r="D283" s="2" t="str">
        <f t="shared" si="3"/>
        <v>Error?</v>
      </c>
    </row>
    <row r="284" spans="1:4" x14ac:dyDescent="0.2">
      <c r="A284" s="5">
        <v>223</v>
      </c>
      <c r="B284" s="1832">
        <f>'Assets-Liab 5-6'!N23</f>
        <v>212760</v>
      </c>
      <c r="C284" s="2" t="s">
        <v>569</v>
      </c>
      <c r="D284" s="2" t="str">
        <f t="shared" si="3"/>
        <v>Error?</v>
      </c>
    </row>
    <row r="285" spans="1:4" x14ac:dyDescent="0.2">
      <c r="A285" s="5">
        <v>224</v>
      </c>
      <c r="B285" s="1832">
        <f>'Assets-Liab 5-6'!N36</f>
        <v>212760</v>
      </c>
      <c r="D285" s="2" t="str">
        <f t="shared" si="3"/>
        <v>Error?</v>
      </c>
    </row>
    <row r="286" spans="1:4" x14ac:dyDescent="0.2">
      <c r="A286" s="10">
        <v>225</v>
      </c>
      <c r="B286" s="1832"/>
      <c r="D286" s="2" t="str">
        <f t="shared" si="3"/>
        <v>OK</v>
      </c>
    </row>
    <row r="287" spans="1:4" x14ac:dyDescent="0.2">
      <c r="A287" s="5">
        <v>226</v>
      </c>
      <c r="B287" s="1832">
        <f>'Assets-Liab 5-6'!N37</f>
        <v>212760</v>
      </c>
      <c r="C287" s="2" t="s">
        <v>569</v>
      </c>
      <c r="D287" s="2" t="str">
        <f t="shared" si="3"/>
        <v>Error?</v>
      </c>
    </row>
    <row r="288" spans="1:4" x14ac:dyDescent="0.2">
      <c r="A288" s="5">
        <v>227</v>
      </c>
      <c r="B288" s="1832">
        <f>'Assets-Liab 5-6'!N41</f>
        <v>212760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11256</v>
      </c>
      <c r="D719" s="2" t="str">
        <f t="shared" si="10"/>
        <v>Error?</v>
      </c>
    </row>
    <row r="720" spans="1:4" x14ac:dyDescent="0.2">
      <c r="A720" s="5">
        <v>659</v>
      </c>
      <c r="B720" s="1832">
        <f>'Expenditures 15-22'!C33</f>
        <v>2645465</v>
      </c>
      <c r="C720" s="2" t="s">
        <v>569</v>
      </c>
      <c r="D720" s="2" t="str">
        <f t="shared" si="10"/>
        <v>Error?</v>
      </c>
    </row>
    <row r="721" spans="1:4" x14ac:dyDescent="0.2">
      <c r="A721" s="5">
        <v>660</v>
      </c>
      <c r="B721" s="1832">
        <f>'Expenditures 15-22'!C36</f>
        <v>219511</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188217</v>
      </c>
      <c r="D723" s="2" t="str">
        <f t="shared" si="10"/>
        <v>Error?</v>
      </c>
    </row>
    <row r="724" spans="1:4" x14ac:dyDescent="0.2">
      <c r="A724" s="5">
        <v>663</v>
      </c>
      <c r="B724" s="1832">
        <f>'Expenditures 15-22'!C39</f>
        <v>104382</v>
      </c>
      <c r="D724" s="2" t="str">
        <f t="shared" si="10"/>
        <v>Error?</v>
      </c>
    </row>
    <row r="725" spans="1:4" x14ac:dyDescent="0.2">
      <c r="A725" s="5">
        <v>664</v>
      </c>
      <c r="B725" s="1832">
        <f>'Expenditures 15-22'!C40</f>
        <v>151948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664058</v>
      </c>
      <c r="C727" s="2" t="s">
        <v>569</v>
      </c>
      <c r="D727" s="2" t="str">
        <f t="shared" si="10"/>
        <v>Error?</v>
      </c>
    </row>
    <row r="728" spans="1:4" x14ac:dyDescent="0.2">
      <c r="A728" s="5">
        <v>667</v>
      </c>
      <c r="B728" s="1832">
        <f>'Expenditures 15-22'!C44</f>
        <v>34558</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34558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188565</v>
      </c>
      <c r="C734" s="2" t="s">
        <v>569</v>
      </c>
      <c r="D734" s="2" t="str">
        <f t="shared" si="10"/>
        <v>Error?</v>
      </c>
    </row>
    <row r="735" spans="1:4" x14ac:dyDescent="0.2">
      <c r="A735" s="5">
        <v>674</v>
      </c>
      <c r="B735" s="1832">
        <f>'Expenditures 15-22'!C55</f>
        <v>108924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108924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43811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10485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54296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1050401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3695866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877</v>
      </c>
      <c r="D777" s="2" t="str">
        <f t="shared" si="11"/>
        <v>Error?</v>
      </c>
    </row>
    <row r="778" spans="1:4" x14ac:dyDescent="0.2">
      <c r="A778" s="5">
        <v>717</v>
      </c>
      <c r="B778" s="1832">
        <f>'Expenditures 15-22'!D33</f>
        <v>697099</v>
      </c>
      <c r="C778" s="2" t="s">
        <v>569</v>
      </c>
      <c r="D778" s="2" t="str">
        <f t="shared" si="11"/>
        <v>Error?</v>
      </c>
    </row>
    <row r="779" spans="1:4" x14ac:dyDescent="0.2">
      <c r="A779" s="5">
        <v>718</v>
      </c>
      <c r="B779" s="1832">
        <f>'Expenditures 15-22'!D36</f>
        <v>51335</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53256</v>
      </c>
      <c r="D781" s="2" t="str">
        <f t="shared" si="11"/>
        <v>Error?</v>
      </c>
    </row>
    <row r="782" spans="1:4" x14ac:dyDescent="0.2">
      <c r="A782" s="5">
        <v>721</v>
      </c>
      <c r="B782" s="1832">
        <f>'Expenditures 15-22'!D39</f>
        <v>19168</v>
      </c>
      <c r="D782" s="2" t="str">
        <f t="shared" si="11"/>
        <v>Error?</v>
      </c>
    </row>
    <row r="783" spans="1:4" x14ac:dyDescent="0.2">
      <c r="A783" s="5">
        <v>722</v>
      </c>
      <c r="B783" s="1832">
        <f>'Expenditures 15-22'!D40</f>
        <v>31052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154811</v>
      </c>
      <c r="C785" s="2" t="s">
        <v>569</v>
      </c>
      <c r="D785" s="2" t="str">
        <f t="shared" si="11"/>
        <v>Error?</v>
      </c>
    </row>
    <row r="786" spans="1:4" x14ac:dyDescent="0.2">
      <c r="A786" s="5">
        <v>725</v>
      </c>
      <c r="B786" s="1832">
        <f>'Expenditures 15-22'!D44</f>
        <v>5463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5463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53444</v>
      </c>
      <c r="C792" s="2" t="s">
        <v>569</v>
      </c>
      <c r="D792" s="2" t="str">
        <f t="shared" si="11"/>
        <v>Error?</v>
      </c>
    </row>
    <row r="793" spans="1:4" x14ac:dyDescent="0.2">
      <c r="A793" s="5">
        <v>732</v>
      </c>
      <c r="B793" s="1832">
        <f>'Expenditures 15-22'!D55</f>
        <v>30851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30851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13742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2055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15797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260366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957465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59997</v>
      </c>
      <c r="C836" s="2" t="s">
        <v>569</v>
      </c>
      <c r="D836" s="2" t="str">
        <f t="shared" si="12"/>
        <v>Error?</v>
      </c>
    </row>
    <row r="837" spans="1:4" x14ac:dyDescent="0.2">
      <c r="A837" s="5">
        <v>776</v>
      </c>
      <c r="B837" s="1832">
        <f>'Expenditures 15-22'!E36</f>
        <v>2850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20130</v>
      </c>
      <c r="D839" s="2" t="str">
        <f t="shared" si="12"/>
        <v>Error?</v>
      </c>
    </row>
    <row r="840" spans="1:4" x14ac:dyDescent="0.2">
      <c r="A840" s="5">
        <v>779</v>
      </c>
      <c r="B840" s="1832">
        <f>'Expenditures 15-22'!E39</f>
        <v>5132</v>
      </c>
      <c r="D840" s="2" t="str">
        <f t="shared" si="12"/>
        <v>Error?</v>
      </c>
    </row>
    <row r="841" spans="1:4" x14ac:dyDescent="0.2">
      <c r="A841" s="5">
        <v>780</v>
      </c>
      <c r="B841" s="1832">
        <f>'Expenditures 15-22'!E40</f>
        <v>23752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51864</v>
      </c>
      <c r="C843" s="2" t="s">
        <v>569</v>
      </c>
      <c r="D843" s="2" t="str">
        <f t="shared" si="12"/>
        <v>Error?</v>
      </c>
    </row>
    <row r="844" spans="1:4" x14ac:dyDescent="0.2">
      <c r="A844" s="5">
        <v>783</v>
      </c>
      <c r="B844" s="1832">
        <f>'Expenditures 15-22'!E44</f>
        <v>20277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20277</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228202</v>
      </c>
      <c r="C850" s="2" t="s">
        <v>569</v>
      </c>
      <c r="D850" s="2" t="str">
        <f t="shared" si="12"/>
        <v>Error?</v>
      </c>
    </row>
    <row r="851" spans="1:4" x14ac:dyDescent="0.2">
      <c r="A851" s="5">
        <v>790</v>
      </c>
      <c r="B851" s="1832">
        <f>'Expenditures 15-22'!E55</f>
        <v>368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368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176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300887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360884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25146</v>
      </c>
      <c r="C894" s="2" t="s">
        <v>569</v>
      </c>
      <c r="D894" s="2" t="str">
        <f t="shared" si="12"/>
        <v>Error?</v>
      </c>
    </row>
    <row r="895" spans="1:4" x14ac:dyDescent="0.2">
      <c r="A895" s="5">
        <v>834</v>
      </c>
      <c r="B895" s="1832">
        <f>'Expenditures 15-22'!F36</f>
        <v>361</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2026</v>
      </c>
      <c r="D897" s="2" t="str">
        <f t="shared" si="13"/>
        <v>Error?</v>
      </c>
    </row>
    <row r="898" spans="1:4" x14ac:dyDescent="0.2">
      <c r="A898" s="5">
        <v>837</v>
      </c>
      <c r="B898" s="1832">
        <f>'Expenditures 15-22'!F39</f>
        <v>2064</v>
      </c>
      <c r="D898" s="2" t="str">
        <f t="shared" si="13"/>
        <v>Error?</v>
      </c>
    </row>
    <row r="899" spans="1:4" x14ac:dyDescent="0.2">
      <c r="A899" s="5">
        <v>838</v>
      </c>
      <c r="B899" s="1832">
        <f>'Expenditures 15-22'!F40</f>
        <v>1911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6362</v>
      </c>
      <c r="C901" s="2" t="s">
        <v>569</v>
      </c>
      <c r="D901" s="2" t="str">
        <f t="shared" si="13"/>
        <v>Error?</v>
      </c>
    </row>
    <row r="902" spans="1:4" x14ac:dyDescent="0.2">
      <c r="A902" s="5">
        <v>841</v>
      </c>
      <c r="B902" s="1832">
        <f>'Expenditures 15-22'!F44</f>
        <v>10733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10733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20508</v>
      </c>
      <c r="C908" s="2" t="s">
        <v>569</v>
      </c>
      <c r="D908" s="2" t="str">
        <f t="shared" si="13"/>
        <v>Error?</v>
      </c>
    </row>
    <row r="909" spans="1:4" x14ac:dyDescent="0.2">
      <c r="A909" s="5">
        <v>848</v>
      </c>
      <c r="B909" s="1832">
        <f>'Expenditures 15-22'!F55</f>
        <v>4237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4237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8958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8958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50798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75944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21178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4349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4349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25527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173510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173510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12133</v>
      </c>
      <c r="C1107" s="2" t="s">
        <v>569</v>
      </c>
      <c r="D1107" s="2" t="str">
        <f t="shared" si="16"/>
        <v>Error?</v>
      </c>
    </row>
    <row r="1108" spans="1:4" x14ac:dyDescent="0.2">
      <c r="A1108" s="5">
        <v>1047</v>
      </c>
      <c r="B1108" s="1832">
        <f>'Expenditures 15-22'!K33</f>
        <v>3622395</v>
      </c>
      <c r="C1108" s="2" t="s">
        <v>569</v>
      </c>
      <c r="D1108" s="2" t="str">
        <f t="shared" si="16"/>
        <v>Error?</v>
      </c>
    </row>
    <row r="1109" spans="1:4" x14ac:dyDescent="0.2">
      <c r="A1109" s="5">
        <v>1048</v>
      </c>
      <c r="B1109" s="1832">
        <f>'Expenditures 15-22'!K36</f>
        <v>274057</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263629</v>
      </c>
      <c r="C1111" s="2" t="s">
        <v>569</v>
      </c>
      <c r="D1111" s="2" t="str">
        <f t="shared" si="16"/>
        <v>Error?</v>
      </c>
    </row>
    <row r="1112" spans="1:4" x14ac:dyDescent="0.2">
      <c r="A1112" s="5">
        <v>1051</v>
      </c>
      <c r="B1112" s="1832">
        <f>'Expenditures 15-22'!K39</f>
        <v>130746</v>
      </c>
      <c r="C1112" s="2" t="s">
        <v>569</v>
      </c>
      <c r="D1112" s="2" t="str">
        <f t="shared" si="16"/>
        <v>Error?</v>
      </c>
    </row>
    <row r="1113" spans="1:4" x14ac:dyDescent="0.2">
      <c r="A1113" s="5">
        <v>1052</v>
      </c>
      <c r="B1113" s="1832">
        <f>'Expenditures 15-22'!K40</f>
        <v>208663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877095</v>
      </c>
      <c r="C1115" s="2" t="s">
        <v>569</v>
      </c>
      <c r="D1115" s="2" t="str">
        <f t="shared" si="16"/>
        <v>Error?</v>
      </c>
    </row>
    <row r="1116" spans="1:4" x14ac:dyDescent="0.2">
      <c r="A1116" s="5">
        <v>1055</v>
      </c>
      <c r="B1116" s="1832">
        <f>'Expenditures 15-22'!K44</f>
        <v>71031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71031</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495068</v>
      </c>
      <c r="C1122" s="2" t="s">
        <v>569</v>
      </c>
      <c r="D1122" s="2" t="str">
        <f t="shared" si="16"/>
        <v>Error?</v>
      </c>
    </row>
    <row r="1123" spans="1:4" x14ac:dyDescent="0.2">
      <c r="A1123" s="5">
        <v>1062</v>
      </c>
      <c r="B1123" s="1832">
        <f>'Expenditures 15-22'!K55</f>
        <v>144380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144380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57659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21568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79227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1666801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5289196</v>
      </c>
      <c r="C1152" s="2" t="s">
        <v>569</v>
      </c>
      <c r="D1152" s="2" t="str">
        <f t="shared" si="17"/>
        <v>Error?</v>
      </c>
    </row>
    <row r="1153" spans="1:4" x14ac:dyDescent="0.2">
      <c r="A1153" s="5">
        <v>1092</v>
      </c>
      <c r="B1153" s="1832">
        <f>'Expenditures 15-22'!K115</f>
        <v>293489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8402</v>
      </c>
      <c r="D1221" s="2" t="str">
        <f t="shared" si="18"/>
        <v>Error?</v>
      </c>
    </row>
    <row r="1222" spans="1:4" x14ac:dyDescent="0.2">
      <c r="A1222" s="10">
        <v>1161</v>
      </c>
      <c r="B1222" s="1832"/>
      <c r="D1222" s="2" t="str">
        <f t="shared" si="18"/>
        <v>OK</v>
      </c>
    </row>
    <row r="1223" spans="1:4" x14ac:dyDescent="0.2">
      <c r="A1223" s="5">
        <v>1162</v>
      </c>
      <c r="B1223" s="1832">
        <f>'Expenditures 15-22'!C127</f>
        <v>8402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8402</v>
      </c>
      <c r="C1225" s="2" t="s">
        <v>569</v>
      </c>
      <c r="D1225" s="2" t="str">
        <f t="shared" si="18"/>
        <v>Error?</v>
      </c>
    </row>
    <row r="1226" spans="1:4" x14ac:dyDescent="0.2">
      <c r="A1226" s="5">
        <v>1165</v>
      </c>
      <c r="B1226" s="1832">
        <f>'Expenditures 15-22'!C151</f>
        <v>8402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2540</v>
      </c>
      <c r="D1229" s="2" t="str">
        <f t="shared" si="18"/>
        <v>Error?</v>
      </c>
    </row>
    <row r="1230" spans="1:4" x14ac:dyDescent="0.2">
      <c r="A1230" s="10">
        <v>1169</v>
      </c>
      <c r="B1230" s="1832"/>
      <c r="D1230" s="2" t="str">
        <f t="shared" si="18"/>
        <v>OK</v>
      </c>
    </row>
    <row r="1231" spans="1:4" x14ac:dyDescent="0.2">
      <c r="A1231" s="5">
        <v>1170</v>
      </c>
      <c r="B1231" s="1832">
        <f>'Expenditures 15-22'!D127</f>
        <v>2540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2540</v>
      </c>
      <c r="C1233" s="2" t="s">
        <v>569</v>
      </c>
      <c r="D1233" s="2" t="str">
        <f t="shared" si="18"/>
        <v>Error?</v>
      </c>
    </row>
    <row r="1234" spans="1:4" x14ac:dyDescent="0.2">
      <c r="A1234" s="5">
        <v>1173</v>
      </c>
      <c r="B1234" s="1832">
        <f>'Expenditures 15-22'!D151</f>
        <v>2540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86554</v>
      </c>
      <c r="D1237" s="2" t="str">
        <f t="shared" si="18"/>
        <v>Error?</v>
      </c>
    </row>
    <row r="1238" spans="1:4" x14ac:dyDescent="0.2">
      <c r="A1238" s="10">
        <v>1177</v>
      </c>
      <c r="B1238" s="1832"/>
      <c r="D1238" s="2" t="str">
        <f t="shared" si="18"/>
        <v>OK</v>
      </c>
    </row>
    <row r="1239" spans="1:4" x14ac:dyDescent="0.2">
      <c r="A1239" s="5">
        <v>1178</v>
      </c>
      <c r="B1239" s="1832">
        <f>'Expenditures 15-22'!E127</f>
        <v>86554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86554</v>
      </c>
      <c r="C1241" s="2" t="s">
        <v>569</v>
      </c>
      <c r="D1241" s="2" t="str">
        <f t="shared" si="18"/>
        <v>Error?</v>
      </c>
    </row>
    <row r="1242" spans="1:4" x14ac:dyDescent="0.2">
      <c r="A1242" s="5">
        <v>1181</v>
      </c>
      <c r="B1242" s="1832">
        <f>'Expenditures 15-22'!E151</f>
        <v>86554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37383</v>
      </c>
      <c r="D1245" s="2" t="str">
        <f t="shared" si="18"/>
        <v>Error?</v>
      </c>
    </row>
    <row r="1246" spans="1:4" x14ac:dyDescent="0.2">
      <c r="A1246" s="10">
        <v>1185</v>
      </c>
      <c r="B1246" s="1832"/>
      <c r="D1246" s="2" t="str">
        <f t="shared" si="18"/>
        <v>OK</v>
      </c>
    </row>
    <row r="1247" spans="1:4" x14ac:dyDescent="0.2">
      <c r="A1247" s="5">
        <v>1186</v>
      </c>
      <c r="B1247" s="1832">
        <f>'Expenditures 15-22'!F127</f>
        <v>37383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37383</v>
      </c>
      <c r="C1249" s="2" t="s">
        <v>569</v>
      </c>
      <c r="D1249" s="2" t="str">
        <f t="shared" si="18"/>
        <v>Error?</v>
      </c>
    </row>
    <row r="1250" spans="1:4" x14ac:dyDescent="0.2">
      <c r="A1250" s="5">
        <v>1189</v>
      </c>
      <c r="B1250" s="1832">
        <f>'Expenditures 15-22'!F151</f>
        <v>37383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39050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39050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39050</v>
      </c>
      <c r="C1258" s="2" t="s">
        <v>569</v>
      </c>
      <c r="D1258" s="2" t="str">
        <f t="shared" si="18"/>
        <v>Error?</v>
      </c>
    </row>
    <row r="1259" spans="1:4" x14ac:dyDescent="0.2">
      <c r="A1259" s="5">
        <v>1198</v>
      </c>
      <c r="B1259" s="1832">
        <f>'Expenditures 15-22'!G151</f>
        <v>39050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173929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173929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173929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173929</v>
      </c>
      <c r="C1288" s="2" t="s">
        <v>569</v>
      </c>
      <c r="D1288" s="2" t="str">
        <f t="shared" si="19"/>
        <v>Error?</v>
      </c>
    </row>
    <row r="1289" spans="1:4" x14ac:dyDescent="0.2">
      <c r="A1289" s="5">
        <v>1228</v>
      </c>
      <c r="B1289" s="1832">
        <f>'Expenditures 15-22'!K152</f>
        <v>80063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258115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258115</v>
      </c>
      <c r="C1339" s="2" t="s">
        <v>569</v>
      </c>
      <c r="D1339" s="2" t="str">
        <f t="shared" si="19"/>
        <v>Error?</v>
      </c>
    </row>
    <row r="1340" spans="1:4" x14ac:dyDescent="0.2">
      <c r="A1340" s="5">
        <v>1279</v>
      </c>
      <c r="B1340" s="1832">
        <f>'Expenditures 15-22'!C210</f>
        <v>258115</v>
      </c>
      <c r="C1340" s="2" t="s">
        <v>569</v>
      </c>
      <c r="D1340" s="2" t="str">
        <f t="shared" si="19"/>
        <v>Error?</v>
      </c>
    </row>
    <row r="1341" spans="1:4" x14ac:dyDescent="0.2">
      <c r="A1341" s="5">
        <v>1280</v>
      </c>
      <c r="B1341" s="1832">
        <f>'Expenditures 15-22'!D182</f>
        <v>64535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64535</v>
      </c>
      <c r="C1345" s="2" t="s">
        <v>569</v>
      </c>
      <c r="D1345" s="2" t="str">
        <f t="shared" si="20"/>
        <v>Error?</v>
      </c>
    </row>
    <row r="1346" spans="1:4" x14ac:dyDescent="0.2">
      <c r="A1346" s="5">
        <v>1285</v>
      </c>
      <c r="B1346" s="1832">
        <f>'Expenditures 15-22'!D210</f>
        <v>64535</v>
      </c>
      <c r="C1346" s="2" t="s">
        <v>569</v>
      </c>
      <c r="D1346" s="2" t="str">
        <f t="shared" si="20"/>
        <v>Error?</v>
      </c>
    </row>
    <row r="1347" spans="1:4" x14ac:dyDescent="0.2">
      <c r="A1347" s="5">
        <v>1286</v>
      </c>
      <c r="B1347" s="1832">
        <f>'Expenditures 15-22'!E182</f>
        <v>41568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41568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41568</v>
      </c>
      <c r="C1353" s="2" t="s">
        <v>569</v>
      </c>
      <c r="D1353" s="2" t="str">
        <f t="shared" si="20"/>
        <v>Error?</v>
      </c>
    </row>
    <row r="1354" spans="1:4" x14ac:dyDescent="0.2">
      <c r="A1354" s="5">
        <v>1293</v>
      </c>
      <c r="B1354" s="1832">
        <f>'Expenditures 15-22'!F182</f>
        <v>106275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106275</v>
      </c>
      <c r="C1358" s="2" t="s">
        <v>569</v>
      </c>
      <c r="D1358" s="2" t="str">
        <f t="shared" si="20"/>
        <v>Error?</v>
      </c>
    </row>
    <row r="1359" spans="1:4" x14ac:dyDescent="0.2">
      <c r="A1359" s="5">
        <v>1298</v>
      </c>
      <c r="B1359" s="1832">
        <f>'Expenditures 15-22'!F210</f>
        <v>106275</v>
      </c>
      <c r="C1359" s="2" t="s">
        <v>569</v>
      </c>
      <c r="D1359" s="2" t="str">
        <f t="shared" si="20"/>
        <v>Error?</v>
      </c>
    </row>
    <row r="1360" spans="1:4" x14ac:dyDescent="0.2">
      <c r="A1360" s="5">
        <v>1299</v>
      </c>
      <c r="B1360" s="1832">
        <f>'Expenditures 15-22'!G182</f>
        <v>28279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28279</v>
      </c>
      <c r="C1364" s="2" t="s">
        <v>569</v>
      </c>
      <c r="D1364" s="2" t="str">
        <f t="shared" si="20"/>
        <v>Error?</v>
      </c>
    </row>
    <row r="1365" spans="1:4" x14ac:dyDescent="0.2">
      <c r="A1365" s="5">
        <v>1304</v>
      </c>
      <c r="B1365" s="1832">
        <f>'Expenditures 15-22'!G210</f>
        <v>28279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498772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498772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498772</v>
      </c>
      <c r="C1388" s="2" t="s">
        <v>569</v>
      </c>
      <c r="D1388" s="2" t="str">
        <f t="shared" si="20"/>
        <v>Error?</v>
      </c>
    </row>
    <row r="1389" spans="1:4" x14ac:dyDescent="0.2">
      <c r="A1389" s="5">
        <v>1328</v>
      </c>
      <c r="B1389" s="1832">
        <f>'Expenditures 15-22'!K211</f>
        <v>-83408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889450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1192939</v>
      </c>
      <c r="C1630" s="2" t="s">
        <v>569</v>
      </c>
      <c r="D1630" s="2" t="str">
        <f t="shared" si="24"/>
        <v>Error?</v>
      </c>
    </row>
    <row r="1631" spans="1:4" x14ac:dyDescent="0.2">
      <c r="A1631" s="5">
        <v>1570</v>
      </c>
      <c r="B1631" s="1832">
        <f>'Acct Summary 7-8'!D79</f>
        <v>15356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61779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202100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118692</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236400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473175</v>
      </c>
      <c r="D2009" s="2" t="str">
        <f t="shared" si="30"/>
        <v>Error?</v>
      </c>
    </row>
    <row r="2010" spans="1:4" x14ac:dyDescent="0.2">
      <c r="A2010" s="5">
        <v>1949</v>
      </c>
      <c r="B2010" s="1832">
        <f>'Cap Outlay Deprec 26'!C10</f>
        <v>144748</v>
      </c>
      <c r="D2010" s="2" t="str">
        <f t="shared" si="30"/>
        <v>Error?</v>
      </c>
    </row>
    <row r="2011" spans="1:4" x14ac:dyDescent="0.2">
      <c r="A2011" s="5">
        <v>1950</v>
      </c>
      <c r="B2011" s="1832">
        <f>'Cap Outlay Deprec 26'!C12</f>
        <v>1205857</v>
      </c>
      <c r="D2011" s="2" t="str">
        <f t="shared" si="30"/>
        <v>Error?</v>
      </c>
    </row>
    <row r="2012" spans="1:4" x14ac:dyDescent="0.2">
      <c r="A2012" s="5">
        <v>1951</v>
      </c>
      <c r="B2012" s="1832">
        <f>'Cap Outlay Deprec 26'!C13</f>
        <v>493445</v>
      </c>
      <c r="D2012" s="2" t="str">
        <f t="shared" si="30"/>
        <v>Error?</v>
      </c>
    </row>
    <row r="2013" spans="1:4" x14ac:dyDescent="0.2">
      <c r="A2013" s="5">
        <v>1952</v>
      </c>
      <c r="B2013" s="1832">
        <f>'Cap Outlay Deprec 26'!C16</f>
        <v>2317225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39050</v>
      </c>
      <c r="D2016" s="2" t="str">
        <f t="shared" si="30"/>
        <v>Error?</v>
      </c>
    </row>
    <row r="2017" spans="1:4" x14ac:dyDescent="0.2">
      <c r="A2017" s="5">
        <v>1956</v>
      </c>
      <c r="B2017" s="1832">
        <f>'Cap Outlay Deprec 26'!D12</f>
        <v>25527</v>
      </c>
      <c r="D2017" s="2" t="str">
        <f t="shared" si="30"/>
        <v>Error?</v>
      </c>
    </row>
    <row r="2018" spans="1:4" x14ac:dyDescent="0.2">
      <c r="A2018" s="5">
        <v>1957</v>
      </c>
      <c r="B2018" s="1832">
        <f>'Cap Outlay Deprec 26'!D13</f>
        <v>28279</v>
      </c>
      <c r="D2018" s="2" t="str">
        <f t="shared" si="30"/>
        <v>Error?</v>
      </c>
    </row>
    <row r="2019" spans="1:4" x14ac:dyDescent="0.2">
      <c r="A2019" s="5">
        <v>1958</v>
      </c>
      <c r="B2019" s="1832">
        <f>'Cap Outlay Deprec 26'!D16</f>
        <v>92856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473175</v>
      </c>
      <c r="C2027" s="2" t="s">
        <v>569</v>
      </c>
      <c r="D2027" s="2" t="str">
        <f t="shared" si="30"/>
        <v>Error?</v>
      </c>
    </row>
    <row r="2028" spans="1:4" x14ac:dyDescent="0.2">
      <c r="A2028" s="5">
        <v>1967</v>
      </c>
      <c r="B2028" s="1832">
        <f>'Cap Outlay Deprec 26'!F10</f>
        <v>183798</v>
      </c>
      <c r="C2028" s="2" t="s">
        <v>569</v>
      </c>
      <c r="D2028" s="2" t="str">
        <f t="shared" si="30"/>
        <v>Error?</v>
      </c>
    </row>
    <row r="2029" spans="1:4" x14ac:dyDescent="0.2">
      <c r="A2029" s="5">
        <v>1968</v>
      </c>
      <c r="B2029" s="1832">
        <f>'Cap Outlay Deprec 26'!F12</f>
        <v>1231384</v>
      </c>
      <c r="C2029" s="2" t="s">
        <v>569</v>
      </c>
      <c r="D2029" s="2" t="str">
        <f t="shared" si="30"/>
        <v>Error?</v>
      </c>
    </row>
    <row r="2030" spans="1:4" x14ac:dyDescent="0.2">
      <c r="A2030" s="5">
        <v>1969</v>
      </c>
      <c r="B2030" s="1832">
        <f>'Cap Outlay Deprec 26'!F13</f>
        <v>521724</v>
      </c>
      <c r="C2030" s="2" t="s">
        <v>569</v>
      </c>
      <c r="D2030" s="2" t="str">
        <f t="shared" si="30"/>
        <v>Error?</v>
      </c>
    </row>
    <row r="2031" spans="1:4" x14ac:dyDescent="0.2">
      <c r="A2031" s="5">
        <v>1970</v>
      </c>
      <c r="B2031" s="1832">
        <f>'Cap Outlay Deprec 26'!F16</f>
        <v>2410081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228478</v>
      </c>
      <c r="D2033" s="2" t="str">
        <f t="shared" si="30"/>
        <v>Error?</v>
      </c>
    </row>
    <row r="2034" spans="1:4" x14ac:dyDescent="0.2">
      <c r="A2034" s="5">
        <v>1973</v>
      </c>
      <c r="B2034" s="1832">
        <f>'Cap Outlay Deprec 26'!H10</f>
        <v>56253</v>
      </c>
      <c r="D2034" s="2" t="str">
        <f t="shared" si="30"/>
        <v>Error?</v>
      </c>
    </row>
    <row r="2035" spans="1:4" x14ac:dyDescent="0.2">
      <c r="A2035" s="5">
        <v>1974</v>
      </c>
      <c r="B2035" s="1832">
        <f>'Cap Outlay Deprec 26'!H12</f>
        <v>1126165</v>
      </c>
      <c r="D2035" s="2" t="str">
        <f t="shared" si="30"/>
        <v>Error?</v>
      </c>
    </row>
    <row r="2036" spans="1:4" x14ac:dyDescent="0.2">
      <c r="A2036" s="5">
        <v>1975</v>
      </c>
      <c r="B2036" s="1832">
        <f>'Cap Outlay Deprec 26'!H13</f>
        <v>241114</v>
      </c>
      <c r="D2036" s="2" t="str">
        <f t="shared" si="30"/>
        <v>Error?</v>
      </c>
    </row>
    <row r="2037" spans="1:4" x14ac:dyDescent="0.2">
      <c r="A2037" s="5">
        <v>1976</v>
      </c>
      <c r="B2037" s="1832">
        <f>'Cap Outlay Deprec 26'!H16</f>
        <v>1652010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9726</v>
      </c>
      <c r="D2039" s="2" t="str">
        <f t="shared" si="30"/>
        <v>Error?</v>
      </c>
    </row>
    <row r="2040" spans="1:4" x14ac:dyDescent="0.2">
      <c r="A2040" s="5">
        <v>1979</v>
      </c>
      <c r="B2040" s="1832">
        <f>'Cap Outlay Deprec 26'!I10</f>
        <v>9190</v>
      </c>
      <c r="D2040" s="2" t="str">
        <f t="shared" si="30"/>
        <v>Error?</v>
      </c>
    </row>
    <row r="2041" spans="1:4" x14ac:dyDescent="0.2">
      <c r="A2041" s="5">
        <v>1980</v>
      </c>
      <c r="B2041" s="1832">
        <f>'Cap Outlay Deprec 26'!I12</f>
        <v>32372</v>
      </c>
      <c r="D2041" s="2" t="str">
        <f t="shared" si="30"/>
        <v>Error?</v>
      </c>
    </row>
    <row r="2042" spans="1:4" x14ac:dyDescent="0.2">
      <c r="A2042" s="5">
        <v>1981</v>
      </c>
      <c r="B2042" s="1832">
        <f>'Cap Outlay Deprec 26'!I13</f>
        <v>28302</v>
      </c>
      <c r="D2042" s="2" t="str">
        <f t="shared" si="30"/>
        <v>Error?</v>
      </c>
    </row>
    <row r="2043" spans="1:4" x14ac:dyDescent="0.2">
      <c r="A2043" s="5">
        <v>1982</v>
      </c>
      <c r="B2043" s="1832">
        <f>'Cap Outlay Deprec 26'!I16</f>
        <v>79590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238204</v>
      </c>
      <c r="C2051" s="2" t="s">
        <v>569</v>
      </c>
      <c r="D2051" s="2" t="str">
        <f t="shared" si="31"/>
        <v>Error?</v>
      </c>
    </row>
    <row r="2052" spans="1:4" x14ac:dyDescent="0.2">
      <c r="A2052" s="5">
        <v>1991</v>
      </c>
      <c r="B2052" s="1832">
        <f>'Cap Outlay Deprec 26'!K10</f>
        <v>65443</v>
      </c>
      <c r="C2052" s="2" t="s">
        <v>569</v>
      </c>
      <c r="D2052" s="2" t="str">
        <f t="shared" si="31"/>
        <v>Error?</v>
      </c>
    </row>
    <row r="2053" spans="1:4" x14ac:dyDescent="0.2">
      <c r="A2053" s="5">
        <v>1992</v>
      </c>
      <c r="B2053" s="1832">
        <f>'Cap Outlay Deprec 26'!K12</f>
        <v>1158537</v>
      </c>
      <c r="C2053" s="2" t="s">
        <v>569</v>
      </c>
      <c r="D2053" s="2" t="str">
        <f t="shared" si="31"/>
        <v>Error?</v>
      </c>
    </row>
    <row r="2054" spans="1:4" x14ac:dyDescent="0.2">
      <c r="A2054" s="5">
        <v>1993</v>
      </c>
      <c r="B2054" s="1832">
        <f>'Cap Outlay Deprec 26'!K13</f>
        <v>269416</v>
      </c>
      <c r="C2054" s="2" t="s">
        <v>569</v>
      </c>
      <c r="D2054" s="2" t="str">
        <f t="shared" si="31"/>
        <v>Error?</v>
      </c>
    </row>
    <row r="2055" spans="1:4" x14ac:dyDescent="0.2">
      <c r="A2055" s="5">
        <v>1994</v>
      </c>
      <c r="B2055" s="1832">
        <f>'Cap Outlay Deprec 26'!K16</f>
        <v>1731600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234971</v>
      </c>
      <c r="C2057" s="2" t="s">
        <v>569</v>
      </c>
      <c r="D2057" s="2" t="str">
        <f t="shared" si="31"/>
        <v>Error?</v>
      </c>
    </row>
    <row r="2058" spans="1:4" x14ac:dyDescent="0.2">
      <c r="A2058" s="5">
        <v>1997</v>
      </c>
      <c r="B2058" s="1832">
        <f>'Cap Outlay Deprec 26'!L10</f>
        <v>118355</v>
      </c>
      <c r="C2058" s="2" t="s">
        <v>569</v>
      </c>
      <c r="D2058" s="2" t="str">
        <f t="shared" si="31"/>
        <v>Error?</v>
      </c>
    </row>
    <row r="2059" spans="1:4" x14ac:dyDescent="0.2">
      <c r="A2059" s="5">
        <v>1998</v>
      </c>
      <c r="B2059" s="1832">
        <f>'Cap Outlay Deprec 26'!L12</f>
        <v>72847</v>
      </c>
      <c r="C2059" s="2" t="s">
        <v>569</v>
      </c>
      <c r="D2059" s="2" t="str">
        <f t="shared" si="31"/>
        <v>Error?</v>
      </c>
    </row>
    <row r="2060" spans="1:4" x14ac:dyDescent="0.2">
      <c r="A2060" s="5">
        <v>1999</v>
      </c>
      <c r="B2060" s="1832">
        <f>'Cap Outlay Deprec 26'!L13</f>
        <v>252308</v>
      </c>
      <c r="C2060" s="2" t="s">
        <v>569</v>
      </c>
      <c r="D2060" s="2" t="str">
        <f t="shared" si="31"/>
        <v>Error?</v>
      </c>
    </row>
    <row r="2061" spans="1:4" x14ac:dyDescent="0.2">
      <c r="A2061" s="5">
        <v>2000</v>
      </c>
      <c r="B2061" s="1832">
        <f>'Cap Outlay Deprec 26'!L16</f>
        <v>678481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4579167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677049</v>
      </c>
      <c r="C2553" s="2" t="s">
        <v>569</v>
      </c>
      <c r="D2553" s="2" t="str">
        <f t="shared" si="38"/>
        <v>Error?</v>
      </c>
    </row>
    <row r="2554" spans="1:4" x14ac:dyDescent="0.2">
      <c r="A2554" s="5">
        <v>2493</v>
      </c>
      <c r="B2554" s="1832">
        <f>'Acct Summary 7-8'!C7</f>
        <v>326469</v>
      </c>
      <c r="C2554" s="2" t="s">
        <v>569</v>
      </c>
      <c r="D2554" s="2" t="str">
        <f t="shared" si="38"/>
        <v>Error?</v>
      </c>
    </row>
    <row r="2555" spans="1:4" x14ac:dyDescent="0.2">
      <c r="A2555" s="5">
        <v>2494</v>
      </c>
      <c r="B2555" s="1832">
        <f>'Acct Summary 7-8'!C8</f>
        <v>5582685</v>
      </c>
      <c r="C2555" s="2" t="s">
        <v>569</v>
      </c>
      <c r="D2555" s="2" t="str">
        <f t="shared" si="38"/>
        <v>Error?</v>
      </c>
    </row>
    <row r="2556" spans="1:4" x14ac:dyDescent="0.2">
      <c r="A2556" s="5">
        <v>2495</v>
      </c>
      <c r="B2556" s="1832">
        <f>'Acct Summary 7-8'!C12</f>
        <v>3622395</v>
      </c>
      <c r="C2556" s="2" t="s">
        <v>569</v>
      </c>
      <c r="D2556" s="2" t="str">
        <f t="shared" si="38"/>
        <v>Error?</v>
      </c>
    </row>
    <row r="2557" spans="1:4" x14ac:dyDescent="0.2">
      <c r="A2557" s="5">
        <v>2496</v>
      </c>
      <c r="B2557" s="1832">
        <f>'Acct Summary 7-8'!C13</f>
        <v>1666801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5289196</v>
      </c>
      <c r="C2561" s="2" t="s">
        <v>569</v>
      </c>
      <c r="D2561" s="2" t="str">
        <f t="shared" si="39"/>
        <v>Error?</v>
      </c>
    </row>
    <row r="2562" spans="1:4" x14ac:dyDescent="0.2">
      <c r="A2562" s="5">
        <v>2501</v>
      </c>
      <c r="B2562" s="1832">
        <f>'Acct Summary 7-8'!C20</f>
        <v>293489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184431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32235</v>
      </c>
      <c r="C2566" s="2" t="s">
        <v>569</v>
      </c>
      <c r="D2566" s="2" t="str">
        <f t="shared" si="39"/>
        <v>Error?</v>
      </c>
    </row>
    <row r="2567" spans="1:4" x14ac:dyDescent="0.2">
      <c r="A2567" s="5">
        <v>2506</v>
      </c>
      <c r="B2567" s="1832">
        <f>'Acct Summary 7-8'!D7</f>
        <v>37326</v>
      </c>
      <c r="C2567" s="2" t="s">
        <v>569</v>
      </c>
      <c r="D2567" s="2" t="str">
        <f t="shared" si="39"/>
        <v>Error?</v>
      </c>
    </row>
    <row r="2568" spans="1:4" x14ac:dyDescent="0.2">
      <c r="A2568" s="5">
        <v>2507</v>
      </c>
      <c r="B2568" s="1832">
        <f>'Acct Summary 7-8'!D8</f>
        <v>253992</v>
      </c>
      <c r="C2568" s="2" t="s">
        <v>569</v>
      </c>
      <c r="D2568" s="2" t="str">
        <f t="shared" si="39"/>
        <v>Error?</v>
      </c>
    </row>
    <row r="2569" spans="1:4" x14ac:dyDescent="0.2">
      <c r="A2569" s="5">
        <v>2508</v>
      </c>
      <c r="B2569" s="1832">
        <f>'Acct Summary 7-8'!D13</f>
        <v>173929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173929</v>
      </c>
      <c r="C2573" s="2" t="s">
        <v>569</v>
      </c>
      <c r="D2573" s="2" t="str">
        <f t="shared" si="39"/>
        <v>Error?</v>
      </c>
    </row>
    <row r="2574" spans="1:4" x14ac:dyDescent="0.2">
      <c r="A2574" s="5">
        <v>2513</v>
      </c>
      <c r="B2574" s="1832">
        <f>'Acct Summary 7-8'!D20</f>
        <v>80063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415364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415364</v>
      </c>
      <c r="C2595" s="2" t="s">
        <v>569</v>
      </c>
      <c r="D2595" s="2" t="str">
        <f t="shared" si="39"/>
        <v>Error?</v>
      </c>
    </row>
    <row r="2596" spans="1:4" x14ac:dyDescent="0.2">
      <c r="A2596" s="5">
        <v>2535</v>
      </c>
      <c r="B2596" s="1832">
        <f>'Acct Summary 7-8'!F13</f>
        <v>498772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498772</v>
      </c>
      <c r="C2600" s="2" t="s">
        <v>569</v>
      </c>
      <c r="D2600" s="2" t="str">
        <f t="shared" si="39"/>
        <v>Error?</v>
      </c>
    </row>
    <row r="2601" spans="1:4" x14ac:dyDescent="0.2">
      <c r="A2601" s="5">
        <v>2540</v>
      </c>
      <c r="B2601" s="1832">
        <f>'Acct Summary 7-8'!F20</f>
        <v>-83408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188565</v>
      </c>
      <c r="D2718" s="2" t="str">
        <f t="shared" si="41"/>
        <v>Error?</v>
      </c>
    </row>
    <row r="2719" spans="1:4" x14ac:dyDescent="0.2">
      <c r="A2719" s="5">
        <v>2658</v>
      </c>
      <c r="B2719" s="1832">
        <f>'Expenditures 15-22'!D51</f>
        <v>53444</v>
      </c>
      <c r="D2719" s="2" t="str">
        <f t="shared" si="41"/>
        <v>Error?</v>
      </c>
    </row>
    <row r="2720" spans="1:4" x14ac:dyDescent="0.2">
      <c r="A2720" s="5">
        <v>2659</v>
      </c>
      <c r="B2720" s="1832">
        <f>'Expenditures 15-22'!E51</f>
        <v>228202</v>
      </c>
      <c r="D2720" s="2" t="str">
        <f t="shared" si="41"/>
        <v>Error?</v>
      </c>
    </row>
    <row r="2721" spans="1:4" x14ac:dyDescent="0.2">
      <c r="A2721" s="5">
        <v>2660</v>
      </c>
      <c r="B2721" s="1832">
        <f>'Expenditures 15-22'!F51</f>
        <v>20508</v>
      </c>
      <c r="D2721" s="2" t="str">
        <f t="shared" si="41"/>
        <v>Error?</v>
      </c>
    </row>
    <row r="2722" spans="1:4" x14ac:dyDescent="0.2">
      <c r="A2722" s="5">
        <v>2661</v>
      </c>
      <c r="B2722" s="1832">
        <f>'Expenditures 15-22'!G51</f>
        <v>4349</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495068</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10000</v>
      </c>
      <c r="C3232" s="2" t="s">
        <v>569</v>
      </c>
      <c r="D3232" s="2" t="str">
        <f t="shared" si="49"/>
        <v>Error?</v>
      </c>
    </row>
    <row r="3233" spans="1:4" x14ac:dyDescent="0.2">
      <c r="A3233" s="5">
        <v>3172</v>
      </c>
      <c r="B3233" s="1832">
        <f>'Acct Summary 7-8'!C78</f>
        <v>303489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23640</v>
      </c>
      <c r="D3236" s="2" t="str">
        <f t="shared" si="49"/>
        <v>Error?</v>
      </c>
    </row>
    <row r="3237" spans="1:4" x14ac:dyDescent="0.2">
      <c r="A3237" s="5">
        <v>3176</v>
      </c>
      <c r="B3237" s="1832">
        <f>'Acct Summary 7-8'!D76</f>
        <v>33640</v>
      </c>
      <c r="C3237" s="2" t="s">
        <v>569</v>
      </c>
      <c r="D3237" s="2" t="str">
        <f t="shared" si="49"/>
        <v>Error?</v>
      </c>
    </row>
    <row r="3238" spans="1:4" x14ac:dyDescent="0.2">
      <c r="A3238" s="5">
        <v>3177</v>
      </c>
      <c r="B3238" s="1832">
        <f>'Acct Summary 7-8'!D77</f>
        <v>-33640</v>
      </c>
      <c r="C3238" s="2" t="s">
        <v>569</v>
      </c>
      <c r="D3238" s="2" t="str">
        <f t="shared" si="49"/>
        <v>Error?</v>
      </c>
    </row>
    <row r="3239" spans="1:4" x14ac:dyDescent="0.2">
      <c r="A3239" s="5">
        <v>3178</v>
      </c>
      <c r="B3239" s="1832">
        <f>'Acct Summary 7-8'!D78</f>
        <v>46423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-83408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2513893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672770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59997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24784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21178</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173510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3466132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953923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61779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118692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1429352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7012037</v>
      </c>
      <c r="C4122" s="2" t="s">
        <v>569</v>
      </c>
      <c r="D4122" s="2" t="str">
        <f t="shared" si="63"/>
        <v>Error?</v>
      </c>
    </row>
    <row r="4123" spans="1:4" x14ac:dyDescent="0.2">
      <c r="A4123" s="5">
        <v>4062</v>
      </c>
      <c r="B4123" s="1832">
        <f>'Acct Summary 7-8'!D10</f>
        <v>253992</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415364</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1429352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6718548</v>
      </c>
      <c r="C4136" s="2" t="s">
        <v>569</v>
      </c>
      <c r="D4136" s="2" t="str">
        <f t="shared" si="63"/>
        <v>Error?</v>
      </c>
    </row>
    <row r="4137" spans="1:4" x14ac:dyDescent="0.2">
      <c r="A4137" s="5">
        <v>4076</v>
      </c>
      <c r="B4137" s="1832">
        <f>'Acct Summary 7-8'!D19</f>
        <v>173929</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498772</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212760</v>
      </c>
      <c r="C4171" s="2" t="s">
        <v>569</v>
      </c>
      <c r="D4171" s="2" t="str">
        <f t="shared" si="64"/>
        <v>Error?</v>
      </c>
    </row>
    <row r="4172" spans="1:4" x14ac:dyDescent="0.2">
      <c r="A4172" s="5">
        <v>4111</v>
      </c>
      <c r="B4172" s="1832">
        <f>'Short-Term Long-Term Debt 24'!J49</f>
        <v>150981</v>
      </c>
      <c r="C4172" s="2" t="s">
        <v>569</v>
      </c>
      <c r="D4172" s="2" t="str">
        <f t="shared" si="64"/>
        <v>Error?</v>
      </c>
    </row>
    <row r="4173" spans="1:4" x14ac:dyDescent="0.2">
      <c r="A4173" s="5">
        <v>4112</v>
      </c>
      <c r="B4173" s="1832">
        <f>'Short-Term Long-Term Debt 24'!H49</f>
        <v>23640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1373410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85364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15301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212760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10000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10000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4494476</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4494476</v>
      </c>
      <c r="C5087" s="2" t="s">
        <v>569</v>
      </c>
      <c r="D5087" s="2" t="str">
        <f t="shared" si="78"/>
        <v>Error?</v>
      </c>
    </row>
    <row r="5088" spans="1:4" x14ac:dyDescent="0.2">
      <c r="A5088" s="5">
        <v>5027</v>
      </c>
      <c r="B5088" s="1832">
        <f>'Revenues 9-14'!C65</f>
        <v>6020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6020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397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397</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19941</v>
      </c>
      <c r="D5115" s="2" t="str">
        <f t="shared" si="78"/>
        <v>Error?</v>
      </c>
    </row>
    <row r="5116" spans="1:4" x14ac:dyDescent="0.2">
      <c r="A5116" s="5">
        <v>5055</v>
      </c>
      <c r="B5116" s="1832">
        <f>'Revenues 9-14'!C99</f>
        <v>27985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30334</v>
      </c>
      <c r="D5119" s="2" t="str">
        <f t="shared" ref="D5119:D5182" si="79">IF(ISBLANK(B5119),"OK",IF(A5119-B5119=0,"OK","Error?"))</f>
        <v>Error?</v>
      </c>
    </row>
    <row r="5120" spans="1:4" x14ac:dyDescent="0.2">
      <c r="A5120" s="5">
        <v>5059</v>
      </c>
      <c r="B5120" s="1832">
        <f>'Revenues 9-14'!C108</f>
        <v>78260</v>
      </c>
      <c r="C5120" s="2" t="s">
        <v>569</v>
      </c>
      <c r="D5120" s="2" t="str">
        <f t="shared" si="79"/>
        <v>Error?</v>
      </c>
    </row>
    <row r="5121" spans="1:4" x14ac:dyDescent="0.2">
      <c r="A5121" s="5">
        <v>5060</v>
      </c>
      <c r="B5121" s="1832">
        <f>'Revenues 9-14'!C109</f>
        <v>4579167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676939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676939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677049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4714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1976</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6690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5872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213242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219114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326469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326469</v>
      </c>
      <c r="C5326" s="2" t="s">
        <v>569</v>
      </c>
      <c r="D5326" s="2" t="str">
        <f t="shared" si="82"/>
        <v>Error?</v>
      </c>
    </row>
    <row r="5327" spans="1:5" x14ac:dyDescent="0.2">
      <c r="A5327" s="5">
        <v>5266</v>
      </c>
      <c r="B5327" s="1832">
        <f>'Revenues 9-14'!C268</f>
        <v>5582685</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183471</v>
      </c>
      <c r="D5353" s="2" t="str">
        <f t="shared" si="82"/>
        <v>Error?</v>
      </c>
    </row>
    <row r="5354" spans="1:4" x14ac:dyDescent="0.2">
      <c r="A5354" s="5">
        <v>5293</v>
      </c>
      <c r="B5354" s="1832">
        <f>'Revenues 9-14'!D107</f>
        <v>925</v>
      </c>
      <c r="D5354" s="2" t="str">
        <f t="shared" si="82"/>
        <v>Error?</v>
      </c>
    </row>
    <row r="5355" spans="1:4" x14ac:dyDescent="0.2">
      <c r="A5355" s="5">
        <v>5294</v>
      </c>
      <c r="B5355" s="1832">
        <f>'Revenues 9-14'!D108</f>
        <v>184396</v>
      </c>
      <c r="C5355" s="2" t="s">
        <v>569</v>
      </c>
      <c r="D5355" s="2" t="str">
        <f t="shared" si="82"/>
        <v>Error?</v>
      </c>
    </row>
    <row r="5356" spans="1:4" x14ac:dyDescent="0.2">
      <c r="A5356" s="5">
        <v>5295</v>
      </c>
      <c r="B5356" s="1832">
        <f>'Revenues 9-14'!D109</f>
        <v>184431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32235</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32235</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32235</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37326</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37326</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37326</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37326</v>
      </c>
      <c r="C5507" s="2" t="s">
        <v>569</v>
      </c>
      <c r="D5507" s="2" t="str">
        <f t="shared" si="85"/>
        <v>Error?</v>
      </c>
    </row>
    <row r="5508" spans="1:4" x14ac:dyDescent="0.2">
      <c r="A5508" s="5">
        <v>5447</v>
      </c>
      <c r="B5508" s="1832">
        <f>'Revenues 9-14'!D268</f>
        <v>253992</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415044</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415044</v>
      </c>
      <c r="C5579" s="2" t="s">
        <v>569</v>
      </c>
      <c r="D5579" s="2" t="str">
        <f t="shared" si="86"/>
        <v>Error?</v>
      </c>
    </row>
    <row r="5580" spans="1:4" x14ac:dyDescent="0.2">
      <c r="A5580" s="5">
        <v>5519</v>
      </c>
      <c r="B5580" s="1832">
        <f>'Revenues 9-14'!F65</f>
        <v>251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251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69</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69</v>
      </c>
      <c r="C5587" s="2" t="s">
        <v>569</v>
      </c>
      <c r="D5587" s="2" t="str">
        <f t="shared" si="86"/>
        <v>Error?</v>
      </c>
    </row>
    <row r="5588" spans="1:4" x14ac:dyDescent="0.2">
      <c r="A5588" s="5">
        <v>5527</v>
      </c>
      <c r="B5588" s="1832">
        <f>'Revenues 9-14'!F109</f>
        <v>415364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415364</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303489</v>
      </c>
      <c r="D6267" s="2" t="str">
        <f t="shared" si="96"/>
        <v>Error?</v>
      </c>
      <c r="E6267" s="2" t="s">
        <v>189</v>
      </c>
    </row>
    <row r="6268" spans="1:5" x14ac:dyDescent="0.2">
      <c r="A6268">
        <v>6207</v>
      </c>
      <c r="B6268" s="1832">
        <f>'Acct Summary 7-8'!D82</f>
        <v>46423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-83408</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0.25440445823298591</v>
      </c>
      <c r="D6276" s="2" t="str">
        <f t="shared" si="97"/>
        <v>Error?</v>
      </c>
      <c r="E6276" s="2" t="s">
        <v>189</v>
      </c>
    </row>
    <row r="6277" spans="1:5" x14ac:dyDescent="0.2">
      <c r="A6277">
        <v>6216</v>
      </c>
      <c r="B6277" s="1832">
        <f>'Acct Summary 7-8'!D83</f>
        <v>0.75143657229803007</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-0.70272638425504663</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144130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120316</v>
      </c>
      <c r="D7251" s="2" t="str">
        <f t="shared" si="112"/>
        <v>Error?</v>
      </c>
    </row>
    <row r="7252" spans="1:4" x14ac:dyDescent="0.2">
      <c r="A7252">
        <f t="shared" si="113"/>
        <v>7191</v>
      </c>
      <c r="B7252" s="1832">
        <f>'Expenditures 15-22'!D9</f>
        <v>23452</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362</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79590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236400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5961897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144130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12133</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664163</v>
      </c>
      <c r="D7834" s="2" t="str">
        <f t="shared" si="129"/>
        <v>Error?</v>
      </c>
      <c r="E7834" s="4" t="s">
        <v>1998</v>
      </c>
    </row>
    <row r="7835" spans="1:5" x14ac:dyDescent="0.2">
      <c r="A7835">
        <v>7774</v>
      </c>
      <c r="B7835" s="1832">
        <f>'PCTC-OEPP 27-28'!F78</f>
        <v>5297734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14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20010</v>
      </c>
      <c r="D7840" s="2" t="str">
        <f t="shared" si="129"/>
        <v>Error?</v>
      </c>
      <c r="E7840" s="4" t="s">
        <v>1998</v>
      </c>
    </row>
    <row r="7841" spans="1:5" x14ac:dyDescent="0.2">
      <c r="A7841">
        <v>7780</v>
      </c>
      <c r="B7841" s="1832">
        <f>'PCTC-OEPP 27-28'!F104</f>
        <v>183471</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6690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250568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85364</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15301</v>
      </c>
      <c r="D7876" s="2" t="str">
        <f t="shared" si="129"/>
        <v>Error?</v>
      </c>
      <c r="E7876" s="4" t="s">
        <v>1998</v>
      </c>
    </row>
    <row r="7877" spans="1:5" x14ac:dyDescent="0.2">
      <c r="A7877">
        <v>7816</v>
      </c>
      <c r="B7877" s="1832">
        <f>'PCTC-OEPP 27-28'!F175</f>
        <v>561925</v>
      </c>
      <c r="D7877" s="2" t="str">
        <f t="shared" si="129"/>
        <v>Error?</v>
      </c>
      <c r="E7877" s="4" t="s">
        <v>1998</v>
      </c>
    </row>
    <row r="7878" spans="1:5" x14ac:dyDescent="0.2">
      <c r="A7878">
        <v>7817</v>
      </c>
      <c r="B7878" s="1832">
        <f>'PCTC-OEPP 27-28'!F176</f>
        <v>4735809</v>
      </c>
      <c r="D7878" s="2" t="str">
        <f t="shared" si="129"/>
        <v>Error?</v>
      </c>
      <c r="E7878" s="4" t="s">
        <v>1998</v>
      </c>
    </row>
    <row r="7879" spans="1:5" x14ac:dyDescent="0.2">
      <c r="A7879">
        <v>7818</v>
      </c>
      <c r="B7879" s="1832">
        <f>'PCTC-OEPP 27-28'!F178</f>
        <v>4815399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Iroquois Special Education</v>
      </c>
      <c r="B7" s="2538"/>
      <c r="C7" s="2538"/>
      <c r="D7" s="2539"/>
      <c r="E7" s="2540">
        <f>COVER!A13</f>
        <v>32038801060</v>
      </c>
      <c r="F7" s="2541"/>
      <c r="G7" s="2547">
        <f>COVER!T23</f>
        <v>65.018319000000005</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RUSSELL LEIGH &amp; ASSOCIATES LLC</v>
      </c>
      <c r="H9" s="2553"/>
      <c r="I9" s="2553"/>
      <c r="J9" s="2553"/>
      <c r="K9" s="2553"/>
      <c r="L9" s="2554"/>
    </row>
    <row r="10" spans="1:29" ht="13.5" customHeight="1" x14ac:dyDescent="0.2">
      <c r="A10" s="2526" t="str">
        <f>COVER!A38</f>
        <v>Nicole Bullington</v>
      </c>
      <c r="B10" s="2527"/>
      <c r="C10" s="2527"/>
      <c r="D10" s="2527"/>
      <c r="E10" s="2527"/>
      <c r="F10" s="2528"/>
      <c r="G10" s="2520" t="str">
        <f>COVER!T17</f>
        <v>228 E MAIN ST</v>
      </c>
      <c r="H10" s="2521"/>
      <c r="I10" s="2521"/>
      <c r="J10" s="2521"/>
      <c r="K10" s="2521"/>
      <c r="L10" s="2522"/>
    </row>
    <row r="11" spans="1:29" ht="13.5" customHeight="1" x14ac:dyDescent="0.2">
      <c r="A11" s="963" t="s">
        <v>1502</v>
      </c>
      <c r="B11" s="964"/>
      <c r="C11" s="965"/>
      <c r="D11" s="970"/>
      <c r="E11" s="965"/>
      <c r="F11" s="969"/>
      <c r="G11" s="2520" t="str">
        <f>COVER!T19</f>
        <v>HOOPESTON</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admin@russleigh.com</v>
      </c>
      <c r="J13" s="2533"/>
      <c r="K13" s="2533"/>
      <c r="L13" s="2534"/>
    </row>
    <row r="14" spans="1:29" ht="13.5" customHeight="1" x14ac:dyDescent="0.2">
      <c r="A14" s="2520" t="str">
        <f>COVER!A19</f>
        <v>106 E FRONT STREET</v>
      </c>
      <c r="B14" s="2521"/>
      <c r="C14" s="2521"/>
      <c r="D14" s="2521"/>
      <c r="E14" s="2521"/>
      <c r="F14" s="2522"/>
      <c r="G14" s="974" t="s">
        <v>1175</v>
      </c>
      <c r="H14" s="972"/>
      <c r="I14" s="972"/>
      <c r="J14" s="972"/>
      <c r="K14" s="972"/>
      <c r="L14" s="973"/>
    </row>
    <row r="15" spans="1:29" ht="13.5" customHeight="1" x14ac:dyDescent="0.2">
      <c r="A15" s="2520" t="str">
        <f>COVER!A21</f>
        <v>GILMAN</v>
      </c>
      <c r="B15" s="2521"/>
      <c r="C15" s="2521"/>
      <c r="D15" s="2521"/>
      <c r="E15" s="2521"/>
      <c r="F15" s="2522"/>
      <c r="G15" s="2517" t="str">
        <f>COVER!T15</f>
        <v>RUSS LEIGH</v>
      </c>
      <c r="H15" s="2518"/>
      <c r="I15" s="2518"/>
      <c r="J15" s="2518"/>
      <c r="K15" s="2518"/>
      <c r="L15" s="2519"/>
    </row>
    <row r="16" spans="1:29" ht="12.2" customHeight="1" x14ac:dyDescent="0.2">
      <c r="A16" s="2543">
        <f>COVER!A25</f>
        <v>60938</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217-283-9336</v>
      </c>
      <c r="H18" s="2538"/>
      <c r="I18" s="2538"/>
      <c r="J18" s="2538"/>
      <c r="K18" s="2537" t="str">
        <f>COVER!X21</f>
        <v>217-283-9736</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Iroquois Special Education</v>
      </c>
      <c r="B1" s="2560"/>
      <c r="C1" s="2560"/>
      <c r="D1" s="2560"/>
    </row>
    <row r="2" spans="1:11" s="991" customFormat="1" ht="12.75" x14ac:dyDescent="0.2">
      <c r="A2" s="2561">
        <f>'Single Audit Cover'!E7</f>
        <v>32038801060</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Iroquois Special Education</v>
      </c>
      <c r="B1" s="2564"/>
      <c r="C1" s="2564"/>
      <c r="D1" s="2564"/>
      <c r="E1" s="2564"/>
    </row>
    <row r="2" spans="1:5" x14ac:dyDescent="0.2">
      <c r="A2" s="2565">
        <f>'Single Audit Cover'!E7</f>
        <v>32038801060</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363795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363795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363795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363795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Iroquois Special Education</v>
      </c>
      <c r="C1" s="2568"/>
      <c r="D1" s="2568"/>
      <c r="E1" s="2568"/>
      <c r="F1" s="2568"/>
      <c r="G1" s="2568"/>
      <c r="H1" s="2568"/>
      <c r="I1" s="2568"/>
      <c r="J1" s="2568"/>
      <c r="K1" s="2568"/>
      <c r="L1" s="2568"/>
      <c r="M1" s="2568"/>
    </row>
    <row r="2" spans="2:14" ht="15" x14ac:dyDescent="0.2">
      <c r="B2" s="2569">
        <f>'Single Audit Cover'!E7</f>
        <v>32038801060</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Iroquois Special Education</v>
      </c>
      <c r="B1" s="2581"/>
      <c r="C1" s="2581"/>
      <c r="D1" s="2581"/>
      <c r="E1" s="2581"/>
      <c r="F1" s="2581"/>
    </row>
    <row r="2" spans="1:7" ht="13.5" customHeight="1" x14ac:dyDescent="0.2">
      <c r="A2" s="2569">
        <f>'Single Audit Cover'!E7</f>
        <v>32038801060</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Iroquois Special Education</v>
      </c>
      <c r="C1" s="2596"/>
      <c r="D1" s="2596"/>
      <c r="E1" s="2596"/>
      <c r="F1" s="2596"/>
      <c r="G1" s="2596"/>
      <c r="H1" s="2596"/>
      <c r="I1" s="2596"/>
      <c r="J1" s="1178"/>
    </row>
    <row r="2" spans="2:10" s="295" customFormat="1" ht="12.75" customHeight="1" x14ac:dyDescent="0.2">
      <c r="B2" s="2597">
        <f>'Single Audit Cover'!E7</f>
        <v>32038801060</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0</v>
      </c>
      <c r="H43" s="2587"/>
      <c r="I43" s="2587"/>
    </row>
    <row r="44" spans="2:9" ht="12.75" customHeight="1" x14ac:dyDescent="0.2"/>
    <row r="45" spans="2:9" ht="12.75" customHeight="1" x14ac:dyDescent="0.2">
      <c r="B45" s="1918" t="str">
        <f>"Total Federal Expenditures for 7/1/"&amp;MID('AFR20'!E2,3,2)-1&amp;"-6/30/"&amp;MID('AFR20'!E2,3,2)</f>
        <v>Total Federal Expenditures for 7/1/19-6/30/20</v>
      </c>
      <c r="C45" s="1919"/>
      <c r="D45" s="2588">
        <v>0</v>
      </c>
      <c r="E45" s="258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0"/>
      <c r="F49" s="2590"/>
      <c r="G49" s="259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Iroquois Special Education</v>
      </c>
      <c r="C1" s="2595"/>
      <c r="D1" s="2595"/>
      <c r="E1" s="2595"/>
      <c r="F1" s="2595"/>
      <c r="G1" s="2595"/>
      <c r="H1" s="2595"/>
      <c r="I1" s="2595"/>
      <c r="J1" s="2595"/>
      <c r="K1" s="2595"/>
      <c r="L1" s="1144"/>
      <c r="M1" s="1144"/>
    </row>
    <row r="2" spans="1:13" ht="12" customHeight="1" x14ac:dyDescent="0.2">
      <c r="B2" s="2597">
        <f>'Single Audit Cover'!E7</f>
        <v>32038801060</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Iroquois Special Education</v>
      </c>
      <c r="C1" s="2618"/>
      <c r="D1" s="2618"/>
      <c r="E1" s="2618"/>
      <c r="F1" s="2618"/>
      <c r="G1" s="2618"/>
      <c r="H1" s="2618"/>
      <c r="I1" s="2618"/>
      <c r="J1" s="2618"/>
      <c r="K1" s="2618"/>
      <c r="L1" s="1221"/>
    </row>
    <row r="2" spans="1:12" ht="12.75" customHeight="1" x14ac:dyDescent="0.2">
      <c r="B2" s="2619">
        <f>'Single Audit Cover'!E7</f>
        <v>32038801060</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Iroquois Special Education</v>
      </c>
      <c r="C1" s="2595"/>
      <c r="D1" s="2595"/>
      <c r="E1" s="1240"/>
    </row>
    <row r="2" spans="2:5" s="1058" customFormat="1" ht="12.75" customHeight="1" x14ac:dyDescent="0.2">
      <c r="B2" s="2597">
        <f>'Single Audit Cover'!E7</f>
        <v>32038801060</v>
      </c>
      <c r="C2" s="2597"/>
      <c r="D2" s="2597"/>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6252041</v>
      </c>
      <c r="E16" s="1547"/>
      <c r="F16" s="1546">
        <f>SUM('Acct Summary 7-8'!C17,'Acct Summary 7-8'!D17,'Acct Summary 7-8'!F17)</f>
        <v>5961897</v>
      </c>
      <c r="G16" s="1547"/>
      <c r="H16" s="1546">
        <f>SUM(D16-F16)</f>
        <v>290144</v>
      </c>
      <c r="I16" s="1548"/>
      <c r="J16" s="1546">
        <f>SUM('Acct Summary 7-8'!C81,'Acct Summary 7-8'!D81,'Acct Summary 7-8'!F81,'Acct Summary 7-8'!I81)</f>
        <v>1373410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212760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Iroquois Special Education</v>
      </c>
      <c r="E7" s="368"/>
      <c r="G7" s="247"/>
      <c r="H7" s="364"/>
      <c r="I7" s="364"/>
      <c r="J7" s="364"/>
      <c r="K7" s="364"/>
      <c r="L7" s="307"/>
      <c r="M7" s="307"/>
      <c r="N7" s="307"/>
      <c r="O7" s="307"/>
      <c r="P7" s="307"/>
    </row>
    <row r="8" spans="1:18" ht="12.75" x14ac:dyDescent="0.2">
      <c r="A8" s="307"/>
      <c r="B8" s="307"/>
      <c r="C8" s="366" t="s">
        <v>1115</v>
      </c>
      <c r="D8" s="369">
        <f>COVER!A13</f>
        <v>32038801060</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1373410</v>
      </c>
      <c r="I12" s="380"/>
      <c r="J12" s="380"/>
      <c r="K12" s="1559">
        <f>TRUNC((H12/H13*100000),5)/100000</f>
        <v>0.21967386330000002</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6252041</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5961897</v>
      </c>
      <c r="I17" s="380"/>
      <c r="J17" s="389"/>
      <c r="K17" s="1559">
        <f>TRUNC((H17/H18*100000),5)/100000</f>
        <v>0.95359211490000007</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6252041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1373410</v>
      </c>
      <c r="I24" s="394"/>
      <c r="J24" s="394"/>
      <c r="K24" s="1555">
        <f>TRUNC(((H24/H25*100000)/100000),2)</f>
        <v>82.93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16560.825000000001</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212760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953923</v>
      </c>
      <c r="D4" s="1573">
        <v>61779</v>
      </c>
      <c r="E4" s="1573"/>
      <c r="F4" s="1573">
        <v>118692</v>
      </c>
      <c r="G4" s="1573"/>
      <c r="H4" s="1573"/>
      <c r="I4" s="1573"/>
      <c r="J4" s="1574"/>
      <c r="K4" s="1573"/>
      <c r="L4" s="1573"/>
      <c r="M4" s="1575"/>
      <c r="N4" s="1576"/>
    </row>
    <row r="5" spans="1:14" x14ac:dyDescent="0.2">
      <c r="A5" s="427" t="s">
        <v>985</v>
      </c>
      <c r="B5" s="429">
        <v>120</v>
      </c>
      <c r="C5" s="1572">
        <v>239016</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1192939</v>
      </c>
      <c r="D13" s="1587">
        <f t="shared" ref="D13:L13" si="0">SUM(D4:D12)</f>
        <v>61779</v>
      </c>
      <c r="E13" s="1587">
        <f t="shared" si="0"/>
        <v>0</v>
      </c>
      <c r="F13" s="1587">
        <f t="shared" si="0"/>
        <v>118692</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473175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183798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1753108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61779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150981</v>
      </c>
    </row>
    <row r="23" spans="1:14" ht="13.5" customHeight="1" thickBot="1" x14ac:dyDescent="0.25">
      <c r="A23" s="1426" t="s">
        <v>638</v>
      </c>
      <c r="B23" s="1429"/>
      <c r="C23" s="1575"/>
      <c r="D23" s="1575"/>
      <c r="E23" s="1575"/>
      <c r="F23" s="1575"/>
      <c r="G23" s="1575"/>
      <c r="H23" s="1575"/>
      <c r="I23" s="1575"/>
      <c r="J23" s="1575"/>
      <c r="K23" s="1575"/>
      <c r="L23" s="1575"/>
      <c r="M23" s="1594">
        <f>SUM(M15:M22)</f>
        <v>2410081</v>
      </c>
      <c r="N23" s="1594">
        <f>SUM(N21:N22)</f>
        <v>212760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212760</v>
      </c>
    </row>
    <row r="37" spans="1:14" ht="13.5" thickBot="1" x14ac:dyDescent="0.25">
      <c r="A37" s="1426" t="s">
        <v>648</v>
      </c>
      <c r="B37" s="1429"/>
      <c r="C37" s="1582"/>
      <c r="D37" s="1582"/>
      <c r="E37" s="1582"/>
      <c r="F37" s="1582"/>
      <c r="G37" s="1582"/>
      <c r="H37" s="1582"/>
      <c r="I37" s="1582"/>
      <c r="J37" s="1582"/>
      <c r="K37" s="1582"/>
      <c r="L37" s="1585"/>
      <c r="M37" s="1575"/>
      <c r="N37" s="1594">
        <f>SUM(N36:N36)</f>
        <v>212760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1192939</v>
      </c>
      <c r="D39" s="1573">
        <v>61779</v>
      </c>
      <c r="E39" s="1573"/>
      <c r="F39" s="1573">
        <v>118692</v>
      </c>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2410081</v>
      </c>
      <c r="N40" s="1604"/>
    </row>
    <row r="41" spans="1:14" ht="13.5" customHeight="1" thickBot="1" x14ac:dyDescent="0.25">
      <c r="A41" s="1426" t="s">
        <v>650</v>
      </c>
      <c r="B41" s="1405"/>
      <c r="C41" s="1594">
        <f>(SUM(C34,C37,C38,C39))</f>
        <v>1192939</v>
      </c>
      <c r="D41" s="1594">
        <f t="shared" ref="D41:L41" si="2">SUM(D34,D37,D38:D39)</f>
        <v>61779</v>
      </c>
      <c r="E41" s="1594">
        <f t="shared" si="2"/>
        <v>0</v>
      </c>
      <c r="F41" s="1594">
        <f t="shared" si="2"/>
        <v>118692</v>
      </c>
      <c r="G41" s="1594">
        <f t="shared" si="2"/>
        <v>0</v>
      </c>
      <c r="H41" s="1594">
        <f t="shared" si="2"/>
        <v>0</v>
      </c>
      <c r="I41" s="1594">
        <f t="shared" si="2"/>
        <v>0</v>
      </c>
      <c r="J41" s="1594">
        <f t="shared" si="2"/>
        <v>0</v>
      </c>
      <c r="K41" s="1594">
        <f t="shared" si="2"/>
        <v>0</v>
      </c>
      <c r="L41" s="1594">
        <f t="shared" si="2"/>
        <v>0</v>
      </c>
      <c r="M41" s="1594">
        <f>SUM(M40)</f>
        <v>2410081</v>
      </c>
      <c r="N41" s="1594">
        <f>SUM(N37)</f>
        <v>212760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4579167</v>
      </c>
      <c r="D4" s="1606">
        <f>'Revenues 9-14'!D109</f>
        <v>184431</v>
      </c>
      <c r="E4" s="1606">
        <f>'Revenues 9-14'!E109</f>
        <v>0</v>
      </c>
      <c r="F4" s="1606">
        <f>'Revenues 9-14'!F109</f>
        <v>415364</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677049</v>
      </c>
      <c r="D6" s="1607">
        <f>'Revenues 9-14'!D170</f>
        <v>32235</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326469</v>
      </c>
      <c r="D7" s="1607">
        <f>'Revenues 9-14'!D267</f>
        <v>37326</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5582685</v>
      </c>
      <c r="D8" s="1594">
        <f t="shared" ref="D8:K8" si="0">SUM(D4:D7)</f>
        <v>253992</v>
      </c>
      <c r="E8" s="1594">
        <f t="shared" si="0"/>
        <v>0</v>
      </c>
      <c r="F8" s="1594">
        <f t="shared" si="0"/>
        <v>415364</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1429352</v>
      </c>
      <c r="D9" s="1613"/>
      <c r="E9" s="1586"/>
      <c r="F9" s="1586"/>
      <c r="G9" s="1614"/>
      <c r="H9" s="1586"/>
      <c r="I9" s="1609" t="s">
        <v>1159</v>
      </c>
      <c r="J9" s="1583"/>
      <c r="K9" s="1586"/>
      <c r="L9" s="325"/>
    </row>
    <row r="10" spans="1:13" s="452" customFormat="1" ht="13.5" thickBot="1" x14ac:dyDescent="0.25">
      <c r="A10" s="1426" t="s">
        <v>1163</v>
      </c>
      <c r="B10" s="1407"/>
      <c r="C10" s="1594">
        <f>SUM(C8:C9)</f>
        <v>7012037</v>
      </c>
      <c r="D10" s="1594">
        <f t="shared" ref="D10:K10" si="1">SUM(D8:D9)</f>
        <v>253992</v>
      </c>
      <c r="E10" s="1594">
        <f t="shared" si="1"/>
        <v>0</v>
      </c>
      <c r="F10" s="1594">
        <f t="shared" si="1"/>
        <v>415364</v>
      </c>
      <c r="G10" s="1594">
        <f t="shared" si="1"/>
        <v>0</v>
      </c>
      <c r="H10" s="1594">
        <f t="shared" si="1"/>
        <v>0</v>
      </c>
      <c r="I10" s="1594">
        <f t="shared" si="1"/>
        <v>0</v>
      </c>
      <c r="J10" s="1594">
        <f t="shared" si="1"/>
        <v>0</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3622395</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1666801</v>
      </c>
      <c r="D13" s="1607">
        <f>'Expenditures 15-22'!K129</f>
        <v>173929</v>
      </c>
      <c r="E13" s="1576" t="s">
        <v>1159</v>
      </c>
      <c r="F13" s="1607">
        <f>'Expenditures 15-22'!K184</f>
        <v>498772</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5289196</v>
      </c>
      <c r="D17" s="1594">
        <f t="shared" si="2"/>
        <v>173929</v>
      </c>
      <c r="E17" s="1594">
        <f t="shared" si="2"/>
        <v>0</v>
      </c>
      <c r="F17" s="1594">
        <f t="shared" si="2"/>
        <v>498772</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1429352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6718548</v>
      </c>
      <c r="D19" s="1594">
        <f t="shared" si="4"/>
        <v>173929</v>
      </c>
      <c r="E19" s="1594">
        <f t="shared" si="4"/>
        <v>0</v>
      </c>
      <c r="F19" s="1594">
        <f t="shared" si="4"/>
        <v>498772</v>
      </c>
      <c r="G19" s="1594">
        <f t="shared" si="4"/>
        <v>0</v>
      </c>
      <c r="H19" s="1594">
        <f t="shared" si="4"/>
        <v>0</v>
      </c>
      <c r="I19" s="1575"/>
      <c r="J19" s="1594">
        <f>SUM(J17:J18)</f>
        <v>0</v>
      </c>
      <c r="K19" s="1594">
        <f>SUM(K17:K18)</f>
        <v>0</v>
      </c>
      <c r="L19" s="325"/>
    </row>
    <row r="20" spans="1:12" ht="16.5" thickTop="1" thickBot="1" x14ac:dyDescent="0.25">
      <c r="A20" s="2233" t="s">
        <v>1636</v>
      </c>
      <c r="B20" s="2234"/>
      <c r="C20" s="1622">
        <f>C8-C17</f>
        <v>293489</v>
      </c>
      <c r="D20" s="1622">
        <f t="shared" ref="D20:K20" si="5">D8-D17</f>
        <v>80063</v>
      </c>
      <c r="E20" s="1622">
        <f t="shared" si="5"/>
        <v>0</v>
      </c>
      <c r="F20" s="1622">
        <f t="shared" si="5"/>
        <v>-83408</v>
      </c>
      <c r="G20" s="1622">
        <f t="shared" si="5"/>
        <v>0</v>
      </c>
      <c r="H20" s="1622">
        <f t="shared" si="5"/>
        <v>0</v>
      </c>
      <c r="I20" s="1622">
        <f t="shared" si="5"/>
        <v>0</v>
      </c>
      <c r="J20" s="1622">
        <f t="shared" si="5"/>
        <v>0</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10000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10000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v>10000</v>
      </c>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v>23640</v>
      </c>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33640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10000</v>
      </c>
      <c r="D77" s="1624">
        <f t="shared" si="8"/>
        <v>-33640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303489</v>
      </c>
      <c r="D78" s="1629">
        <f t="shared" si="9"/>
        <v>46423</v>
      </c>
      <c r="E78" s="1629">
        <f t="shared" si="9"/>
        <v>0</v>
      </c>
      <c r="F78" s="1629">
        <f t="shared" si="9"/>
        <v>-83408</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889450</v>
      </c>
      <c r="D79" s="1630">
        <v>15356</v>
      </c>
      <c r="E79" s="1630"/>
      <c r="F79" s="1630">
        <v>202100</v>
      </c>
      <c r="G79" s="1630"/>
      <c r="H79" s="1630"/>
      <c r="I79" s="1630"/>
      <c r="J79" s="1630"/>
      <c r="K79" s="1630"/>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1192939</v>
      </c>
      <c r="D81" s="1594">
        <f>SUM(D78:D80)</f>
        <v>61779</v>
      </c>
      <c r="E81" s="1594">
        <f t="shared" ref="E81:K81" si="10">SUM(E78:E80)</f>
        <v>0</v>
      </c>
      <c r="F81" s="1594">
        <f t="shared" si="10"/>
        <v>118692</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303489</v>
      </c>
      <c r="D82" s="461">
        <f t="shared" ref="D82:K82" si="11">(D81-D79)</f>
        <v>46423</v>
      </c>
      <c r="E82" s="461">
        <f t="shared" si="11"/>
        <v>0</v>
      </c>
      <c r="F82" s="461">
        <f t="shared" si="11"/>
        <v>-83408</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0.25440445823298591</v>
      </c>
      <c r="D83" s="463">
        <f t="shared" ref="D83:K83" si="12">D82/D81</f>
        <v>0.75143657229803007</v>
      </c>
      <c r="E83" s="463" t="e">
        <f t="shared" si="12"/>
        <v>#DIV/0!</v>
      </c>
      <c r="F83" s="463">
        <f t="shared" si="12"/>
        <v>-0.70272638425504663</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4494476</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4494476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415044</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415044</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6020</v>
      </c>
      <c r="D65" s="1573">
        <v>35</v>
      </c>
      <c r="E65" s="1573"/>
      <c r="F65" s="1574">
        <v>251</v>
      </c>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6020</v>
      </c>
      <c r="D67" s="1594">
        <f t="shared" ref="D67:K67" si="2">SUM(D65:D66)</f>
        <v>35</v>
      </c>
      <c r="E67" s="1594">
        <f t="shared" si="2"/>
        <v>0</v>
      </c>
      <c r="F67" s="1594">
        <f t="shared" si="2"/>
        <v>251</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397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397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19941</v>
      </c>
      <c r="D98" s="1573"/>
      <c r="E98" s="1612"/>
      <c r="F98" s="1573">
        <v>69</v>
      </c>
      <c r="G98" s="1612"/>
      <c r="H98" s="1612"/>
      <c r="I98" s="1610"/>
      <c r="J98" s="1612"/>
      <c r="K98" s="1612"/>
    </row>
    <row r="99" spans="1:12" ht="12.75" customHeight="1" x14ac:dyDescent="0.2">
      <c r="A99" s="427" t="s">
        <v>816</v>
      </c>
      <c r="B99" s="429">
        <v>1950</v>
      </c>
      <c r="C99" s="1598">
        <v>27985</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v>183471</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30334</v>
      </c>
      <c r="D107" s="1573">
        <v>925</v>
      </c>
      <c r="E107" s="1573"/>
      <c r="F107" s="1573"/>
      <c r="G107" s="1573"/>
      <c r="H107" s="1573"/>
      <c r="I107" s="1573"/>
      <c r="J107" s="1574"/>
      <c r="K107" s="1573"/>
    </row>
    <row r="108" spans="1:12" ht="12.75" customHeight="1" thickBot="1" x14ac:dyDescent="0.25">
      <c r="A108" s="1406" t="s">
        <v>484</v>
      </c>
      <c r="B108" s="1408"/>
      <c r="C108" s="1633">
        <f>SUM(C95:C107)</f>
        <v>78260</v>
      </c>
      <c r="D108" s="1633">
        <f t="shared" ref="D108:K108" si="3">SUM(D95:D107)</f>
        <v>184396</v>
      </c>
      <c r="E108" s="1633">
        <f t="shared" si="3"/>
        <v>0</v>
      </c>
      <c r="F108" s="1633">
        <f t="shared" si="3"/>
        <v>69</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4579167</v>
      </c>
      <c r="D109" s="1641">
        <f t="shared" si="4"/>
        <v>184431</v>
      </c>
      <c r="E109" s="1641">
        <f t="shared" si="4"/>
        <v>0</v>
      </c>
      <c r="F109" s="1641">
        <f t="shared" si="4"/>
        <v>415364</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676939</v>
      </c>
      <c r="D117" s="1586">
        <v>32235</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676939</v>
      </c>
      <c r="D122" s="1633">
        <f t="shared" si="5"/>
        <v>32235</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110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677049</v>
      </c>
      <c r="D170" s="1641">
        <f t="shared" si="7"/>
        <v>32235</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4714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1976</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6690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5872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213242</v>
      </c>
      <c r="D213" s="1573">
        <v>37326</v>
      </c>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219114</v>
      </c>
      <c r="D217" s="1633">
        <f>SUM(D211:D216)</f>
        <v>37326</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85364</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15301</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326469</v>
      </c>
      <c r="D266" s="1641">
        <f t="shared" si="10"/>
        <v>37326</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326469</v>
      </c>
      <c r="D267" s="1641">
        <f>SUM(D175,D181,D266)</f>
        <v>37326</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5582685</v>
      </c>
      <c r="D268" s="1641">
        <f t="shared" si="12"/>
        <v>253992</v>
      </c>
      <c r="E268" s="1641">
        <f t="shared" si="12"/>
        <v>0</v>
      </c>
      <c r="F268" s="1641">
        <f t="shared" si="12"/>
        <v>415364</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2513893</v>
      </c>
      <c r="D8" s="1573">
        <v>672770</v>
      </c>
      <c r="E8" s="1573">
        <v>59997</v>
      </c>
      <c r="F8" s="1573">
        <v>24784</v>
      </c>
      <c r="G8" s="1573">
        <v>21178</v>
      </c>
      <c r="H8" s="1573">
        <v>173510</v>
      </c>
      <c r="I8" s="1574"/>
      <c r="J8" s="1574"/>
      <c r="K8" s="1672">
        <f t="shared" si="0"/>
        <v>3466132</v>
      </c>
      <c r="L8" s="1573">
        <v>3505000</v>
      </c>
    </row>
    <row r="9" spans="1:14" x14ac:dyDescent="0.2">
      <c r="A9" s="1274" t="s">
        <v>716</v>
      </c>
      <c r="B9" s="503" t="s">
        <v>962</v>
      </c>
      <c r="C9" s="1574">
        <v>120316</v>
      </c>
      <c r="D9" s="1574">
        <v>23452</v>
      </c>
      <c r="E9" s="1574"/>
      <c r="F9" s="1574">
        <v>362</v>
      </c>
      <c r="G9" s="1574"/>
      <c r="H9" s="1574"/>
      <c r="I9" s="1574"/>
      <c r="J9" s="1574"/>
      <c r="K9" s="1672">
        <f t="shared" si="0"/>
        <v>144130</v>
      </c>
      <c r="L9" s="1573">
        <v>180500</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11256</v>
      </c>
      <c r="D15" s="1573">
        <v>877</v>
      </c>
      <c r="E15" s="1573"/>
      <c r="F15" s="1573"/>
      <c r="G15" s="1573"/>
      <c r="H15" s="1573"/>
      <c r="I15" s="1574"/>
      <c r="J15" s="1574"/>
      <c r="K15" s="1672">
        <f t="shared" si="0"/>
        <v>12133</v>
      </c>
      <c r="L15" s="1573">
        <v>9700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2645465</v>
      </c>
      <c r="D33" s="1674">
        <f t="shared" ref="D33:L33" si="1">SUM(D5:D32)</f>
        <v>697099</v>
      </c>
      <c r="E33" s="1674">
        <f t="shared" si="1"/>
        <v>59997</v>
      </c>
      <c r="F33" s="1674">
        <f t="shared" si="1"/>
        <v>25146</v>
      </c>
      <c r="G33" s="1674">
        <f t="shared" si="1"/>
        <v>21178</v>
      </c>
      <c r="H33" s="1674">
        <f t="shared" si="1"/>
        <v>173510</v>
      </c>
      <c r="I33" s="1674">
        <f t="shared" si="1"/>
        <v>0</v>
      </c>
      <c r="J33" s="1674">
        <f t="shared" si="1"/>
        <v>0</v>
      </c>
      <c r="K33" s="1674">
        <f t="shared" si="1"/>
        <v>3622395</v>
      </c>
      <c r="L33" s="1674">
        <f t="shared" si="1"/>
        <v>3695200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219511</v>
      </c>
      <c r="D36" s="1586">
        <v>51335</v>
      </c>
      <c r="E36" s="1586">
        <v>2850</v>
      </c>
      <c r="F36" s="1586">
        <v>361</v>
      </c>
      <c r="G36" s="1586"/>
      <c r="H36" s="1586"/>
      <c r="I36" s="1574"/>
      <c r="J36" s="1574"/>
      <c r="K36" s="1672">
        <f t="shared" ref="K36:K41" si="2">SUM(C36:J36)</f>
        <v>274057</v>
      </c>
      <c r="L36" s="1573">
        <v>269500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188217</v>
      </c>
      <c r="D38" s="1573">
        <v>53256</v>
      </c>
      <c r="E38" s="1573">
        <v>20130</v>
      </c>
      <c r="F38" s="1573">
        <v>2026</v>
      </c>
      <c r="G38" s="1573"/>
      <c r="H38" s="1573"/>
      <c r="I38" s="1574"/>
      <c r="J38" s="1574"/>
      <c r="K38" s="1672">
        <f t="shared" si="2"/>
        <v>263629</v>
      </c>
      <c r="L38" s="1573">
        <v>278000</v>
      </c>
    </row>
    <row r="39" spans="1:14" x14ac:dyDescent="0.2">
      <c r="A39" s="1274" t="s">
        <v>197</v>
      </c>
      <c r="B39" s="503">
        <v>2140</v>
      </c>
      <c r="C39" s="1573">
        <v>104382</v>
      </c>
      <c r="D39" s="1573">
        <v>19168</v>
      </c>
      <c r="E39" s="1573">
        <v>5132</v>
      </c>
      <c r="F39" s="1573">
        <v>2064</v>
      </c>
      <c r="G39" s="1573"/>
      <c r="H39" s="1573"/>
      <c r="I39" s="1574"/>
      <c r="J39" s="1574"/>
      <c r="K39" s="1672">
        <f t="shared" si="2"/>
        <v>130746</v>
      </c>
      <c r="L39" s="1573">
        <v>79500</v>
      </c>
    </row>
    <row r="40" spans="1:14" x14ac:dyDescent="0.2">
      <c r="A40" s="1274" t="s">
        <v>198</v>
      </c>
      <c r="B40" s="503">
        <v>2150</v>
      </c>
      <c r="C40" s="1573">
        <v>151948</v>
      </c>
      <c r="D40" s="1573">
        <v>31052</v>
      </c>
      <c r="E40" s="1573">
        <v>23752</v>
      </c>
      <c r="F40" s="1573">
        <v>1911</v>
      </c>
      <c r="G40" s="1573"/>
      <c r="H40" s="1573"/>
      <c r="I40" s="1574"/>
      <c r="J40" s="1574"/>
      <c r="K40" s="1672">
        <f t="shared" si="2"/>
        <v>208663</v>
      </c>
      <c r="L40" s="1573">
        <v>223000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664058</v>
      </c>
      <c r="D42" s="1674">
        <f t="shared" ref="D42:L42" si="3">SUM(D36:D41)</f>
        <v>154811</v>
      </c>
      <c r="E42" s="1674">
        <f t="shared" si="3"/>
        <v>51864</v>
      </c>
      <c r="F42" s="1674">
        <f t="shared" si="3"/>
        <v>6362</v>
      </c>
      <c r="G42" s="1674">
        <f t="shared" si="3"/>
        <v>0</v>
      </c>
      <c r="H42" s="1674">
        <f t="shared" si="3"/>
        <v>0</v>
      </c>
      <c r="I42" s="1674">
        <f t="shared" si="3"/>
        <v>0</v>
      </c>
      <c r="J42" s="1674">
        <f t="shared" si="3"/>
        <v>0</v>
      </c>
      <c r="K42" s="1674">
        <f t="shared" si="3"/>
        <v>877095</v>
      </c>
      <c r="L42" s="1674">
        <f t="shared" si="3"/>
        <v>850000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34558</v>
      </c>
      <c r="D44" s="1586">
        <v>5463</v>
      </c>
      <c r="E44" s="1586">
        <v>20277</v>
      </c>
      <c r="F44" s="1586">
        <v>10733</v>
      </c>
      <c r="G44" s="1586"/>
      <c r="H44" s="1586"/>
      <c r="I44" s="1574"/>
      <c r="J44" s="1574"/>
      <c r="K44" s="1678">
        <f>SUM(C44:J44)</f>
        <v>71031</v>
      </c>
      <c r="L44" s="1586">
        <v>107000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34558</v>
      </c>
      <c r="D47" s="1674">
        <f t="shared" ref="D47:K47" si="4">SUM(D44:D46)</f>
        <v>5463</v>
      </c>
      <c r="E47" s="1674">
        <f t="shared" si="4"/>
        <v>20277</v>
      </c>
      <c r="F47" s="1674">
        <f t="shared" si="4"/>
        <v>10733</v>
      </c>
      <c r="G47" s="1674">
        <f t="shared" si="4"/>
        <v>0</v>
      </c>
      <c r="H47" s="1674">
        <f t="shared" si="4"/>
        <v>0</v>
      </c>
      <c r="I47" s="1674">
        <f t="shared" si="4"/>
        <v>0</v>
      </c>
      <c r="J47" s="1674">
        <f t="shared" si="4"/>
        <v>0</v>
      </c>
      <c r="K47" s="1674">
        <f t="shared" si="4"/>
        <v>71031</v>
      </c>
      <c r="L47" s="1674">
        <f>SUM(L44:L46)</f>
        <v>107000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188565</v>
      </c>
      <c r="D51" s="1573">
        <v>53444</v>
      </c>
      <c r="E51" s="1573">
        <v>228202</v>
      </c>
      <c r="F51" s="1573">
        <v>20508</v>
      </c>
      <c r="G51" s="1573">
        <v>4349</v>
      </c>
      <c r="H51" s="1573"/>
      <c r="I51" s="1574"/>
      <c r="J51" s="1574"/>
      <c r="K51" s="1678">
        <f>SUM(C51:J51)</f>
        <v>495068</v>
      </c>
      <c r="L51" s="1573">
        <v>475000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188565</v>
      </c>
      <c r="D53" s="1674">
        <f t="shared" ref="D53:L53" si="5">SUM(D49:D52)</f>
        <v>53444</v>
      </c>
      <c r="E53" s="1674">
        <f t="shared" si="5"/>
        <v>228202</v>
      </c>
      <c r="F53" s="1674">
        <f t="shared" si="5"/>
        <v>20508</v>
      </c>
      <c r="G53" s="1674">
        <f t="shared" si="5"/>
        <v>4349</v>
      </c>
      <c r="H53" s="1674">
        <f t="shared" si="5"/>
        <v>0</v>
      </c>
      <c r="I53" s="1674">
        <f t="shared" si="5"/>
        <v>0</v>
      </c>
      <c r="J53" s="1674">
        <f t="shared" si="5"/>
        <v>0</v>
      </c>
      <c r="K53" s="1674">
        <f t="shared" si="5"/>
        <v>495068</v>
      </c>
      <c r="L53" s="1674">
        <f t="shared" si="5"/>
        <v>475000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108924</v>
      </c>
      <c r="D55" s="1586">
        <v>30851</v>
      </c>
      <c r="E55" s="1586">
        <v>368</v>
      </c>
      <c r="F55" s="1586">
        <v>4237</v>
      </c>
      <c r="G55" s="1586"/>
      <c r="H55" s="1586"/>
      <c r="I55" s="1574"/>
      <c r="J55" s="1574"/>
      <c r="K55" s="1678">
        <f>SUM(C55:J55)</f>
        <v>144380</v>
      </c>
      <c r="L55" s="1586">
        <v>143800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108924</v>
      </c>
      <c r="D57" s="1679">
        <f t="shared" ref="D57:K57" si="6">SUM(D55:D56)</f>
        <v>30851</v>
      </c>
      <c r="E57" s="1679">
        <f t="shared" si="6"/>
        <v>368</v>
      </c>
      <c r="F57" s="1679">
        <f t="shared" si="6"/>
        <v>4237</v>
      </c>
      <c r="G57" s="1679">
        <f t="shared" si="6"/>
        <v>0</v>
      </c>
      <c r="H57" s="1679">
        <f t="shared" si="6"/>
        <v>0</v>
      </c>
      <c r="I57" s="1679">
        <f t="shared" si="6"/>
        <v>0</v>
      </c>
      <c r="J57" s="1679">
        <f t="shared" si="6"/>
        <v>0</v>
      </c>
      <c r="K57" s="1679">
        <f t="shared" si="6"/>
        <v>144380</v>
      </c>
      <c r="L57" s="1674">
        <f>SUM(L55:L56)</f>
        <v>143800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43811</v>
      </c>
      <c r="D60" s="1573">
        <v>13742</v>
      </c>
      <c r="E60" s="1573">
        <v>106</v>
      </c>
      <c r="F60" s="1573"/>
      <c r="G60" s="1573"/>
      <c r="H60" s="1573"/>
      <c r="I60" s="1574"/>
      <c r="J60" s="1574"/>
      <c r="K60" s="1678">
        <f t="shared" si="7"/>
        <v>57659</v>
      </c>
      <c r="L60" s="1573">
        <v>53150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10485</v>
      </c>
      <c r="D63" s="1573">
        <v>2055</v>
      </c>
      <c r="E63" s="1573">
        <v>70</v>
      </c>
      <c r="F63" s="1573">
        <v>8958</v>
      </c>
      <c r="G63" s="1573"/>
      <c r="H63" s="1573"/>
      <c r="I63" s="1574"/>
      <c r="J63" s="1574"/>
      <c r="K63" s="1678">
        <f t="shared" si="7"/>
        <v>21568</v>
      </c>
      <c r="L63" s="1573">
        <v>24400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54296</v>
      </c>
      <c r="D65" s="1674">
        <f t="shared" ref="D65:L65" si="8">SUM(D59:D64)</f>
        <v>15797</v>
      </c>
      <c r="E65" s="1674">
        <f t="shared" si="8"/>
        <v>176</v>
      </c>
      <c r="F65" s="1674">
        <f t="shared" si="8"/>
        <v>8958</v>
      </c>
      <c r="G65" s="1674">
        <f t="shared" si="8"/>
        <v>0</v>
      </c>
      <c r="H65" s="1674">
        <f t="shared" si="8"/>
        <v>0</v>
      </c>
      <c r="I65" s="1674">
        <f t="shared" si="8"/>
        <v>0</v>
      </c>
      <c r="J65" s="1674">
        <f t="shared" si="8"/>
        <v>0</v>
      </c>
      <c r="K65" s="1674">
        <f t="shared" si="8"/>
        <v>79227</v>
      </c>
      <c r="L65" s="1674">
        <f t="shared" si="8"/>
        <v>77550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1050401</v>
      </c>
      <c r="D74" s="1681">
        <f t="shared" ref="D74:K74" si="10">SUM(D42,D47,D53,D57,D65,D72,D73)</f>
        <v>260366</v>
      </c>
      <c r="E74" s="1681">
        <f t="shared" si="10"/>
        <v>300887</v>
      </c>
      <c r="F74" s="1681">
        <f t="shared" si="10"/>
        <v>50798</v>
      </c>
      <c r="G74" s="1681">
        <f t="shared" si="10"/>
        <v>4349</v>
      </c>
      <c r="H74" s="1681">
        <f t="shared" si="10"/>
        <v>0</v>
      </c>
      <c r="I74" s="1681">
        <f t="shared" si="10"/>
        <v>0</v>
      </c>
      <c r="J74" s="1681">
        <f t="shared" si="10"/>
        <v>0</v>
      </c>
      <c r="K74" s="1681">
        <f t="shared" si="10"/>
        <v>1666801</v>
      </c>
      <c r="L74" s="1681">
        <f>SUM(L42,L47,L53,L57,L65,L72,L73)</f>
        <v>1653350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3695866</v>
      </c>
      <c r="D114" s="1674">
        <f t="shared" ref="D114:K114" si="13">SUM(D33,D74,D75,D102,D112,D113)</f>
        <v>957465</v>
      </c>
      <c r="E114" s="1674">
        <f t="shared" si="13"/>
        <v>360884</v>
      </c>
      <c r="F114" s="1674">
        <f t="shared" si="13"/>
        <v>75944</v>
      </c>
      <c r="G114" s="1674">
        <f t="shared" si="13"/>
        <v>25527</v>
      </c>
      <c r="H114" s="1674">
        <f>SUM(H33,H74,H75,H102,H112,H113)</f>
        <v>173510</v>
      </c>
      <c r="I114" s="1674">
        <f t="shared" si="13"/>
        <v>0</v>
      </c>
      <c r="J114" s="1674">
        <f t="shared" si="13"/>
        <v>0</v>
      </c>
      <c r="K114" s="1674">
        <f t="shared" si="13"/>
        <v>5289196</v>
      </c>
      <c r="L114" s="1674">
        <f>SUM(L33,L74,L75,L102,L112,L113)</f>
        <v>5348550</v>
      </c>
    </row>
    <row r="115" spans="1:14" ht="13.5" thickTop="1" x14ac:dyDescent="0.2">
      <c r="A115" s="2288" t="s">
        <v>989</v>
      </c>
      <c r="B115" s="2289"/>
      <c r="C115" s="1675"/>
      <c r="D115" s="1675"/>
      <c r="E115" s="1675"/>
      <c r="F115" s="1675"/>
      <c r="G115" s="1675"/>
      <c r="H115" s="1675"/>
      <c r="I115" s="1675"/>
      <c r="J115" s="1675"/>
      <c r="K115" s="1689">
        <f>'Revenues 9-14'!C268-'Expenditures 15-22'!K114</f>
        <v>293489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8402</v>
      </c>
      <c r="D124" s="1573">
        <v>2540</v>
      </c>
      <c r="E124" s="1573">
        <v>86554</v>
      </c>
      <c r="F124" s="1573">
        <v>37383</v>
      </c>
      <c r="G124" s="1573">
        <v>39050</v>
      </c>
      <c r="H124" s="1573"/>
      <c r="I124" s="1574"/>
      <c r="J124" s="1574"/>
      <c r="K124" s="1674">
        <f>SUM(C124:J124)</f>
        <v>173929</v>
      </c>
      <c r="L124" s="1573">
        <v>239000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8402</v>
      </c>
      <c r="D127" s="1674">
        <f t="shared" ref="D127:L127" si="14">SUM(D122:D126)</f>
        <v>2540</v>
      </c>
      <c r="E127" s="1674">
        <f t="shared" si="14"/>
        <v>86554</v>
      </c>
      <c r="F127" s="1674">
        <f t="shared" si="14"/>
        <v>37383</v>
      </c>
      <c r="G127" s="1674">
        <f t="shared" si="14"/>
        <v>39050</v>
      </c>
      <c r="H127" s="1674">
        <f t="shared" si="14"/>
        <v>0</v>
      </c>
      <c r="I127" s="1674">
        <f t="shared" si="14"/>
        <v>0</v>
      </c>
      <c r="J127" s="1674">
        <f t="shared" si="14"/>
        <v>0</v>
      </c>
      <c r="K127" s="1674">
        <f t="shared" si="14"/>
        <v>173929</v>
      </c>
      <c r="L127" s="1674">
        <f t="shared" si="14"/>
        <v>239000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8402</v>
      </c>
      <c r="D129" s="1681">
        <f t="shared" ref="D129:L129" si="15">SUM(D120,D127,D128)</f>
        <v>2540</v>
      </c>
      <c r="E129" s="1681">
        <f t="shared" si="15"/>
        <v>86554</v>
      </c>
      <c r="F129" s="1681">
        <f t="shared" si="15"/>
        <v>37383</v>
      </c>
      <c r="G129" s="1681">
        <f t="shared" si="15"/>
        <v>39050</v>
      </c>
      <c r="H129" s="1681">
        <f t="shared" si="15"/>
        <v>0</v>
      </c>
      <c r="I129" s="1681">
        <f t="shared" si="15"/>
        <v>0</v>
      </c>
      <c r="J129" s="1681">
        <f t="shared" si="15"/>
        <v>0</v>
      </c>
      <c r="K129" s="1681">
        <f t="shared" si="15"/>
        <v>173929</v>
      </c>
      <c r="L129" s="1681">
        <f t="shared" si="15"/>
        <v>239000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60"/>
      <c r="C151" s="1674">
        <f>SUM(C129,C130,C139,C149,C150)</f>
        <v>8402</v>
      </c>
      <c r="D151" s="1674">
        <f t="shared" ref="D151:K151" si="16">SUM(D129,D130,D139,D149,D150)</f>
        <v>2540</v>
      </c>
      <c r="E151" s="1674">
        <f t="shared" si="16"/>
        <v>86554</v>
      </c>
      <c r="F151" s="1674">
        <f t="shared" si="16"/>
        <v>37383</v>
      </c>
      <c r="G151" s="1674">
        <f t="shared" si="16"/>
        <v>39050</v>
      </c>
      <c r="H151" s="1674">
        <f t="shared" si="16"/>
        <v>0</v>
      </c>
      <c r="I151" s="1674">
        <f t="shared" si="16"/>
        <v>0</v>
      </c>
      <c r="J151" s="1674">
        <f t="shared" si="16"/>
        <v>0</v>
      </c>
      <c r="K151" s="1674">
        <f t="shared" si="16"/>
        <v>173929</v>
      </c>
      <c r="L151" s="1674">
        <f>SUM(L129,L130,L139,L149,L150)</f>
        <v>239000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80063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8" t="s">
        <v>989</v>
      </c>
      <c r="B175" s="2289"/>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258115</v>
      </c>
      <c r="D182" s="1573">
        <v>64535</v>
      </c>
      <c r="E182" s="1573">
        <v>41568</v>
      </c>
      <c r="F182" s="1573">
        <v>106275</v>
      </c>
      <c r="G182" s="1573">
        <v>28279</v>
      </c>
      <c r="H182" s="1573"/>
      <c r="I182" s="1574"/>
      <c r="J182" s="1574"/>
      <c r="K182" s="1672">
        <f>SUM(C182:J182)</f>
        <v>498772</v>
      </c>
      <c r="L182" s="1573">
        <v>625000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258115</v>
      </c>
      <c r="D184" s="1681">
        <f t="shared" ref="D184:J184" si="17">SUM(D180,D182,D183)</f>
        <v>64535</v>
      </c>
      <c r="E184" s="1681">
        <f t="shared" si="17"/>
        <v>41568</v>
      </c>
      <c r="F184" s="1681">
        <f t="shared" si="17"/>
        <v>106275</v>
      </c>
      <c r="G184" s="1681">
        <f t="shared" si="17"/>
        <v>28279</v>
      </c>
      <c r="H184" s="1681">
        <f t="shared" si="17"/>
        <v>0</v>
      </c>
      <c r="I184" s="1681">
        <f t="shared" si="17"/>
        <v>0</v>
      </c>
      <c r="J184" s="1681">
        <f t="shared" si="17"/>
        <v>0</v>
      </c>
      <c r="K184" s="1681">
        <f>SUM(K180,K182,K183)</f>
        <v>498772</v>
      </c>
      <c r="L184" s="1681">
        <f>SUM(L180, L182:L183)</f>
        <v>625000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258115</v>
      </c>
      <c r="D210" s="1674">
        <f>SUM(D184,D185)</f>
        <v>64535</v>
      </c>
      <c r="E210" s="1674">
        <f>SUM(E184,E185,E196)</f>
        <v>41568</v>
      </c>
      <c r="F210" s="1674">
        <f>SUM(F184,F185)</f>
        <v>106275</v>
      </c>
      <c r="G210" s="1674">
        <f>SUM(G184,G185)</f>
        <v>28279</v>
      </c>
      <c r="H210" s="1674">
        <f>SUM(H184,H185,H196,H208,H209)</f>
        <v>0</v>
      </c>
      <c r="I210" s="1674">
        <f>SUM(I184,I185)</f>
        <v>0</v>
      </c>
      <c r="J210" s="1674">
        <f>SUM(J184,J185)</f>
        <v>0</v>
      </c>
      <c r="K210" s="1672">
        <f>SUM(K184,K185,K196,K208,K209)</f>
        <v>498772</v>
      </c>
      <c r="L210" s="1674">
        <f>SUM(L184,L185,L196,L208,L209)</f>
        <v>625000</v>
      </c>
    </row>
    <row r="211" spans="1:14" ht="13.5" thickTop="1" x14ac:dyDescent="0.2">
      <c r="A211" s="2288" t="s">
        <v>989</v>
      </c>
      <c r="B211" s="2289"/>
      <c r="C211" s="1675"/>
      <c r="D211" s="1675"/>
      <c r="E211" s="1675"/>
      <c r="F211" s="1675"/>
      <c r="G211" s="1675"/>
      <c r="H211" s="1675"/>
      <c r="I211" s="1673"/>
      <c r="J211" s="1673"/>
      <c r="K211" s="1689">
        <f>'Revenues 9-14'!F268-'Expenditures 15-22'!K210</f>
        <v>-83408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8" t="s">
        <v>989</v>
      </c>
      <c r="B296" s="2289"/>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8" t="s">
        <v>989</v>
      </c>
      <c r="B368" s="2289"/>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dcmitype/"/>
    <ds:schemaRef ds:uri="http://schemas.microsoft.com/office/infopath/2007/PartnerControls"/>
    <ds:schemaRef ds:uri="http://www.w3.org/XML/1998/namespace"/>
    <ds:schemaRef ds:uri="d21dc803-237d-4c68-8692-8d731fd29118"/>
    <ds:schemaRef ds:uri="http://schemas.openxmlformats.org/package/2006/metadata/core-properties"/>
    <ds:schemaRef ds:uri="4d435f69-8686-490b-bd6d-b153bf22ab50"/>
    <ds:schemaRef ds:uri="http://schemas.microsoft.com/office/2006/metadata/properties"/>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2020-11-17T23:04:35Z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