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CDE59A1-FBEE-4254-9D91-08A08FADF1D7}"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9" i="183" l="1"/>
  <c r="F38" i="183"/>
  <c r="F37" i="183"/>
  <c r="F36" i="183"/>
  <c r="F35" i="183"/>
  <c r="F34" i="183"/>
  <c r="F33" i="183"/>
  <c r="F32" i="183"/>
  <c r="F31" i="183"/>
  <c r="F30" i="183"/>
  <c r="F29" i="183"/>
  <c r="F28" i="183"/>
  <c r="F27" i="183"/>
  <c r="F26" i="183"/>
  <c r="F25" i="183"/>
  <c r="F24" i="183"/>
  <c r="F23" i="183"/>
  <c r="F22" i="183"/>
  <c r="F21" i="183"/>
  <c r="F20" i="183"/>
  <c r="F19"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s="1"/>
  <c r="B7819" i="106" l="1"/>
  <c r="D7819" i="106" s="1"/>
  <c r="B7818" i="106"/>
  <c r="D7818" i="106" s="1"/>
  <c r="D40" i="183" l="1"/>
  <c r="A15" i="183"/>
  <c r="D82" i="36" l="1"/>
  <c r="F40" i="183"/>
  <c r="E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H12" i="184"/>
  <c r="H19" i="184" s="1"/>
  <c r="L20" i="184" s="1"/>
  <c r="E19" i="184"/>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57" i="184"/>
  <c r="N68" i="184" s="1"/>
  <c r="E68" i="184"/>
  <c r="L16" i="11"/>
  <c r="B2061" i="106" s="1"/>
  <c r="D2061" i="106" s="1"/>
  <c r="B1381" i="106"/>
  <c r="D1381"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<sst xmlns="http://schemas.openxmlformats.org/spreadsheetml/2006/main" count="5129" uniqueCount="2071">
  <si>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</si>
  <si>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</si>
  <si>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</si>
  <si>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</si>
  <si>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</si>
  <si>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</si>
  <si>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</si>
  <si>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</si>
  <si>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</si>
  <si>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</si>
  <si>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</si>
  <si>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</si>
  <si>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</si>
  <si>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</si>
  <si>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</si>
  <si>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</si>
  <si>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</si>
  <si>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</si>
  <si>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</si>
  <si>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</si>
  <si>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</si>
  <si>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</si>
  <si>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</si>
  <si>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</si>
  <si>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</si>
  <si>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</si>
  <si>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</si>
  <si>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</si>
  <si>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</si>
  <si>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</si>
  <si>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</si>
  <si>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</si>
  <si>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</si>
  <si>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</si>
  <si>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</si>
  <si>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</si>
  <si>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</si>
  <si>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</si>
  <si>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</si>
  <si>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</si>
  <si>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</si>
  <si>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</si>
  <si>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</si>
  <si>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</si>
  <si>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</si>
  <si>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</si>
  <si>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</si>
  <si>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</si>
  <si>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</si>
  <si>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</si>
  <si>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</si>
  <si>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</si>
  <si>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</si>
  <si>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</si>
  <si>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</si>
  <si>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</si>
  <si>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</si>
  <si>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</si>
  <si>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</si>
  <si>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</si>
  <si>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</si>
  <si>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</si>
  <si>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</si>
  <si>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</si>
  <si>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</si>
  <si>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</si>
  <si>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</si>
  <si>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</si>
  <si>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</si>
  <si>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</si>
  <si>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</si>
  <si>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</si>
  <si>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</si>
  <si>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</si>
  <si>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</si>
  <si>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</si>
  <si>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</si>
  <si>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</si>
  <si>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</si>
  <si>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</si>
  <si>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</si>
  <si>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</si>
  <si>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</si>
  <si>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</si>
  <si>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</si>
  <si>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</si>
  <si>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</si>
  <si>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</si>
  <si>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</si>
  <si>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</si>
  <si>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</si>
  <si>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</si>
  <si>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</si>
  <si>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</si>
  <si>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</si>
  <si>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</si>
  <si>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</si>
  <si>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</si>
  <si>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</si>
  <si>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</si>
  <si>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</si>
  <si>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</si>
  <si>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</si>
  <si>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</si>
  <si>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</si>
  <si>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</si>
  <si>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</si>
  <si>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</si>
  <si>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</si>
  <si>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</si>
  <si>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</si>
  <si>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</si>
  <si>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</si>
  <si>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</si>
  <si>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</si>
  <si>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</si>
  <si>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</si>
  <si>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</si>
  <si>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</si>
  <si>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</si>
  <si>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</si>
  <si>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</si>
  <si>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</si>
  <si>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</si>
  <si>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</si>
  <si>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</si>
  <si>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</si>
  <si>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</si>
  <si>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</si>
  <si>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</si>
  <si>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</si>
  <si>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</si>
  <si>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</si>
  <si>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</si>
  <si>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</si>
  <si>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</si>
  <si>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</si>
  <si>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</si>
  <si>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</si>
  <si>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</si>
  <si>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</si>
  <si>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</si>
  <si>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</si>
  <si>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</si>
  <si>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</si>
  <si>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</si>
  <si>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</si>
  <si>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</si>
  <si>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</si>
  <si>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</si>
  <si>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</si>
  <si>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</si>
  <si>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</si>
  <si>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</si>
  <si>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</si>
  <si>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</si>
  <si>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</si>
  <si>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</si>
  <si>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</si>
  <si>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</si>
  <si>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</si>
  <si>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</si>
  <si>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</si>
  <si>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</si>
  <si>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</si>
  <si>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</si>
  <si>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</si>
  <si>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</si>
  <si>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</si>
  <si>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</si>
  <si>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</si>
  <si>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</si>
  <si>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</si>
  <si>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</si>
  <si>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</si>
  <si>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</si>
  <si>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</si>
  <si>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</si>
  <si>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</si>
  <si>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</si>
  <si>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</si>
  <si>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</si>
  <si>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</si>
  <si>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</si>
  <si>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</si>
  <si>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</si>
  <si>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</si>
  <si>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</si>
  <si>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</si>
  <si>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</si>
  <si>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</si>
  <si>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</si>
  <si>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</si>
  <si>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</si>
  <si>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</si>
  <si>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</si>
  <si>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</si>
  <si>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</si>
  <si>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</si>
  <si>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</si>
  <si>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</si>
  <si>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</si>
  <si>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</si>
  <si>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</si>
  <si>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</si>
  <si>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</si>
  <si>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</si>
  <si>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</si>
  <si>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</si>
  <si>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</si>
  <si>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</si>
  <si>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</si>
  <si>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</si>
  <si>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</si>
  <si>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</si>
  <si>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</si>
  <si>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</si>
  <si>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</si>
  <si>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</si>
  <si>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</si>
  <si>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</si>
  <si>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</si>
  <si>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</si>
  <si>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</si>
  <si>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</si>
  <si>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</si>
  <si>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</si>
  <si>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</si>
  <si>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</si>
  <si>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</si>
  <si>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</si>
  <si>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</si>
  <si>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</si>
  <si>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</si>
  <si>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</si>
  <si>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</si>
  <si>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</si>
  <si>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</si>
  <si>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</si>
  <si>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</si>
  <si>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</si>
  <si>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</si>
  <si>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</si>
  <si>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</si>
  <si>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</si>
  <si>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</si>
  <si>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</si>
  <si>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</si>
  <si>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</si>
  <si>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</si>
  <si>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</si>
  <si>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</si>
  <si>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</si>
  <si>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</si>
  <si>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</si>
  <si>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</si>
  <si>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</si>
  <si>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</si>
  <si>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</si>
  <si>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</si>
  <si>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</si>
  <si>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</si>
  <si>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</si>
  <si>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</si>
  <si>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</si>
  <si>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</si>
  <si>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</si>
  <si>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</si>
  <si>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</si>
  <si>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</si>
  <si>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</si>
  <si>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</si>
  <si>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</si>
  <si>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</si>
  <si>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</si>
  <si>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</si>
  <si>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</si>
  <si>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</si>
  <si>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</si>
  <si>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</si>
  <si>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</si>
  <si>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</si>
  <si>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</si>
  <si>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</si>
  <si>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</si>
  <si>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</si>
  <si>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</si>
  <si>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</si>
  <si>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</si>
  <si>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</si>
  <si>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</si>
  <si>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</si>
  <si>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</si>
  <si>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</si>
  <si>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</si>
  <si>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</si>
  <si>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</si>
  <si>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</si>
  <si>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</si>
  <si>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</si>
  <si>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</si>
  <si>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</si>
  <si>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</si>
  <si>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</si>
  <si>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</si>
  <si>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</si>
  <si>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</si>
  <si>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</si>
  <si>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</si>
  <si>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</si>
  <si>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</si>
  <si>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</si>
  <si>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</si>
  <si>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</si>
  <si>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</si>
  <si>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</si>
  <si>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</si>
  <si>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</si>
  <si>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</si>
  <si>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</si>
  <si>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</si>
  <si>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</si>
  <si>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</si>
  <si>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</si>
  <si>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</si>
  <si>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</si>
  <si>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</si>
  <si>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</si>
  <si>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</si>
  <si>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</si>
  <si>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</si>
  <si>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</si>
  <si>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</si>
  <si>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</si>
  <si>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</si>
  <si>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</si>
  <si>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</si>
  <si>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</si>
  <si>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</si>
  <si>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</si>
  <si>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</si>
  <si>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</si>
  <si>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</si>
  <si>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</si>
  <si>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</si>
  <si>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</si>
  <si>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</si>
  <si>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</si>
  <si>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</si>
  <si>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</si>
  <si>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</si>
  <si>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</si>
  <si>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</si>
  <si>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</si>
  <si>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</si>
  <si>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</si>
  <si>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</si>
  <si>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</si>
  <si>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</si>
  <si>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</si>
  <si>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</si>
  <si>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</si>
  <si>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</si>
  <si>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</si>
  <si>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</si>
  <si>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</si>
  <si>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</si>
  <si>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</si>
  <si>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</si>
  <si>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</si>
  <si>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</si>
  <si>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</si>
  <si>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</si>
  <si>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</si>
  <si>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</si>
  <si>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</si>
  <si>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</si>
  <si>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</si>
  <si>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</si>
  <si>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</si>
  <si>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</si>
  <si>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</si>
  <si>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</si>
  <si>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</si>
  <si>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</si>
  <si>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</si>
  <si>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</si>
  <si>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</si>
  <si>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</si>
  <si>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</si>
  <si>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</si>
  <si>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</si>
  <si>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</si>
  <si>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</si>
  <si>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</si>
  <si>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</si>
  <si>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</si>
  <si>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</si>
  <si>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</si>
  <si>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</si>
  <si>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</si>
  <si>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</si>
  <si>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</si>
  <si>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</si>
  <si>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</si>
  <si>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</si>
  <si>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</si>
  <si>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</si>
  <si>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</si>
  <si>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</si>
  <si>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</si>
  <si>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</si>
  <si>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</si>
  <si>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</si>
  <si>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</si>
  <si>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</si>
  <si>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</si>
  <si>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</si>
  <si>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</si>
  <si>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</si>
  <si>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</si>
  <si>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</si>
  <si>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</si>
  <si>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</si>
  <si>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</si>
  <si>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</si>
  <si>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</si>
  <si>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</si>
  <si>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</si>
  <si>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</si>
  <si>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</si>
  <si>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</si>
  <si>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</si>
  <si>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</si>
  <si>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</si>
  <si>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</si>
  <si>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</si>
  <si>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</si>
  <si>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</si>
  <si>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</si>
  <si>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</si>
  <si>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</si>
  <si>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</si>
  <si>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</si>
  <si>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</si>
  <si>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</si>
  <si>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</si>
  <si>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</si>
  <si>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</si>
  <si>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</si>
  <si>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</si>
  <si>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</si>
  <si>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</si>
  <si>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</si>
  <si>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</si>
  <si>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</si>
  <si>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</si>
  <si>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</si>
  <si>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</si>
  <si>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</si>
  <si>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</si>
  <si>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</si>
  <si>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</si>
  <si>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</si>
  <si>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</si>
  <si>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</si>
  <si>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</si>
  <si>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</si>
  <si>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</si>
  <si>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</si>
  <si>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</si>
  <si>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</si>
  <si>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</si>
  <si>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</si>
  <si>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</si>
  <si>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</si>
  <si>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</si>
  <si>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</si>
  <si>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</si>
  <si>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</si>
  <si>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</si>
  <si>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</si>
  <si>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</si>
  <si>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</si>
  <si>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</si>
  <si>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</si>
  <si>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</si>
  <si>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</si>
  <si>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</si>
  <si>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</si>
  <si>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</si>
  <si>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</si>
  <si>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</si>
  <si>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</si>
  <si>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</si>
  <si>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</si>
  <si>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</si>
  <si>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</si>
  <si>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</si>
  <si>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</si>
  <si>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</si>
  <si>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</si>
  <si>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</si>
  <si>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</si>
  <si>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</si>
  <si>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</si>
  <si>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</si>
  <si>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</si>
  <si>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</si>
  <si>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</si>
  <si>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</si>
  <si>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</si>
  <si>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</si>
  <si>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</si>
  <si>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</si>
  <si>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</si>
  <si>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</si>
  <si>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</si>
  <si>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</si>
  <si>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</si>
  <si>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</si>
  <si>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</si>
  <si>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</si>
  <si>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</si>
  <si>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</si>
  <si>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</si>
  <si>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</si>
  <si>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</si>
  <si>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</si>
  <si>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</si>
  <si>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</si>
  <si>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</si>
  <si>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</si>
  <si>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</si>
  <si>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</si>
  <si>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</si>
  <si>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</si>
  <si>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</si>
  <si>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</si>
  <si>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</si>
  <si>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</si>
  <si>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</si>
  <si>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</si>
  <si>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</si>
  <si>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</si>
  <si>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</si>
  <si>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</si>
  <si>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</si>
  <si>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</si>
  <si>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</si>
  <si>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</si>
  <si>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</si>
  <si>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</si>
  <si>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</si>
  <si>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</si>
  <si>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</si>
  <si>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</si>
  <si>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</si>
  <si>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</si>
  <si>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</si>
  <si>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</si>
  <si>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</si>
  <si>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</si>
  <si>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</si>
  <si>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</si>
  <si>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</si>
  <si>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</si>
  <si>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</si>
  <si>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</si>
  <si>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</si>
  <si>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</si>
  <si>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</si>
  <si>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</si>
  <si>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</si>
  <si>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</si>
  <si>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</si>
  <si>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</si>
  <si>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</si>
  <si>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</si>
  <si>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</si>
  <si>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</si>
  <si>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</si>
  <si>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</si>
  <si>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</si>
  <si>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</si>
  <si>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</si>
  <si>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</si>
  <si>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</si>
  <si>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</si>
  <si>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</si>
  <si>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</si>
  <si>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</si>
  <si>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</si>
  <si>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</si>
  <si>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</si>
  <si>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</si>
  <si>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</si>
  <si>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</si>
  <si>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</si>
  <si>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</si>
  <si>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</si>
  <si>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</si>
  <si>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</si>
  <si>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</si>
  <si>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</si>
  <si>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</si>
  <si>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</si>
  <si>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</si>
  <si>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</si>
  <si>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</si>
  <si>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</si>
  <si>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</si>
  <si>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</si>
  <si>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</si>
  <si>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</si>
  <si>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</si>
  <si>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</si>
  <si>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</si>
  <si>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</si>
  <si>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</si>
  <si>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</si>
  <si>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</si>
  <si>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</si>
  <si>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</si>
  <si>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</si>
  <si>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</si>
  <si>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</si>
  <si>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</si>
  <si>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</si>
  <si>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</si>
  <si>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</si>
  <si>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</si>
  <si>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</si>
  <si>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</si>
  <si>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</si>
  <si>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</si>
  <si>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</si>
  <si>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</si>
  <si>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</si>
  <si>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</si>
  <si>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</si>
  <si>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</si>
  <si>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</si>
  <si>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</si>
  <si>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</si>
  <si>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</si>
  <si>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</si>
  <si>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</si>
  <si>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</si>
  <si>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</si>
  <si>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</si>
  <si>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</si>
  <si>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</si>
  <si>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</si>
  <si>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</si>
  <si>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</si>
  <si>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</si>
  <si>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</si>
  <si>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</si>
  <si>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</si>
  <si>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</si>
  <si>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</si>
  <si>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</si>
  <si>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</si>
  <si>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</si>
  <si>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</si>
  <si>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</si>
  <si>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</si>
  <si>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</si>
  <si>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</si>
  <si>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</si>
  <si>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</si>
  <si>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</si>
  <si>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</si>
  <si>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</si>
  <si>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</si>
  <si>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</si>
  <si>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</si>
  <si>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</si>
  <si>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</si>
  <si>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</si>
  <si>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</si>
  <si>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</si>
  <si>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</si>
  <si>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</si>
  <si>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</si>
  <si>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</si>
  <si>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</si>
  <si>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</si>
  <si>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</si>
  <si>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</si>
  <si>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</si>
  <si>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</si>
  <si>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</si>
  <si>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</si>
  <si>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</si>
  <si>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</si>
  <si>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</si>
  <si>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</si>
  <si>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</si>
  <si>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</si>
  <si>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</si>
  <si>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</si>
  <si>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</si>
  <si>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</si>
  <si>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</si>
  <si>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</si>
  <si>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</si>
  <si>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</si>
  <si>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</si>
  <si>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</si>
  <si>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</si>
  <si>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</si>
  <si>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</si>
  <si>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</si>
  <si>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</si>
  <si>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</si>
  <si>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</si>
  <si>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</si>
  <si>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</si>
  <si>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</si>
  <si>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</si>
  <si>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</si>
  <si>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</si>
  <si>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</si>
  <si>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</si>
  <si>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</si>
  <si>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</si>
  <si>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</si>
  <si>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</si>
  <si>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</si>
  <si>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</si>
  <si>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</si>
  <si>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</si>
  <si>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</si>
  <si>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</si>
  <si>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</si>
  <si>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</si>
  <si>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</si>
  <si>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</si>
  <si>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</si>
  <si>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</si>
  <si>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</si>
  <si>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</si>
  <si>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</si>
  <si>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</si>
  <si>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</si>
  <si>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</si>
  <si>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</si>
  <si>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</si>
  <si>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</si>
  <si>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</si>
  <si>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</si>
  <si>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</si>
  <si>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</si>
  <si>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</si>
  <si>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</si>
  <si>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</si>
  <si>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</si>
  <si>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</si>
  <si>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</si>
  <si>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</si>
  <si>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</si>
  <si>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</si>
  <si>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</si>
  <si>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</si>
  <si>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</si>
  <si>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</si>
  <si>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</si>
  <si>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</si>
  <si>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</si>
  <si>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</si>
  <si>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</si>
  <si>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</si>
  <si>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</si>
  <si>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</si>
  <si>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</si>
  <si>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</si>
  <si>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</si>
  <si>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</si>
  <si>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</si>
  <si>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</si>
  <si>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</si>
  <si>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</si>
  <si>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</si>
  <si>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</si>
  <si>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</si>
  <si>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</si>
  <si>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</si>
  <si>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</si>
  <si>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</si>
  <si>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</si>
  <si>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</si>
  <si>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</si>
  <si>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</si>
  <si>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</si>
  <si>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</si>
  <si>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</si>
  <si>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</si>
  <si>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</si>
  <si>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</si>
  <si>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</si>
  <si>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</si>
  <si>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</si>
  <si>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</si>
  <si>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</si>
  <si>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</si>
  <si>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</si>
  <si>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</si>
  <si>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</si>
  <si>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</si>
  <si>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</si>
  <si>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</si>
  <si>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</si>
  <si>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</si>
  <si>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</si>
  <si>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</si>
  <si>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</si>
  <si>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</si>
  <si>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</si>
  <si>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</si>
  <si>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</si>
  <si>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</si>
  <si>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</si>
  <si>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</si>
  <si>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</si>
  <si>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</si>
  <si>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</si>
  <si>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</si>
  <si>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</si>
  <si>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</si>
  <si>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</si>
  <si>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</si>
  <si>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</si>
  <si>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</si>
  <si>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</si>
  <si>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</si>
  <si>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</si>
  <si>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</si>
  <si>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</si>
  <si>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</si>
  <si>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</si>
  <si>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</si>
  <si>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</si>
  <si>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</si>
  <si>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</si>
  <si>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</si>
  <si>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</si>
  <si>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</si>
  <si>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</si>
  <si>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</si>
  <si>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</si>
  <si>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</si>
  <si>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</si>
  <si>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</si>
  <si>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</si>
  <si>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</si>
  <si>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</si>
  <si>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</si>
  <si>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</si>
  <si>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</si>
  <si>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</si>
  <si>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</si>
  <si>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</si>
  <si>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</si>
  <si>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</si>
  <si>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</si>
  <si>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</si>
  <si>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</si>
  <si>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</si>
  <si>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</si>
  <si>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</si>
  <si>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</si>
  <si>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</si>
  <si>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</si>
  <si>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</si>
  <si>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</si>
  <si>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</si>
  <si>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</si>
  <si>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</si>
  <si>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</si>
  <si>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</si>
  <si>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</si>
  <si>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</si>
  <si>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</si>
  <si>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</si>
  <si>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</si>
  <si>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</si>
  <si>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</si>
  <si>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</si>
  <si>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</si>
  <si>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</si>
  <si>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</si>
  <si>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</si>
  <si>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</si>
  <si>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</si>
  <si>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</si>
  <si>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</si>
  <si>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</si>
  <si>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</si>
  <si>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</si>
  <si>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</si>
  <si>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</si>
  <si>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</si>
  <si>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</si>
  <si>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</si>
  <si>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</si>
  <si>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</si>
  <si>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</si>
  <si>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</si>
  <si>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</si>
  <si>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</si>
  <si>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</si>
  <si>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</si>
  <si>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</si>
  <si>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</si>
  <si>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</si>
  <si>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</si>
  <si>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</si>
  <si>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</si>
  <si>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</si>
  <si>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</si>
  <si>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</si>
  <si>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</si>
  <si>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</si>
  <si>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</si>
  <si>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</si>
  <si>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</si>
  <si>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</si>
  <si>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</si>
  <si>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</si>
  <si>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</si>
  <si>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</si>
  <si>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</si>
  <si>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</si>
  <si>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</si>
  <si>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</si>
  <si>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</si>
  <si>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</si>
  <si>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</si>
  <si>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</si>
  <si>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</si>
  <si>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</si>
  <si>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</si>
  <si>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</si>
  <si>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</si>
  <si>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</si>
  <si>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</si>
  <si>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</si>
  <si>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</si>
  <si>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</si>
  <si>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</si>
  <si>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</si>
  <si>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</si>
  <si>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</si>
  <si>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</si>
  <si>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</si>
  <si>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</si>
  <si>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</si>
  <si>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</si>
  <si>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</si>
  <si>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</si>
  <si>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</si>
  <si>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</si>
  <si>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</si>
  <si>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</si>
  <si>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</si>
  <si>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</si>
  <si>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</si>
  <si>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</si>
  <si>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</si>
  <si>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</si>
  <si>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</si>
  <si>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</si>
  <si>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</si>
  <si>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</si>
  <si>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</si>
  <si>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</si>
  <si>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</si>
  <si>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</si>
  <si>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</si>
  <si>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</si>
  <si>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</si>
  <si>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</si>
  <si>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</si>
  <si>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</si>
  <si>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</si>
  <si>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</si>
  <si>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</si>
  <si>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</si>
  <si>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</si>
  <si>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</si>
  <si>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</si>
  <si>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</si>
  <si>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</si>
  <si>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</si>
  <si>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</si>
  <si>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</si>
  <si>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</si>
  <si>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</si>
  <si>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</si>
  <si>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</si>
  <si>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</si>
  <si>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</si>
  <si>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</si>
  <si>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</si>
  <si>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</si>
  <si>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</si>
  <si>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</si>
  <si>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</si>
  <si>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</si>
  <si>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</si>
  <si>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</si>
  <si>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</si>
  <si>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</si>
  <si>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</si>
  <si>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</si>
  <si>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</si>
  <si>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</si>
  <si>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</si>
  <si>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</si>
  <si>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</si>
  <si>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</si>
  <si>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</si>
  <si>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</si>
  <si>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</si>
  <si>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</si>
  <si>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</si>
  <si>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</si>
  <si>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</si>
  <si>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</si>
  <si>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</si>
  <si>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</si>
  <si>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</si>
  <si>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</si>
  <si>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</si>
  <si>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</si>
  <si>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</si>
  <si>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</si>
  <si>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</si>
  <si>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</si>
  <si>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</si>
  <si>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</si>
  <si>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</si>
  <si>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</si>
  <si>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</si>
  <si>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</si>
  <si>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</si>
  <si>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</si>
  <si>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</si>
  <si>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</si>
  <si>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</si>
  <si>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</si>
  <si>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</si>
  <si>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</si>
  <si>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</si>
  <si>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</si>
  <si>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</si>
  <si>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</si>
  <si>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</si>
  <si>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</si>
  <si>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</si>
  <si>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</si>
  <si>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</si>
  <si>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</si>
  <si>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</si>
  <si>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</si>
  <si>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</si>
  <si>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</si>
  <si>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</si>
  <si>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</si>
  <si>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</si>
  <si>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</si>
  <si>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</si>
  <si>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</si>
  <si>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</si>
  <si>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</si>
  <si>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</si>
  <si>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</si>
  <si>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</si>
  <si>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</si>
  <si>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</si>
  <si>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</si>
  <si>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</si>
  <si>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</si>
  <si>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</si>
  <si>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</si>
  <si>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</si>
  <si>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</si>
  <si>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</si>
  <si>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</si>
  <si>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</si>
  <si>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</si>
  <si>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</si>
  <si>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</si>
  <si>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</si>
  <si>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</si>
  <si>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</si>
  <si>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</si>
  <si>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</si>
  <si>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</si>
  <si>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</si>
  <si>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</si>
  <si>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</si>
  <si>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</si>
  <si>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</si>
  <si>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</si>
  <si>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</si>
  <si>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</si>
  <si>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</si>
  <si>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</si>
  <si>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</si>
  <si>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</si>
  <si>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</si>
  <si>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</si>
  <si>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</si>
  <si>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</si>
  <si>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</si>
  <si>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</si>
  <si>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</si>
  <si>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</si>
  <si>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</si>
  <si>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</si>
  <si>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</si>
  <si>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</si>
  <si>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</si>
  <si>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</si>
  <si>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</si>
  <si>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</si>
  <si>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</si>
  <si>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</si>
  <si>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</si>
  <si>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</si>
  <si>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</si>
  <si>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</si>
  <si>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</si>
  <si>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</si>
  <si>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</si>
  <si>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</si>
  <si>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</si>
  <si>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</si>
  <si>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</si>
  <si>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</si>
  <si>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</si>
  <si>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</si>
  <si>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</si>
  <si>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</si>
  <si>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</si>
  <si>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</si>
  <si>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</si>
  <si>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</si>
  <si>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</si>
  <si>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</si>
  <si>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</si>
  <si>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</si>
  <si>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</si>
  <si>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</si>
  <si>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</si>
  <si>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</si>
  <si>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</si>
  <si>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</si>
  <si>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</si>
  <si>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</si>
  <si>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</si>
  <si>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</si>
  <si>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</si>
  <si>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</si>
  <si>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</si>
  <si>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</si>
  <si>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</si>
  <si>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</si>
  <si>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</si>
  <si>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</si>
  <si>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</si>
  <si>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</si>
  <si>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</si>
  <si>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</si>
  <si>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</si>
  <si>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</si>
  <si>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</si>
  <si>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</si>
  <si>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</si>
  <si>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</si>
  <si>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</si>
  <si>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</si>
  <si>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</si>
  <si>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</si>
  <si>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</si>
  <si>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</si>
  <si>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</si>
  <si>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</si>
  <si>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</si>
  <si>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</si>
  <si>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</si>
  <si>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</si>
  <si>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</si>
  <si>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</si>
  <si>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</si>
  <si>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</si>
  <si>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</si>
  <si>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</si>
  <si>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</si>
  <si>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</si>
  <si>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</si>
  <si>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</si>
  <si>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</si>
  <si>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</si>
  <si>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</si>
  <si>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</si>
  <si>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</si>
  <si>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</si>
  <si>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</si>
  <si>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</si>
  <si>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</si>
  <si>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</si>
  <si>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</si>
  <si>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</si>
  <si>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</si>
  <si>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</si>
  <si>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</si>
  <si>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</si>
  <si>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</si>
  <si>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</si>
  <si>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</si>
  <si>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</si>
  <si>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</si>
  <si>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</si>
  <si>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</si>
  <si>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</si>
  <si>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</si>
  <si>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</si>
  <si>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</si>
  <si>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</si>
  <si>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</si>
  <si>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</si>
  <si>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</si>
  <si>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</si>
  <si>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</si>
  <si>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</si>
  <si>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</si>
  <si>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</si>
  <si>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</si>
  <si>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</si>
  <si>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</si>
  <si>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</si>
  <si>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</si>
  <si>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</si>
  <si>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</si>
  <si>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</si>
  <si>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</si>
  <si>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</si>
  <si>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</si>
  <si>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</si>
  <si>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</si>
  <si>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</si>
  <si>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</si>
  <si>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</si>
  <si>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</si>
  <si>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</si>
  <si>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</si>
  <si>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</si>
  <si>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</si>
  <si>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</si>
  <si>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</si>
  <si>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</si>
  <si>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</si>
  <si>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</si>
  <si>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</si>
  <si>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</si>
  <si>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</si>
  <si>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</si>
  <si>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</si>
  <si>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</si>
  <si>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</si>
  <si>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</si>
  <si>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</si>
  <si>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</si>
  <si>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</si>
  <si>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</si>
  <si>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</si>
  <si>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</si>
  <si>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</si>
  <si>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</si>
  <si>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</si>
  <si>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</si>
  <si>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</si>
  <si>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</si>
  <si>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</si>
  <si>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</si>
  <si>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</si>
  <si>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</si>
  <si>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</si>
  <si>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</si>
  <si>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</si>
  <si>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</si>
  <si>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</si>
  <si>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</si>
  <si>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</si>
  <si>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</si>
  <si>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</si>
  <si>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</si>
  <si>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</si>
  <si>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</si>
  <si>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</si>
  <si>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</si>
  <si>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</si>
  <si>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</si>
  <si>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</si>
  <si>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</si>
  <si>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</si>
  <si>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</si>
  <si>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</si>
  <si>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</si>
  <si>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</si>
  <si>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</si>
  <si>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</si>
  <si>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</si>
  <si>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</si>
  <si>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</si>
  <si>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</si>
  <si>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</si>
  <si>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</si>
  <si>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</si>
  <si>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</si>
  <si>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</si>
  <si>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</si>
  <si>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</si>
  <si>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</si>
  <si>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</si>
  <si>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</si>
  <si>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</si>
  <si>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</si>
  <si>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</si>
  <si>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</si>
  <si>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</si>
  <si>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</si>
  <si>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</si>
  <si>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</si>
  <si>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</si>
  <si>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</si>
  <si>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</si>
  <si>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</si>
  <si>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</si>
  <si>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</si>
  <si>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</si>
  <si>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</si>
  <si>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</si>
  <si>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</si>
  <si>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</si>
  <si>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</si>
  <si>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</si>
  <si>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</si>
  <si>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</si>
  <si>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</si>
  <si>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</si>
  <si>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</si>
  <si>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</si>
  <si>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</si>
  <si>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</si>
  <si>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</si>
  <si>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</si>
  <si>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</si>
  <si>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</si>
  <si>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</si>
  <si>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</si>
  <si>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</si>
  <si>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</si>
  <si>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</si>
  <si>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</si>
  <si>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</si>
  <si>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</si>
  <si>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</si>
  <si>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</si>
  <si>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</si>
  <si>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</si>
  <si>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</si>
  <si>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</si>
  <si>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</si>
  <si>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</si>
  <si>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</si>
  <si>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</si>
  <si>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</si>
  <si>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</si>
  <si>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</si>
  <si>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</si>
  <si>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</si>
  <si>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</si>
  <si>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</si>
  <si>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</si>
  <si>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</si>
  <si>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</si>
  <si>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</si>
  <si>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</si>
  <si>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</si>
  <si>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</si>
  <si>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</si>
  <si>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</si>
  <si>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</si>
  <si>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</si>
  <si>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</si>
  <si>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</si>
  <si>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</si>
  <si>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</si>
  <si>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</si>
  <si>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</si>
  <si>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</si>
  <si>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</si>
  <si>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</si>
  <si>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</si>
  <si>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</si>
  <si>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</si>
  <si>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</si>
  <si>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</si>
  <si>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</si>
  <si>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</si>
  <si>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</si>
  <si>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</si>
  <si>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</si>
  <si>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</si>
  <si>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</si>
  <si>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</si>
  <si>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</si>
  <si>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</si>
  <si>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</si>
  <si>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</si>
  <si>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</si>
  <si>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</si>
  <si>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</si>
  <si>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</si>
  <si>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</si>
  <si>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</si>
  <si>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</si>
  <si>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</si>
  <si>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</si>
  <si>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</si>
  <si>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</si>
  <si>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</si>
  <si>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</si>
  <si>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</si>
  <si>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</si>
  <si>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</si>
  <si>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</si>
  <si>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</si>
  <si>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</si>
  <si>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</si>
  <si>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</si>
  <si>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</si>
  <si>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</si>
  <si>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</si>
  <si>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</si>
  <si>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</si>
  <si>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</si>
  <si>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</si>
  <si>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</si>
  <si>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</si>
  <si>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</si>
  <si>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</si>
  <si>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</si>
  <si>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</si>
  <si>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</si>
  <si>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</si>
  <si>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</si>
  <si>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</si>
  <si>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</si>
  <si>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</si>
  <si>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</si>
  <si>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</si>
  <si>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</si>
  <si>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</si>
  <si>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</si>
  <si>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</si>
  <si>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</si>
  <si>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</si>
  <si>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</si>
  <si>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</si>
  <si>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</si>
  <si>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</si>
  <si>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</si>
  <si>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</si>
  <si>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</si>
  <si>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</si>
  <si>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</si>
  <si>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</si>
  <si>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</si>
  <si>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</si>
  <si>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</si>
  <si>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</si>
  <si>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</si>
  <si>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</si>
  <si>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</si>
  <si>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</si>
  <si>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</si>
  <si>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</si>
  <si>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</si>
  <si>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</si>
  <si>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</si>
  <si>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</si>
  <si>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</si>
  <si>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</si>
  <si>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</si>
  <si>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</si>
  <si>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</si>
  <si>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</si>
  <si>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</si>
  <si>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</si>
  <si>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</si>
  <si>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</si>
  <si>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</si>
  <si>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</si>
  <si>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</si>
  <si>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</si>
  <si>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</si>
  <si>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</si>
  <si>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</si>
  <si>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</si>
  <si>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</si>
  <si>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</si>
  <si>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</si>
  <si>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</si>
  <si>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</si>
  <si>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</si>
  <si>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</si>
  <si>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</si>
  <si>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</si>
  <si>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</si>
  <si>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</si>
  <si>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</si>
  <si>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</si>
  <si>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</si>
  <si>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</si>
  <si>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</si>
  <si>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</si>
  <si>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</si>
  <si>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</si>
  <si>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</si>
  <si>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</si>
  <si>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</si>
  <si>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</si>
  <si>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</si>
  <si>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</si>
  <si>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</si>
  <si>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</si>
  <si>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</si>
  <si>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</si>
  <si>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</si>
  <si>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</si>
  <si>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</si>
  <si>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</si>
  <si>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</si>
  <si>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</si>
  <si>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</si>
  <si>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</si>
  <si>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</si>
  <si>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</si>
  <si>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</si>
  <si>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</si>
  <si>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</si>
  <si>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</si>
  <si>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</si>
  <si>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</si>
  <si>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</si>
  <si>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</si>
  <si>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</si>
  <si>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</si>
  <si>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</si>
  <si>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</si>
  <si>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</si>
  <si>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</si>
  <si>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</si>
  <si>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</si>
  <si>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</si>
  <si>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</si>
  <si>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</si>
  <si>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</si>
  <si>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</si>
  <si>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</si>
  <si>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</si>
  <si>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</si>
  <si>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</si>
  <si>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</si>
  <si>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</si>
  <si>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</si>
  <si>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</si>
  <si>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</si>
  <si>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</si>
  <si>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</si>
  <si>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</si>
  <si>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</si>
  <si>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</si>
  <si>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</si>
  <si>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</si>
  <si>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</si>
  <si>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</si>
  <si>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</si>
  <si>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</si>
  <si>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</si>
  <si>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</si>
  <si>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</si>
  <si>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</si>
  <si>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</si>
  <si>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</si>
  <si>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</si>
  <si>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</si>
  <si>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</si>
  <si>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</si>
  <si>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</si>
  <si>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</si>
  <si>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</si>
  <si>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</si>
  <si>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</si>
  <si>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</si>
  <si>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</si>
  <si>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</si>
  <si>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</si>
  <si>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</si>
  <si>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</si>
  <si>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</si>
  <si>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</si>
  <si>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</si>
  <si>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</si>
  <si>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</si>
  <si>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</si>
  <si>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</si>
  <si>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</si>
  <si>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</si>
  <si>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</si>
  <si>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</si>
  <si>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</si>
  <si>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</si>
  <si>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</si>
  <si>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</si>
  <si>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</si>
  <si>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</si>
  <si>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</si>
  <si>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</si>
  <si>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</si>
  <si>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</si>
  <si>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</si>
  <si>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</si>
  <si>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</si>
  <si>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</si>
  <si>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</si>
  <si>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</si>
  <si>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</si>
  <si>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</si>
  <si>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</si>
  <si>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</si>
  <si>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</si>
  <si>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</si>
  <si>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</si>
  <si>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</si>
  <si>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</si>
  <si>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</si>
  <si>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</si>
  <si>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</si>
  <si>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</si>
  <si>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</si>
  <si>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</si>
  <si>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</si>
  <si>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</si>
  <si>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</si>
  <si>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</si>
  <si>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</si>
  <si>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</si>
  <si>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</si>
  <si>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</si>
  <si>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</si>
  <si>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</si>
  <si>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</si>
  <si>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</si>
  <si>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</si>
  <si>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</si>
  <si>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</si>
  <si>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</si>
  <si>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</si>
  <si>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</si>
  <si>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</si>
  <si>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</si>
  <si>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</si>
  <si>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</si>
  <si>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</si>
  <si>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</si>
  <si>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</si>
  <si>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</si>
  <si>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</si>
  <si>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</si>
  <si>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</si>
  <si>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</si>
  <si>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</si>
  <si>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</si>
  <si>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</si>
  <si>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</si>
  <si>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</si>
  <si>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</si>
  <si>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</si>
  <si>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</si>
  <si>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</si>
  <si>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</si>
  <si>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</si>
  <si>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</si>
  <si>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</si>
  <si>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</si>
  <si>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</si>
  <si>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</si>
  <si>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</si>
  <si>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</si>
  <si>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</si>
  <si>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</si>
  <si>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</si>
  <si>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</si>
  <si>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</si>
  <si>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</si>
  <si>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</si>
  <si>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</si>
  <si>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</si>
  <si>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</si>
  <si>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</si>
  <si>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</si>
  <si>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</si>
  <si>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</si>
  <si>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</si>
  <si>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</si>
  <si>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</si>
  <si>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</si>
  <si>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</si>
  <si>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</si>
  <si>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</si>
  <si>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</si>
  <si>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</si>
  <si>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</si>
  <si>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</si>
  <si>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</si>
  <si>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</si>
  <si>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</si>
  <si>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</si>
  <si>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</si>
  <si>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</si>
  <si>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</si>
  <si>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</si>
  <si>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</si>
  <si>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</si>
  <si>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</si>
  <si>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</si>
  <si>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</si>
  <si>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</si>
  <si>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</si>
  <si>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</si>
  <si>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</si>
  <si>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</si>
  <si>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</si>
  <si>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</si>
  <si>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</si>
  <si>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</si>
  <si>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</si>
  <si>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</si>
  <si>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</si>
  <si>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</si>
  <si>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</si>
  <si>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</si>
  <si>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</si>
  <si>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</si>
  <si>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</si>
  <si>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</si>
  <si>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</si>
  <si>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</si>
  <si>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</si>
  <si>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</si>
  <si>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</si>
  <si>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</si>
  <si>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</si>
  <si>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</si>
  <si>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</si>
  <si>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</si>
  <si>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</si>
  <si>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</si>
  <si>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</si>
  <si>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</si>
  <si>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</si>
  <si>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</si>
  <si>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</si>
  <si>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</si>
  <si>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</si>
  <si>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</si>
  <si>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</si>
  <si>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</si>
  <si>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</si>
  <si>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</si>
  <si>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</si>
  <si>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</si>
  <si>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</si>
  <si>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</si>
  <si>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</si>
  <si>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</si>
  <si>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</si>
  <si>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</si>
  <si>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</si>
  <si>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</si>
  <si>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</si>
  <si>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</si>
  <si>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</si>
  <si>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</si>
  <si>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</si>
  <si>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</si>
  <si>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</si>
  <si>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</si>
  <si>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</si>
  <si>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</si>
  <si>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</si>
  <si>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</si>
  <si>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</si>
  <si>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</si>
  <si>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</si>
  <si>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</si>
  <si>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</si>
  <si>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</si>
  <si>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</si>
  <si>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</si>
  <si>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</si>
  <si>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</si>
  <si>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</si>
  <si>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</si>
  <si>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</si>
  <si>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</si>
  <si>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</si>
  <si>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</si>
  <si>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</si>
  <si>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</si>
  <si>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</si>
  <si>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</si>
  <si>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</si>
  <si>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</si>
  <si>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</si>
  <si>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</si>
  <si>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</si>
  <si>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</si>
  <si>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</si>
  <si>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</si>
  <si>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</si>
  <si>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</si>
  <si>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</si>
  <si>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</si>
  <si>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</si>
  <si>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</si>
  <si>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</si>
  <si>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</si>
  <si>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</si>
  <si>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</si>
  <si>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</si>
  <si>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</si>
  <si>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</si>
  <si>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</si>
  <si>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</si>
  <si>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</si>
  <si>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</si>
  <si>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</si>
  <si>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</si>
  <si>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</si>
  <si>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</si>
  <si>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</si>
  <si>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</si>
  <si>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</si>
  <si>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</si>
  <si>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</si>
  <si>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</si>
  <si>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</si>
  <si>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</si>
  <si>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</si>
  <si>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</si>
  <si>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</si>
  <si>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</si>
  <si>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</si>
  <si>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</si>
  <si>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</si>
  <si>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</si>
  <si>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</si>
  <si>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</si>
  <si>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</si>
  <si>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</si>
  <si>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</si>
  <si>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</si>
  <si>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</si>
  <si>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</si>
  <si>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</si>
  <si>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</si>
  <si>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</si>
  <si>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</si>
  <si>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</si>
  <si>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</si>
  <si>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</si>
  <si>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</si>
  <si>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</si>
  <si>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</si>
  <si>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</si>
  <si>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</si>
  <si>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</si>
  <si>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</si>
  <si>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</si>
  <si>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</si>
  <si>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</si>
  <si>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</si>
  <si>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</si>
  <si>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</si>
  <si>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</si>
  <si>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</si>
  <si>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</si>
  <si>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</si>
  <si>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</si>
  <si>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</si>
  <si>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</si>
  <si>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</si>
  <si>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</si>
  <si>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</si>
  <si>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</si>
  <si>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</si>
  <si>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</si>
  <si>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</si>
  <si>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</si>
  <si>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</si>
  <si>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</si>
  <si>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</si>
  <si>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</si>
  <si>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</si>
  <si>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</si>
  <si>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</si>
  <si>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</si>
  <si>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</si>
  <si>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</si>
  <si>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</si>
  <si>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</si>
  <si>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</si>
  <si>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</si>
  <si>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</si>
  <si>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</si>
  <si>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</si>
  <si>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</si>
  <si>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</si>
  <si>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</si>
  <si>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</si>
  <si>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</si>
  <si>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</si>
  <si>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</si>
  <si>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</si>
  <si>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</si>
  <si>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</si>
  <si>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</si>
  <si>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</si>
  <si>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</si>
  <si>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</si>
  <si>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</si>
  <si>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</si>
  <si>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</si>
  <si>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</si>
  <si>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</si>
  <si>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</si>
  <si>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</si>
  <si>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</si>
  <si>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</si>
  <si>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</si>
  <si>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</si>
  <si>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</si>
  <si>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</si>
  <si>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</si>
  <si>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</si>
  <si>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</si>
  <si>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</si>
  <si>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</si>
  <si>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</si>
  <si>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</si>
  <si>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</si>
  <si>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</si>
  <si>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</si>
  <si>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</si>
  <si>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</si>
  <si>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</si>
  <si>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</si>
  <si>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</si>
  <si>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</si>
  <si>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</si>
  <si>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</si>
  <si>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</si>
  <si>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</si>
  <si>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</si>
  <si>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</si>
  <si>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</si>
  <si>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</si>
  <si>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</si>
  <si>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</si>
  <si>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</si>
  <si>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</si>
  <si>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</si>
  <si>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</si>
  <si>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</si>
  <si>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</si>
  <si>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</si>
  <si>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</si>
  <si>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</si>
  <si>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</si>
  <si>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</si>
  <si>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</si>
  <si>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</si>
  <si>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</si>
  <si>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</si>
  <si>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</si>
  <si>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</si>
  <si>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</si>
  <si>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</si>
  <si>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</si>
  <si>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</si>
  <si>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</si>
  <si>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</si>
  <si>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</si>
  <si>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</si>
  <si>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</si>
  <si>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</si>
  <si>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</si>
  <si>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</si>
  <si>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</si>
  <si>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</si>
  <si>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</si>
  <si>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</si>
  <si>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</si>
  <si>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</si>
  <si>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</si>
  <si>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</si>
  <si>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</si>
  <si>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</si>
  <si>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</si>
  <si>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</si>
  <si>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</si>
  <si>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</si>
  <si>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</si>
  <si>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</si>
  <si>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</si>
  <si>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</si>
  <si>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</si>
  <si>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</si>
  <si>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</si>
  <si>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</si>
  <si>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</si>
  <si>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</si>
  <si>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</si>
  <si>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</si>
  <si>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</si>
  <si>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</si>
  <si>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</si>
  <si>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</si>
  <si>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</si>
  <si>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</si>
  <si>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</si>
  <si>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</si>
  <si>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</si>
  <si>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</si>
  <si>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t>
  </si>
  <si>
    <t xml:space="preserve">Russ Leigh </t>
  </si>
  <si>
    <t>228 East Main</t>
  </si>
  <si>
    <t>Hoopeston</t>
  </si>
  <si>
    <t>IL</t>
  </si>
  <si>
    <t>217-283-9336</t>
  </si>
  <si>
    <t>217-283-9736</t>
  </si>
  <si>
    <t>065-018319</t>
  </si>
  <si>
    <t>Russell Leigh &amp; Associates LLC</t>
  </si>
  <si>
    <t xml:space="preserve">Kankakee  </t>
  </si>
  <si>
    <t>4043 N 1000W Rd</t>
  </si>
  <si>
    <t>Bourbonnais</t>
  </si>
  <si>
    <t>Matthew Kelly</t>
  </si>
  <si>
    <t>admin@russleigh.com</t>
  </si>
  <si>
    <t>815-939-4971</t>
  </si>
  <si>
    <t>815-939-7598</t>
  </si>
  <si>
    <t>x</t>
  </si>
  <si>
    <t>NO  CONTRACTS ON PAGE 29</t>
  </si>
  <si>
    <t xml:space="preserve"> Kankakee Area Career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</si>
</sst>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6</xdr:row>
          <xdr:rowOff>476250</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571500</xdr:colOff>
          <xdr:row>35</xdr:row>
          <xdr:rowOff>171450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103909</xdr:colOff>
          <xdr:row>0</xdr:row>
          <xdr:rowOff>95250</xdr:rowOff>
        </xdr:from>
        <xdr:to>
          <xdr:col>1</xdr:col>
          <xdr:colOff>1018309</xdr:colOff>
          <xdr:row>5</xdr:row>
          <xdr:rowOff>54552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6A6DCF32-8E82-4254-A842-E6DEEC8C9CF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402</v>
      </c>
      <c r="J1" s="2078"/>
      <c r="K1" s="2078"/>
      <c r="L1" s="2078"/>
      <c r="M1" s="2078"/>
      <c r="N1" s="2078"/>
      <c r="O1" s="2078"/>
      <c r="P1" s="2078"/>
      <c r="Q1" s="2078"/>
      <c r="R1" s="2078"/>
      <c r="S1" s="2078"/>
    </row>
    <row r="2" spans="1:32" ht="12" customHeight="1" x14ac:dyDescent="0.2">
      <c r="A2" s="1831" t="str">
        <f>"Due to ISBE on "</f>
        <v xml:space="preserve">Due to ISBE on </v>
      </c>
      <c r="B2" s="2120">
        <f>+'AFR20'!F4</f>
        <v>44151</v>
      </c>
      <c r="C2" s="2120"/>
      <c r="D2" s="2121"/>
      <c r="I2" s="2079" t="s">
        <v>2003</v>
      </c>
      <c r="J2" s="2078"/>
      <c r="K2" s="2078"/>
      <c r="L2" s="2078"/>
      <c r="M2" s="2078"/>
      <c r="N2" s="2078"/>
      <c r="O2" s="2078"/>
      <c r="P2" s="2078"/>
      <c r="Q2" s="2078"/>
      <c r="R2" s="2078"/>
      <c r="S2" s="2078"/>
    </row>
    <row r="3" spans="1:32" ht="12" customHeight="1" x14ac:dyDescent="0.2">
      <c r="A3" s="1834"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c r="C5" s="26" t="s">
        <v>904</v>
      </c>
      <c r="D5" s="81"/>
      <c r="E5" s="81"/>
      <c r="H5" s="38"/>
      <c r="I5" s="2087" t="s">
        <v>675</v>
      </c>
      <c r="J5" s="2086"/>
      <c r="K5" s="2086"/>
      <c r="L5" s="2086"/>
      <c r="M5" s="2086"/>
      <c r="N5" s="2086"/>
      <c r="O5" s="2086"/>
      <c r="P5" s="2086"/>
      <c r="Q5" s="2086"/>
      <c r="R5" s="2086"/>
      <c r="S5" s="2086"/>
      <c r="AF5" s="1827"/>
    </row>
    <row r="6" spans="1:32" ht="14.1" customHeight="1" x14ac:dyDescent="0.2">
      <c r="B6" s="101" t="s">
        <v>2051</v>
      </c>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5" t="s">
        <v>530</v>
      </c>
      <c r="U9" s="2136"/>
      <c r="V9" s="2136"/>
      <c r="W9" s="2136"/>
      <c r="X9" s="2136"/>
      <c r="Y9" s="2136"/>
      <c r="Z9" s="2136"/>
      <c r="AA9" s="2137"/>
    </row>
    <row r="10" spans="1:32" ht="13.5" customHeight="1" x14ac:dyDescent="0.2">
      <c r="A10" s="2142" t="s">
        <v>670</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949</v>
      </c>
      <c r="B11" s="2146"/>
      <c r="C11" s="2146"/>
      <c r="D11" s="2146"/>
      <c r="E11" s="2146"/>
      <c r="F11" s="2146"/>
      <c r="G11" s="2146"/>
      <c r="H11" s="2147"/>
      <c r="I11" s="27"/>
      <c r="J11" s="71"/>
      <c r="K11" s="27"/>
      <c r="O11" s="144" t="s">
        <v>2051</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32000000040</v>
      </c>
      <c r="B13" s="2099"/>
      <c r="C13" s="2099"/>
      <c r="D13" s="2099"/>
      <c r="E13" s="2099"/>
      <c r="F13" s="2099"/>
      <c r="G13" s="2099"/>
      <c r="H13" s="2100"/>
      <c r="I13" s="31"/>
      <c r="J13" s="30"/>
      <c r="K13" s="28"/>
      <c r="L13" s="30"/>
      <c r="M13" s="30"/>
      <c r="N13" s="30"/>
      <c r="O13" s="30"/>
      <c r="P13" s="30"/>
      <c r="Q13" s="30"/>
      <c r="R13" s="30"/>
      <c r="S13" s="30"/>
      <c r="T13" s="2104" t="s">
        <v>2052</v>
      </c>
      <c r="U13" s="2105"/>
      <c r="V13" s="2105"/>
      <c r="W13" s="2105"/>
      <c r="X13" s="2105"/>
      <c r="Y13" s="2106"/>
      <c r="Z13" s="2106"/>
      <c r="AA13" s="210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1" t="s">
        <v>2061</v>
      </c>
      <c r="B15" s="2102"/>
      <c r="C15" s="2102"/>
      <c r="D15" s="2102"/>
      <c r="E15" s="2102"/>
      <c r="F15" s="2102"/>
      <c r="G15" s="2102"/>
      <c r="H15" s="2103"/>
      <c r="T15" s="2108" t="s">
        <v>2053</v>
      </c>
      <c r="U15" s="2065"/>
      <c r="V15" s="2065"/>
      <c r="W15" s="2065"/>
      <c r="X15" s="2065"/>
      <c r="Y15" s="2109"/>
      <c r="Z15" s="2109"/>
      <c r="AA15" s="21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2070</v>
      </c>
      <c r="B17" s="2072"/>
      <c r="C17" s="2072"/>
      <c r="D17" s="2072"/>
      <c r="E17" s="2072"/>
      <c r="F17" s="2072"/>
      <c r="G17" s="2072"/>
      <c r="H17" s="2097"/>
      <c r="T17" s="2115" t="s">
        <v>2054</v>
      </c>
      <c r="U17" s="2116"/>
      <c r="V17" s="2116"/>
      <c r="W17" s="2116"/>
      <c r="X17" s="2116"/>
      <c r="Y17" s="2116"/>
      <c r="Z17" s="2116"/>
      <c r="AA17" s="2117"/>
    </row>
    <row r="18" spans="1:27" ht="13.5" customHeight="1" x14ac:dyDescent="0.2">
      <c r="A18" s="82" t="s">
        <v>527</v>
      </c>
      <c r="B18" s="73"/>
      <c r="C18" s="69"/>
      <c r="D18" s="73"/>
      <c r="E18" s="73"/>
      <c r="F18" s="73"/>
      <c r="G18" s="73"/>
      <c r="H18" s="53"/>
      <c r="I18" s="2096" t="s">
        <v>671</v>
      </c>
      <c r="J18" s="2047"/>
      <c r="K18" s="2047"/>
      <c r="L18" s="2047"/>
      <c r="M18" s="2047"/>
      <c r="N18" s="2047"/>
      <c r="O18" s="2047"/>
      <c r="P18" s="2047"/>
      <c r="Q18" s="2047"/>
      <c r="R18" s="2047"/>
      <c r="S18" s="2048"/>
      <c r="T18" s="82" t="s">
        <v>706</v>
      </c>
      <c r="U18" s="48"/>
      <c r="V18" s="69"/>
      <c r="W18" s="47"/>
      <c r="X18" s="82" t="s">
        <v>264</v>
      </c>
      <c r="Y18" s="78"/>
      <c r="Z18" s="154" t="s">
        <v>672</v>
      </c>
      <c r="AA18" s="44"/>
    </row>
    <row r="19" spans="1:27" ht="13.5" customHeight="1" x14ac:dyDescent="0.2">
      <c r="A19" s="2101" t="s">
        <v>2062</v>
      </c>
      <c r="B19" s="2057"/>
      <c r="C19" s="2057"/>
      <c r="D19" s="2057"/>
      <c r="E19" s="2057"/>
      <c r="F19" s="2057"/>
      <c r="G19" s="2057"/>
      <c r="H19" s="2037"/>
      <c r="I19" s="30"/>
      <c r="J19" s="96"/>
      <c r="K19" s="40"/>
      <c r="L19" s="38"/>
      <c r="M19" s="109" t="s">
        <v>312</v>
      </c>
      <c r="P19" s="27"/>
      <c r="Q19" s="27"/>
      <c r="R19" s="27"/>
      <c r="S19" s="31"/>
      <c r="T19" s="2101" t="s">
        <v>2055</v>
      </c>
      <c r="U19" s="2036"/>
      <c r="V19" s="2036"/>
      <c r="W19" s="2037"/>
      <c r="X19" s="2113" t="s">
        <v>2056</v>
      </c>
      <c r="Y19" s="2114"/>
      <c r="Z19" s="2111">
        <v>60942</v>
      </c>
      <c r="AA19" s="21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2063</v>
      </c>
      <c r="B21" s="2036"/>
      <c r="C21" s="2036"/>
      <c r="D21" s="2036"/>
      <c r="E21" s="2036"/>
      <c r="F21" s="2036"/>
      <c r="G21" s="2036"/>
      <c r="H21" s="2037"/>
      <c r="I21" s="2091" t="s">
        <v>673</v>
      </c>
      <c r="J21" s="2086"/>
      <c r="K21" s="2086"/>
      <c r="L21" s="2086"/>
      <c r="M21" s="2086"/>
      <c r="N21" s="2086"/>
      <c r="O21" s="2086"/>
      <c r="P21" s="2086"/>
      <c r="Q21" s="2086"/>
      <c r="R21" s="2086"/>
      <c r="S21" s="2092"/>
      <c r="T21" s="2126" t="s">
        <v>2057</v>
      </c>
      <c r="U21" s="2127"/>
      <c r="V21" s="2127"/>
      <c r="W21" s="2127"/>
      <c r="X21" s="2132" t="s">
        <v>2058</v>
      </c>
      <c r="Y21" s="2133"/>
      <c r="Z21" s="2133"/>
      <c r="AA21" s="2134"/>
    </row>
    <row r="22" spans="1:27" ht="13.5" customHeight="1" x14ac:dyDescent="0.2">
      <c r="A22" s="84" t="s">
        <v>528</v>
      </c>
      <c r="B22" s="56"/>
      <c r="C22" s="56"/>
      <c r="D22" s="56"/>
      <c r="E22" s="56"/>
      <c r="F22" s="56"/>
      <c r="G22" s="56"/>
      <c r="H22" s="57"/>
      <c r="I22" s="2093" t="s">
        <v>1412</v>
      </c>
      <c r="J22" s="2094"/>
      <c r="K22" s="2094"/>
      <c r="L22" s="2094"/>
      <c r="M22" s="2094"/>
      <c r="N22" s="2094"/>
      <c r="O22" s="2094"/>
      <c r="P22" s="2094"/>
      <c r="Q22" s="2094"/>
      <c r="R22" s="2094"/>
      <c r="S22" s="2095"/>
      <c r="T22" s="82" t="s">
        <v>1499</v>
      </c>
      <c r="U22" s="48"/>
      <c r="V22" s="69"/>
      <c r="W22" s="48"/>
      <c r="X22" s="155" t="s">
        <v>1307</v>
      </c>
      <c r="Z22" s="43"/>
      <c r="AA22" s="44"/>
    </row>
    <row r="23" spans="1:27" ht="13.5" customHeight="1" x14ac:dyDescent="0.2">
      <c r="A23" s="2088"/>
      <c r="B23" s="2089"/>
      <c r="C23" s="2089"/>
      <c r="D23" s="2089"/>
      <c r="E23" s="2089"/>
      <c r="F23" s="2089"/>
      <c r="G23" s="2089"/>
      <c r="H23" s="2090"/>
      <c r="T23" s="2071" t="s">
        <v>2059</v>
      </c>
      <c r="U23" s="2125"/>
      <c r="V23" s="2125"/>
      <c r="W23" s="2125"/>
      <c r="X23" s="2129">
        <v>44469</v>
      </c>
      <c r="Y23" s="2130"/>
      <c r="Z23" s="2130"/>
      <c r="AA23" s="2131"/>
    </row>
    <row r="24" spans="1:27" ht="14.1" customHeight="1" x14ac:dyDescent="0.2">
      <c r="A24" s="85" t="s">
        <v>672</v>
      </c>
      <c r="B24" s="46"/>
      <c r="C24" s="46"/>
      <c r="D24" s="46"/>
      <c r="E24" s="46"/>
      <c r="F24" s="46"/>
      <c r="G24" s="46"/>
      <c r="H24" s="58"/>
      <c r="J24" s="2058" t="str">
        <f>IF(B5="x",IF(AUDITCHECK!D29="AFR form Incomplete.","",IF(AUDITCHECK!D29="Deficit reduction plan is required.","School District must complete a deficit reduction plan in the 2020-2021 Budget",)),"")</f>
        <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5">
        <v>60914</v>
      </c>
      <c r="B25" s="2036"/>
      <c r="C25" s="2036"/>
      <c r="D25" s="2036"/>
      <c r="E25" s="2036"/>
      <c r="F25" s="2036"/>
      <c r="G25" s="2036"/>
      <c r="H25" s="2037"/>
      <c r="I25" s="110"/>
      <c r="J25" s="2060"/>
      <c r="K25" s="2060"/>
      <c r="L25" s="2060"/>
      <c r="M25" s="2060"/>
      <c r="N25" s="2060"/>
      <c r="O25" s="2060"/>
      <c r="P25" s="2060"/>
      <c r="Q25" s="2060"/>
      <c r="R25" s="2060"/>
      <c r="S25" s="2061"/>
      <c r="T25" s="2122" t="s">
        <v>2065</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6" t="s">
        <v>1494</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2064</v>
      </c>
      <c r="B38" s="2072"/>
      <c r="C38" s="2072"/>
      <c r="D38" s="2072"/>
      <c r="E38" s="2072"/>
      <c r="F38" s="2036"/>
      <c r="G38" s="2036"/>
      <c r="H38" s="2037"/>
      <c r="I38" s="2064"/>
      <c r="J38" s="2065"/>
      <c r="K38" s="2065"/>
      <c r="L38" s="2065"/>
      <c r="M38" s="2065"/>
      <c r="N38" s="2065"/>
      <c r="O38" s="2065"/>
      <c r="P38" s="2066"/>
      <c r="Q38" s="2066"/>
      <c r="R38" s="2066"/>
      <c r="S38" s="2067"/>
      <c r="T38" s="2108"/>
      <c r="U38" s="2065"/>
      <c r="V38" s="2065"/>
      <c r="W38" s="2065"/>
      <c r="X38" s="2066"/>
      <c r="Y38" s="2066"/>
      <c r="Z38" s="2066"/>
      <c r="AA38" s="2067"/>
    </row>
    <row r="39" spans="1:27" ht="12" customHeight="1" x14ac:dyDescent="0.2">
      <c r="A39" s="2041" t="s">
        <v>528</v>
      </c>
      <c r="B39" s="2042"/>
      <c r="C39" s="69"/>
      <c r="D39" s="66"/>
      <c r="E39" s="66"/>
      <c r="F39" s="76"/>
      <c r="G39" s="66"/>
      <c r="H39" s="53"/>
      <c r="I39" s="2041" t="s">
        <v>528</v>
      </c>
      <c r="J39" s="2042"/>
      <c r="K39" s="2042"/>
      <c r="L39" s="2042"/>
      <c r="M39" s="2042"/>
      <c r="N39" s="64"/>
      <c r="O39" s="69"/>
      <c r="P39" s="69"/>
      <c r="Q39" s="75"/>
      <c r="R39" s="69"/>
      <c r="S39" s="53"/>
      <c r="T39" s="69" t="s">
        <v>528</v>
      </c>
      <c r="U39" s="48"/>
      <c r="V39" s="69"/>
      <c r="W39" s="47"/>
      <c r="X39" s="75"/>
      <c r="Y39" s="43"/>
      <c r="Z39" s="43"/>
      <c r="AA39" s="44"/>
    </row>
    <row r="40" spans="1:27" ht="13.5" customHeight="1" x14ac:dyDescent="0.2">
      <c r="A40" s="2049"/>
      <c r="B40" s="2050"/>
      <c r="C40" s="2051"/>
      <c r="D40" s="2051"/>
      <c r="E40" s="2051"/>
      <c r="F40" s="2052"/>
      <c r="G40" s="2052"/>
      <c r="H40" s="2053"/>
      <c r="I40" s="2074"/>
      <c r="J40" s="2075"/>
      <c r="K40" s="2075"/>
      <c r="L40" s="2075"/>
      <c r="M40" s="2075"/>
      <c r="N40" s="2075"/>
      <c r="O40" s="2075"/>
      <c r="P40" s="2075"/>
      <c r="Q40" s="2075"/>
      <c r="R40" s="2075"/>
      <c r="S40" s="2076"/>
      <c r="T40" s="2074"/>
      <c r="U40" s="2128"/>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2066</v>
      </c>
      <c r="B42" s="2055"/>
      <c r="C42" s="2056"/>
      <c r="D42" s="2054" t="s">
        <v>2067</v>
      </c>
      <c r="E42" s="2055"/>
      <c r="F42" s="2055"/>
      <c r="G42" s="2055"/>
      <c r="H42" s="2056"/>
      <c r="I42" s="2038"/>
      <c r="J42" s="2039"/>
      <c r="K42" s="2039"/>
      <c r="L42" s="2039"/>
      <c r="M42" s="2039"/>
      <c r="N42" s="2039"/>
      <c r="O42" s="2040"/>
      <c r="P42" s="2073"/>
      <c r="Q42" s="2039"/>
      <c r="R42" s="2039"/>
      <c r="S42" s="2040"/>
      <c r="T42" s="2038"/>
      <c r="U42" s="2039"/>
      <c r="V42" s="2039"/>
      <c r="W42" s="2040"/>
      <c r="X42" s="2073"/>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7"/>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6"/>
      <c r="C1" s="585"/>
    </row>
    <row r="2" spans="1:7" ht="33.75" x14ac:dyDescent="0.2">
      <c r="A2" s="2313" t="s">
        <v>1779</v>
      </c>
      <c r="B2" s="231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9"/>
      <c r="D3" s="2310"/>
      <c r="E3" s="2310"/>
      <c r="F3" s="2311"/>
    </row>
    <row r="4" spans="1:7" ht="12.75" customHeight="1" thickBot="1" x14ac:dyDescent="0.25">
      <c r="A4" s="2303" t="s">
        <v>626</v>
      </c>
      <c r="B4" s="2304"/>
      <c r="C4" s="1656"/>
      <c r="D4" s="1656"/>
      <c r="E4" s="1656"/>
      <c r="F4" s="1732">
        <f>SUM(C4+D4)-E4</f>
        <v>0</v>
      </c>
    </row>
    <row r="5" spans="1:7" ht="15.75" customHeight="1" thickTop="1" x14ac:dyDescent="0.2">
      <c r="A5" s="2307" t="s">
        <v>1101</v>
      </c>
      <c r="B5" s="2302"/>
      <c r="C5" s="2296"/>
      <c r="D5" s="2297"/>
      <c r="E5" s="2297"/>
      <c r="F5" s="229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9" t="s">
        <v>627</v>
      </c>
      <c r="B15" s="2300"/>
      <c r="C15" s="1732">
        <f>SUM(C6:C14)</f>
        <v>0</v>
      </c>
      <c r="D15" s="1732">
        <f>SUM(D6:D14)</f>
        <v>0</v>
      </c>
      <c r="E15" s="1732">
        <f>SUM(E6:E14)</f>
        <v>0</v>
      </c>
      <c r="F15" s="1732">
        <f>SUM(F6:F14)</f>
        <v>0</v>
      </c>
      <c r="G15" s="473"/>
    </row>
    <row r="16" spans="1:7" s="197" customFormat="1" ht="15.75" customHeight="1" thickTop="1" x14ac:dyDescent="0.2">
      <c r="A16" s="2312" t="s">
        <v>1102</v>
      </c>
      <c r="B16" s="2302"/>
      <c r="C16" s="2296"/>
      <c r="D16" s="2297"/>
      <c r="E16" s="2297"/>
      <c r="F16" s="2298"/>
    </row>
    <row r="17" spans="1:11" ht="12.75" customHeight="1" thickBot="1" x14ac:dyDescent="0.25">
      <c r="A17" s="2294" t="s">
        <v>64</v>
      </c>
      <c r="B17" s="2295"/>
      <c r="C17" s="1733"/>
      <c r="D17" s="1664"/>
      <c r="E17" s="1733"/>
      <c r="F17" s="1732">
        <f>SUM(C17+D17)-E17</f>
        <v>0</v>
      </c>
    </row>
    <row r="18" spans="1:11" ht="12.75" customHeight="1" thickTop="1" thickBot="1" x14ac:dyDescent="0.25">
      <c r="A18" s="2294" t="s">
        <v>6</v>
      </c>
      <c r="B18" s="2295"/>
      <c r="C18" s="1733"/>
      <c r="D18" s="1664"/>
      <c r="E18" s="1733"/>
      <c r="F18" s="1732">
        <f>SUM(C18+D18)-E18</f>
        <v>0</v>
      </c>
    </row>
    <row r="19" spans="1:11" ht="12.75" customHeight="1" thickTop="1" thickBot="1" x14ac:dyDescent="0.25">
      <c r="A19" s="2294" t="s">
        <v>385</v>
      </c>
      <c r="B19" s="2295"/>
      <c r="C19" s="1733"/>
      <c r="D19" s="1664"/>
      <c r="E19" s="1733"/>
      <c r="F19" s="1732">
        <f>SUM(C19+D19)-E19</f>
        <v>0</v>
      </c>
    </row>
    <row r="20" spans="1:11" ht="12.75" customHeight="1" thickTop="1" thickBot="1" x14ac:dyDescent="0.25">
      <c r="A20" s="2294" t="s">
        <v>445</v>
      </c>
      <c r="B20" s="2295"/>
      <c r="C20" s="1733"/>
      <c r="D20" s="1664"/>
      <c r="E20" s="1733"/>
      <c r="F20" s="1732">
        <f>SUM(C20+D20)-E20</f>
        <v>0</v>
      </c>
    </row>
    <row r="21" spans="1:11" ht="14.25" thickTop="1" thickBot="1" x14ac:dyDescent="0.25">
      <c r="A21" s="2299" t="s">
        <v>628</v>
      </c>
      <c r="B21" s="2300"/>
      <c r="C21" s="1732">
        <f>SUM(C17:C20)</f>
        <v>0</v>
      </c>
      <c r="D21" s="1732">
        <f>SUM(D17:D20)</f>
        <v>0</v>
      </c>
      <c r="E21" s="1732">
        <f>SUM(E17:E20)</f>
        <v>0</v>
      </c>
      <c r="F21" s="1732">
        <f>SUM(F17:F20)</f>
        <v>0</v>
      </c>
      <c r="G21" s="473"/>
    </row>
    <row r="22" spans="1:11" ht="15.75" customHeight="1" thickTop="1" x14ac:dyDescent="0.2">
      <c r="A22" s="2301" t="s">
        <v>1103</v>
      </c>
      <c r="B22" s="2302"/>
      <c r="C22" s="2296"/>
      <c r="D22" s="2297"/>
      <c r="E22" s="2297"/>
      <c r="F22" s="2298"/>
    </row>
    <row r="23" spans="1:11" ht="13.5" thickBot="1" x14ac:dyDescent="0.25">
      <c r="A23" s="2303" t="s">
        <v>629</v>
      </c>
      <c r="B23" s="2304"/>
      <c r="C23" s="1656"/>
      <c r="D23" s="1656"/>
      <c r="E23" s="1656"/>
      <c r="F23" s="1732">
        <f>SUM(C23+D23)-E23</f>
        <v>0</v>
      </c>
      <c r="G23" s="473"/>
    </row>
    <row r="24" spans="1:11" ht="15.75" customHeight="1" thickTop="1" x14ac:dyDescent="0.2">
      <c r="A24" s="2301" t="s">
        <v>2006</v>
      </c>
      <c r="B24" s="2302"/>
      <c r="C24" s="2296"/>
      <c r="D24" s="2297"/>
      <c r="E24" s="2297"/>
      <c r="F24" s="2298"/>
    </row>
    <row r="25" spans="1:11" ht="13.5" thickBot="1" x14ac:dyDescent="0.25">
      <c r="A25" s="2303" t="s">
        <v>2007</v>
      </c>
      <c r="B25" s="2304"/>
      <c r="C25" s="1656"/>
      <c r="D25" s="1656"/>
      <c r="E25" s="1656"/>
      <c r="F25" s="1732">
        <f>SUM(C25+D25)-E25</f>
        <v>0</v>
      </c>
      <c r="G25" s="473"/>
    </row>
    <row r="26" spans="1:11" ht="15.75" customHeight="1" thickTop="1" x14ac:dyDescent="0.2">
      <c r="A26" s="2307" t="s">
        <v>652</v>
      </c>
      <c r="B26" s="2302"/>
      <c r="C26" s="589"/>
      <c r="D26" s="589"/>
      <c r="E26" s="589"/>
      <c r="F26" s="590"/>
    </row>
    <row r="27" spans="1:11" ht="13.5" thickBot="1" x14ac:dyDescent="0.25">
      <c r="A27" s="2299" t="s">
        <v>1061</v>
      </c>
      <c r="B27" s="2300"/>
      <c r="C27" s="1664"/>
      <c r="D27" s="1664"/>
      <c r="E27" s="1664"/>
      <c r="F27" s="1732">
        <f>SUM(C27+D27)-E27</f>
        <v>0</v>
      </c>
      <c r="G27" s="473"/>
    </row>
    <row r="28" spans="1:11" ht="7.5" customHeight="1" thickTop="1" x14ac:dyDescent="0.2">
      <c r="A28" s="489"/>
    </row>
    <row r="29" spans="1:11" ht="23.25" customHeight="1" x14ac:dyDescent="0.2">
      <c r="A29" s="2305" t="s">
        <v>578</v>
      </c>
      <c r="B29" s="230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8" t="s">
        <v>580</v>
      </c>
      <c r="C52" s="2289"/>
      <c r="D52" s="2289"/>
      <c r="E52" s="603" t="s">
        <v>840</v>
      </c>
      <c r="F52" s="2290"/>
      <c r="G52" s="2291"/>
      <c r="H52" s="596"/>
      <c r="I52" s="596"/>
      <c r="J52" s="600"/>
    </row>
    <row r="53" spans="1:11" ht="11.25" customHeight="1" x14ac:dyDescent="0.2">
      <c r="A53" s="604" t="s">
        <v>907</v>
      </c>
      <c r="B53" s="605" t="s">
        <v>945</v>
      </c>
      <c r="C53" s="600"/>
      <c r="D53" s="597"/>
      <c r="E53" s="603" t="s">
        <v>494</v>
      </c>
      <c r="F53" s="2292"/>
      <c r="G53" s="2293"/>
      <c r="H53" s="596"/>
      <c r="I53" s="596"/>
      <c r="J53" s="600"/>
    </row>
    <row r="54" spans="1:11" ht="11.25" customHeight="1" x14ac:dyDescent="0.2">
      <c r="A54" s="606" t="s">
        <v>908</v>
      </c>
      <c r="B54" s="601" t="s">
        <v>946</v>
      </c>
      <c r="C54" s="600"/>
      <c r="D54" s="597"/>
      <c r="E54" s="603" t="s">
        <v>495</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298"/>
      <c r="I1" s="614"/>
      <c r="J1" s="400"/>
    </row>
    <row r="2" spans="1:11" ht="26.25" x14ac:dyDescent="0.2">
      <c r="A2" s="2336" t="s">
        <v>1658</v>
      </c>
      <c r="B2" s="2337"/>
      <c r="C2" s="2337"/>
      <c r="D2" s="2337"/>
      <c r="E2" s="2338"/>
      <c r="F2" s="615" t="s">
        <v>898</v>
      </c>
      <c r="G2" s="616" t="s">
        <v>1655</v>
      </c>
      <c r="H2" s="616" t="s">
        <v>407</v>
      </c>
      <c r="I2" s="616" t="s">
        <v>1148</v>
      </c>
      <c r="J2" s="616" t="s">
        <v>1789</v>
      </c>
      <c r="K2" s="616" t="s">
        <v>137</v>
      </c>
    </row>
    <row r="3" spans="1:11" x14ac:dyDescent="0.2">
      <c r="A3" s="2339" t="str">
        <f>"Cash Basis Fund Balance as of July 1, "&amp;'AFR20'!E2-1</f>
        <v>Cash Basis Fund Balance as of July 1, 2019</v>
      </c>
      <c r="B3" s="2340"/>
      <c r="C3" s="2340"/>
      <c r="D3" s="2340"/>
      <c r="E3" s="2341"/>
      <c r="F3" s="617"/>
      <c r="G3" s="1744"/>
      <c r="H3" s="1744"/>
      <c r="I3" s="1744"/>
      <c r="J3" s="1745"/>
      <c r="K3" s="1745"/>
    </row>
    <row r="4" spans="1:11" x14ac:dyDescent="0.2">
      <c r="A4" s="2342" t="s">
        <v>366</v>
      </c>
      <c r="B4" s="2343"/>
      <c r="C4" s="2343"/>
      <c r="D4" s="2343"/>
      <c r="E4" s="2289"/>
      <c r="F4" s="620"/>
      <c r="G4" s="1746"/>
      <c r="H4" s="1747"/>
      <c r="I4" s="1746"/>
      <c r="J4" s="1748"/>
      <c r="K4" s="1748"/>
    </row>
    <row r="5" spans="1:11" x14ac:dyDescent="0.2">
      <c r="A5" s="2320" t="s">
        <v>1060</v>
      </c>
      <c r="B5" s="2321"/>
      <c r="C5" s="2321"/>
      <c r="D5" s="2321"/>
      <c r="E5" s="2322"/>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0" t="s">
        <v>1790</v>
      </c>
      <c r="B10" s="2321"/>
      <c r="C10" s="2321"/>
      <c r="D10" s="2321"/>
      <c r="E10" s="2323"/>
      <c r="F10" s="633" t="s">
        <v>857</v>
      </c>
      <c r="G10" s="1753"/>
      <c r="H10" s="1754"/>
      <c r="I10" s="1744"/>
      <c r="J10" s="1745"/>
      <c r="K10" s="1745"/>
    </row>
    <row r="11" spans="1:11" x14ac:dyDescent="0.2">
      <c r="A11" s="2320" t="s">
        <v>159</v>
      </c>
      <c r="B11" s="2321"/>
      <c r="C11" s="2321"/>
      <c r="D11" s="2321"/>
      <c r="E11" s="2322"/>
      <c r="F11" s="622" t="s">
        <v>847</v>
      </c>
      <c r="G11" s="1749"/>
      <c r="H11" s="1744"/>
      <c r="I11" s="1744"/>
      <c r="J11" s="1745"/>
      <c r="K11" s="1751"/>
    </row>
    <row r="12" spans="1:11" ht="13.5" thickBot="1" x14ac:dyDescent="0.25">
      <c r="A12" s="2347" t="s">
        <v>899</v>
      </c>
      <c r="B12" s="2348"/>
      <c r="C12" s="2348"/>
      <c r="D12" s="2348"/>
      <c r="E12" s="2349"/>
      <c r="F12" s="1433"/>
      <c r="G12" s="1755">
        <f>SUM(G5:G11)</f>
        <v>0</v>
      </c>
      <c r="H12" s="1755">
        <f>SUM(H5:H11)</f>
        <v>0</v>
      </c>
      <c r="I12" s="1755">
        <f>SUM(I5:I11)</f>
        <v>0</v>
      </c>
      <c r="J12" s="1755">
        <f>SUM(J5:J11)</f>
        <v>0</v>
      </c>
      <c r="K12" s="1755">
        <f>SUM(K5:K11)</f>
        <v>0</v>
      </c>
    </row>
    <row r="13" spans="1:11" ht="13.5" thickTop="1" x14ac:dyDescent="0.2">
      <c r="A13" s="2344" t="s">
        <v>367</v>
      </c>
      <c r="B13" s="2345"/>
      <c r="C13" s="2345"/>
      <c r="D13" s="2345"/>
      <c r="E13" s="2346"/>
      <c r="F13" s="634"/>
      <c r="G13" s="1756"/>
      <c r="H13" s="1757"/>
      <c r="I13" s="1758"/>
      <c r="J13" s="1758"/>
      <c r="K13" s="1758"/>
    </row>
    <row r="14" spans="1:11" x14ac:dyDescent="0.2">
      <c r="A14" s="2327" t="s">
        <v>453</v>
      </c>
      <c r="B14" s="2327"/>
      <c r="C14" s="2327"/>
      <c r="D14" s="2327"/>
      <c r="E14" s="2328"/>
      <c r="F14" s="635" t="s">
        <v>849</v>
      </c>
      <c r="G14" s="1753"/>
      <c r="H14" s="1744"/>
      <c r="I14" s="1749"/>
      <c r="J14" s="1751"/>
      <c r="K14" s="1745"/>
    </row>
    <row r="15" spans="1:11" x14ac:dyDescent="0.2">
      <c r="A15" s="2321" t="s">
        <v>4</v>
      </c>
      <c r="B15" s="2321"/>
      <c r="C15" s="2321"/>
      <c r="D15" s="2321"/>
      <c r="E15" s="2322"/>
      <c r="F15" s="635" t="s">
        <v>850</v>
      </c>
      <c r="G15" s="1749"/>
      <c r="H15" s="1744"/>
      <c r="I15" s="1744"/>
      <c r="J15" s="1745"/>
      <c r="K15" s="1745"/>
    </row>
    <row r="16" spans="1:11" x14ac:dyDescent="0.2">
      <c r="A16" s="2321" t="s">
        <v>295</v>
      </c>
      <c r="B16" s="2321"/>
      <c r="C16" s="2321"/>
      <c r="D16" s="2321"/>
      <c r="E16" s="2322"/>
      <c r="F16" s="635" t="s">
        <v>917</v>
      </c>
      <c r="G16" s="1750"/>
      <c r="H16" s="1746"/>
      <c r="I16" s="1746"/>
      <c r="J16" s="1748"/>
      <c r="K16" s="1748"/>
    </row>
    <row r="17" spans="1:15" x14ac:dyDescent="0.2">
      <c r="A17" s="2354" t="s">
        <v>929</v>
      </c>
      <c r="B17" s="2354"/>
      <c r="C17" s="2354"/>
      <c r="D17" s="2354"/>
      <c r="E17" s="2355"/>
      <c r="F17" s="636"/>
      <c r="G17" s="1759"/>
      <c r="H17" s="1760"/>
      <c r="I17" s="1760"/>
      <c r="J17" s="1761"/>
      <c r="K17" s="1762"/>
    </row>
    <row r="18" spans="1:15" x14ac:dyDescent="0.2">
      <c r="A18" s="2331" t="s">
        <v>365</v>
      </c>
      <c r="B18" s="2332"/>
      <c r="C18" s="2332"/>
      <c r="D18" s="2332"/>
      <c r="E18" s="2333"/>
      <c r="F18" s="635" t="s">
        <v>926</v>
      </c>
      <c r="G18" s="1753"/>
      <c r="H18" s="1753"/>
      <c r="I18" s="1753"/>
      <c r="J18" s="1745"/>
      <c r="K18" s="1763"/>
    </row>
    <row r="19" spans="1:15" ht="21.75" customHeight="1" x14ac:dyDescent="0.2">
      <c r="A19" s="2329" t="s">
        <v>1786</v>
      </c>
      <c r="B19" s="2329"/>
      <c r="C19" s="2329"/>
      <c r="D19" s="2329"/>
      <c r="E19" s="2330"/>
      <c r="F19" s="635" t="s">
        <v>927</v>
      </c>
      <c r="G19" s="1753"/>
      <c r="H19" s="1753"/>
      <c r="I19" s="1753"/>
      <c r="J19" s="1745"/>
      <c r="K19" s="1763"/>
    </row>
    <row r="20" spans="1:15" x14ac:dyDescent="0.2">
      <c r="A20" s="2331" t="s">
        <v>1791</v>
      </c>
      <c r="B20" s="2332"/>
      <c r="C20" s="2332"/>
      <c r="D20" s="2332"/>
      <c r="E20" s="2333"/>
      <c r="F20" s="635" t="s">
        <v>928</v>
      </c>
      <c r="G20" s="1753"/>
      <c r="H20" s="1753"/>
      <c r="I20" s="1753"/>
      <c r="J20" s="1745"/>
      <c r="K20" s="1763"/>
    </row>
    <row r="21" spans="1:15" ht="13.5" thickBot="1" x14ac:dyDescent="0.25">
      <c r="A21" s="2350" t="s">
        <v>633</v>
      </c>
      <c r="B21" s="2350"/>
      <c r="C21" s="2350"/>
      <c r="D21" s="2350"/>
      <c r="E21" s="2350"/>
      <c r="F21" s="1434"/>
      <c r="G21" s="1760"/>
      <c r="H21" s="1764"/>
      <c r="I21" s="1764"/>
      <c r="J21" s="1765">
        <f>SUM(J18:J20)</f>
        <v>0</v>
      </c>
      <c r="K21" s="1761"/>
    </row>
    <row r="22" spans="1:15" ht="13.5" thickTop="1" x14ac:dyDescent="0.2">
      <c r="A22" s="2321" t="s">
        <v>1792</v>
      </c>
      <c r="B22" s="2321"/>
      <c r="C22" s="2321"/>
      <c r="D22" s="2321"/>
      <c r="E22" s="2322"/>
      <c r="F22" s="635" t="s">
        <v>857</v>
      </c>
      <c r="G22" s="1753"/>
      <c r="H22" s="1744"/>
      <c r="I22" s="1744"/>
      <c r="J22" s="1766"/>
      <c r="K22" s="1745"/>
    </row>
    <row r="23" spans="1:15" ht="13.5" thickBot="1" x14ac:dyDescent="0.25">
      <c r="A23" s="2351" t="s">
        <v>900</v>
      </c>
      <c r="B23" s="2350"/>
      <c r="C23" s="2350"/>
      <c r="D23" s="2350"/>
      <c r="E23" s="235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2" t="str">
        <f>"Ending Cash Basis Fund Balance as of June 30, "&amp;'AFR20'!E2</f>
        <v>Ending Cash Basis Fund Balance as of June 30, 2020</v>
      </c>
      <c r="B24" s="2353"/>
      <c r="C24" s="2353"/>
      <c r="D24" s="2353"/>
      <c r="E24" s="235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4"/>
      <c r="I31" s="2325"/>
      <c r="J31" s="2325"/>
      <c r="K31" s="2325"/>
    </row>
    <row r="32" spans="1:15" x14ac:dyDescent="0.2">
      <c r="A32" s="649"/>
      <c r="B32" s="232"/>
      <c r="C32" s="232"/>
      <c r="D32" s="232"/>
      <c r="E32" s="645"/>
      <c r="F32" s="651" t="s">
        <v>537</v>
      </c>
      <c r="G32" s="618"/>
      <c r="H32" s="2326"/>
      <c r="I32" s="2325"/>
      <c r="J32" s="2325"/>
      <c r="K32" s="2325"/>
    </row>
    <row r="33" spans="1:11" ht="1.5" customHeight="1" x14ac:dyDescent="0.2">
      <c r="A33" s="652" t="s">
        <v>1159</v>
      </c>
      <c r="B33" s="341"/>
      <c r="C33" s="341"/>
      <c r="D33" s="341"/>
      <c r="E33" s="341"/>
      <c r="F33" s="341"/>
      <c r="G33" s="653"/>
      <c r="H33" s="2326"/>
      <c r="I33" s="2325"/>
      <c r="J33" s="2325"/>
      <c r="K33" s="232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34"/>
      <c r="C41" s="2334"/>
      <c r="D41" s="2334"/>
      <c r="E41" s="2334"/>
      <c r="F41" s="23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1875</v>
      </c>
      <c r="B1" s="2359"/>
      <c r="C1" s="2360"/>
      <c r="D1" s="666"/>
      <c r="E1" s="667"/>
      <c r="F1" s="667"/>
      <c r="G1" s="668"/>
      <c r="H1" s="669"/>
      <c r="I1" s="670"/>
      <c r="J1" s="2356"/>
      <c r="K1" s="2357"/>
      <c r="L1" s="235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284504</v>
      </c>
      <c r="D5" s="1770"/>
      <c r="E5" s="1770"/>
      <c r="F5" s="1765">
        <f>(C5+D5)-E5</f>
        <v>284504</v>
      </c>
      <c r="G5" s="676"/>
      <c r="H5" s="680"/>
      <c r="I5" s="680"/>
      <c r="J5" s="680"/>
      <c r="K5" s="637"/>
      <c r="L5" s="1442">
        <f>F5-K5</f>
        <v>284504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3294249</v>
      </c>
      <c r="D8" s="1771">
        <v>39170</v>
      </c>
      <c r="E8" s="1771"/>
      <c r="F8" s="1765">
        <f>(C8+D8)-E8</f>
        <v>3333419</v>
      </c>
      <c r="G8" s="681">
        <v>50</v>
      </c>
      <c r="H8" s="619">
        <v>1763342</v>
      </c>
      <c r="I8" s="619">
        <v>66277</v>
      </c>
      <c r="J8" s="619"/>
      <c r="K8" s="1442">
        <f>(H8+I8)-J8</f>
        <v>1829619</v>
      </c>
      <c r="L8" s="1442">
        <f>F8-K8</f>
        <v>1503800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465792</v>
      </c>
      <c r="D10" s="1772"/>
      <c r="E10" s="1772"/>
      <c r="F10" s="1773">
        <f>(C10+D10)-E10</f>
        <v>465792</v>
      </c>
      <c r="G10" s="681">
        <v>20</v>
      </c>
      <c r="H10" s="683">
        <v>229463</v>
      </c>
      <c r="I10" s="683">
        <v>22564</v>
      </c>
      <c r="J10" s="683"/>
      <c r="K10" s="1442">
        <f>(H10+I10)-J10</f>
        <v>252027</v>
      </c>
      <c r="L10" s="1442">
        <f>F10-K10</f>
        <v>213765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1895923</v>
      </c>
      <c r="D12" s="1771">
        <v>64350</v>
      </c>
      <c r="E12" s="1771"/>
      <c r="F12" s="1765">
        <f>(C12+D12)-E12</f>
        <v>1960273</v>
      </c>
      <c r="G12" s="681">
        <v>10</v>
      </c>
      <c r="H12" s="619">
        <v>1814749</v>
      </c>
      <c r="I12" s="619">
        <v>14659</v>
      </c>
      <c r="J12" s="619"/>
      <c r="K12" s="1442">
        <f>(H12+I12)-J12</f>
        <v>1829408</v>
      </c>
      <c r="L12" s="1442">
        <f>F12-K12</f>
        <v>130865</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5940468</v>
      </c>
      <c r="D16" s="1765">
        <f>SUM(D3,D5:D6,D8:D10,D12:D15)</f>
        <v>103520</v>
      </c>
      <c r="E16" s="1765">
        <f>SUM(E3,E5:E6,E8:E10,E12:E15)</f>
        <v>0</v>
      </c>
      <c r="F16" s="1765">
        <f>SUM(F3,F5:F6,F8:F10,F12:F15)</f>
        <v>6043988</v>
      </c>
      <c r="G16" s="681"/>
      <c r="H16" s="1435">
        <f>SUM(H3,H6,H8:H10,H12:H14,)</f>
        <v>3807554</v>
      </c>
      <c r="I16" s="1435">
        <f>SUM(I3,I6,I8:I10,I12:I14,)</f>
        <v>103500</v>
      </c>
      <c r="J16" s="1435">
        <f>SUM(J3,J6,J8:J10,J12:J14,)</f>
        <v>0</v>
      </c>
      <c r="K16" s="1435">
        <f>(H16+I16)-J16</f>
        <v>3911054</v>
      </c>
      <c r="L16" s="1435">
        <f>F16-K16</f>
        <v>2132934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103500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1095</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1928079</v>
      </c>
      <c r="G8" s="701"/>
    </row>
    <row r="9" spans="1:9" x14ac:dyDescent="0.2">
      <c r="A9" s="705" t="s">
        <v>457</v>
      </c>
      <c r="B9" s="706" t="s">
        <v>1848</v>
      </c>
      <c r="C9" s="707"/>
      <c r="D9" s="705" t="s">
        <v>498</v>
      </c>
      <c r="E9" s="704"/>
      <c r="F9" s="1775">
        <f>'Expenditures 15-22'!K151</f>
        <v>343971</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38155</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2310205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31408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72112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103520</v>
      </c>
      <c r="G77" s="701"/>
    </row>
    <row r="78" spans="1:9" s="728" customFormat="1" ht="12" customHeight="1" thickTop="1" thickBot="1" x14ac:dyDescent="0.25">
      <c r="A78" s="1450"/>
      <c r="B78" s="1448"/>
      <c r="C78" s="1445"/>
      <c r="D78" s="1449" t="s">
        <v>2012</v>
      </c>
      <c r="E78" s="1447"/>
      <c r="F78" s="1788">
        <f>(F14-F77)</f>
        <v>2206685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1" t="s">
        <v>1096</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75032</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420552</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706791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26023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1228398</v>
      </c>
    </row>
    <row r="176" spans="1:7" ht="12" customHeight="1" x14ac:dyDescent="0.2">
      <c r="A176" s="1443"/>
      <c r="B176" s="1453"/>
      <c r="C176" s="1454"/>
      <c r="D176" s="1455" t="s">
        <v>2014</v>
      </c>
      <c r="E176" s="1456"/>
      <c r="F176" s="1793">
        <f>'PCTC-OEPP 27-28'!F78-F175</f>
        <v>978287</v>
      </c>
    </row>
    <row r="177" spans="1:9" ht="12" customHeight="1" x14ac:dyDescent="0.2">
      <c r="A177" s="1443"/>
      <c r="B177" s="1453"/>
      <c r="C177" s="1454"/>
      <c r="D177" s="1455" t="s">
        <v>1794</v>
      </c>
      <c r="E177" s="1456"/>
      <c r="F177" s="1793">
        <f>'Cap Outlay Deprec 26'!I18</f>
        <v>103500</v>
      </c>
    </row>
    <row r="178" spans="1:9" ht="12" customHeight="1" x14ac:dyDescent="0.2">
      <c r="A178" s="1443"/>
      <c r="B178" s="1453"/>
      <c r="C178" s="1454"/>
      <c r="D178" s="1455" t="s">
        <v>2015</v>
      </c>
      <c r="E178" s="1456"/>
      <c r="F178" s="1793">
        <f>F176+F177</f>
        <v>1081787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0"/>
  <sheetViews>
    <sheetView showGridLines="0" topLeftCell="A25" zoomScaleNormal="100" workbookViewId="0">
      <selection activeCell="A40" sqref="A40"/>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5" t="s">
        <v>1795</v>
      </c>
      <c r="B4" s="2376"/>
      <c r="C4" s="2376"/>
      <c r="D4" s="2376"/>
      <c r="E4" s="2376"/>
      <c r="F4" s="2377"/>
    </row>
    <row r="5" spans="1:6" x14ac:dyDescent="0.25">
      <c r="A5" s="2378"/>
      <c r="B5" s="2379"/>
      <c r="C5" s="2379"/>
      <c r="D5" s="2379"/>
      <c r="E5" s="2379"/>
      <c r="F5" s="2380"/>
    </row>
    <row r="6" spans="1:6" ht="18.75" x14ac:dyDescent="0.25">
      <c r="A6" s="1867" t="s">
        <v>1796</v>
      </c>
      <c r="B6" s="1868"/>
      <c r="C6" s="1869"/>
      <c r="D6" s="1869"/>
      <c r="E6" s="1869"/>
      <c r="F6" s="1870"/>
    </row>
    <row r="7" spans="1:6" ht="47.25" customHeight="1" x14ac:dyDescent="0.25">
      <c r="A7" s="2381" t="s">
        <v>1985</v>
      </c>
      <c r="B7" s="2382"/>
      <c r="C7" s="2382"/>
      <c r="D7" s="2382"/>
      <c r="E7" s="2382"/>
      <c r="F7" s="2383"/>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4" t="s">
        <v>1981</v>
      </c>
      <c r="B10" s="2385"/>
      <c r="C10" s="2385"/>
      <c r="D10" s="2385"/>
      <c r="E10" s="2385"/>
      <c r="F10" s="2386"/>
    </row>
    <row r="11" spans="1:6" ht="33" customHeight="1" x14ac:dyDescent="0.25">
      <c r="A11" s="2381" t="s">
        <v>1986</v>
      </c>
      <c r="B11" s="2382"/>
      <c r="C11" s="2382"/>
      <c r="D11" s="2382"/>
      <c r="E11" s="2382"/>
      <c r="F11" s="2383"/>
    </row>
    <row r="12" spans="1:6" ht="15" customHeight="1" x14ac:dyDescent="0.25">
      <c r="A12" s="1873" t="s">
        <v>1982</v>
      </c>
      <c r="B12" s="1874"/>
      <c r="C12" s="1875"/>
      <c r="D12" s="1875"/>
      <c r="E12" s="1875"/>
      <c r="F12" s="1876"/>
    </row>
    <row r="13" spans="1:6" ht="17.25" customHeight="1" x14ac:dyDescent="0.25">
      <c r="A13" s="2381" t="s">
        <v>1983</v>
      </c>
      <c r="B13" s="2382"/>
      <c r="C13" s="2382"/>
      <c r="D13" s="2382"/>
      <c r="E13" s="2382"/>
      <c r="F13" s="2383"/>
    </row>
    <row r="14" spans="1:6" ht="15" customHeight="1" x14ac:dyDescent="0.25">
      <c r="A14" s="1873" t="s">
        <v>1800</v>
      </c>
      <c r="B14" s="1874"/>
      <c r="C14" s="1875"/>
      <c r="D14" s="1875"/>
      <c r="E14" s="1875"/>
      <c r="F14" s="1876"/>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2069</v>
      </c>
      <c r="B18" s="1907"/>
      <c r="C18" s="1912"/>
      <c r="D18" s="1885"/>
      <c r="E18" s="1905">
        <f t="shared" ref="E18:E39" si="0">IF(D18&lt;25000,D18,"25,000")</f>
        <v>0</v>
      </c>
      <c r="F18" s="1905" t="str">
        <f t="shared" ref="F18:F39"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8"/>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9" t="s">
        <v>155</v>
      </c>
      <c r="B40" s="1909"/>
      <c r="C40" s="1890"/>
      <c r="D40" s="1891">
        <f>SUM(D18:D39)</f>
        <v>0</v>
      </c>
      <c r="E40" s="1892">
        <f>SUM(E18:E39)</f>
        <v>0</v>
      </c>
      <c r="F40" s="1893">
        <f>SUM(F18:F39)</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600075</xdr:colOff>
                <xdr:row>6</xdr:row>
                <xdr:rowOff>476250</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1660</v>
      </c>
      <c r="B5" s="2388"/>
      <c r="C5" s="2388"/>
      <c r="D5" s="2388"/>
      <c r="E5" s="2388"/>
      <c r="F5" s="2388"/>
      <c r="G5" s="238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1324389</v>
      </c>
      <c r="F19" s="1802"/>
      <c r="G19" s="1804">
        <f>'Expenditures 15-22'!K33-SUM('Expenditures 15-22'!G33,'Expenditures 15-22'!I33)+'Expenditures 15-22'!D229</f>
        <v>1324389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2099</v>
      </c>
      <c r="F22" s="1805"/>
      <c r="G22" s="1808">
        <f>'Expenditures 15-22'!K47-SUM('Expenditures 15-22'!G47,'Expenditures 15-22'!I47)+'Expenditures 15-22'!D243</f>
        <v>2099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375114</v>
      </c>
      <c r="F23" s="1805"/>
      <c r="G23" s="1807">
        <f>'Expenditures 15-22'!K53-SUM('Expenditures 15-22'!G53,'Expenditures 15-22'!I53)+'Expenditures 15-22'!D257+'Expenditures 15-22'!K330-SUM('Expenditures 15-22'!G330,'Expenditures 15-22'!I330)</f>
        <v>375114</v>
      </c>
      <c r="H23" s="817"/>
      <c r="I23" s="157"/>
    </row>
    <row r="24" spans="1:9" s="542" customFormat="1" ht="12" customHeight="1" x14ac:dyDescent="0.2">
      <c r="A24" s="824" t="s">
        <v>562</v>
      </c>
      <c r="B24" s="825"/>
      <c r="C24" s="823">
        <v>2400</v>
      </c>
      <c r="D24" s="1805"/>
      <c r="E24" s="1807">
        <f>'Expenditures 15-22'!K57-SUM('Expenditures 15-22'!G57,'Expenditures 15-22'!I57)+'Expenditures 15-22'!D261</f>
        <v>195069</v>
      </c>
      <c r="F24" s="1805"/>
      <c r="G24" s="1808">
        <f>'Expenditures 15-22'!K57-SUM('Expenditures 15-22'!G57,'Expenditures 15-22'!I57)+'Expenditures 15-22'!D261</f>
        <v>195069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271859</v>
      </c>
      <c r="F28" s="1809">
        <f>'Expenditures 15-22'!K61-SUM('Expenditures 15-22'!G61,'Expenditures 15-22'!I61)+'Expenditures 15-22'!K124-SUM('Expenditures 15-22'!G124,'Expenditures 15-22'!I124)+'Expenditures 15-22'!D266-E9</f>
        <v>271859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38155</v>
      </c>
      <c r="F29" s="1805"/>
      <c r="G29" s="1808">
        <f>'Expenditures 15-22'!K62-SUM('Expenditures 15-22'!G62,'Expenditures 15-22'!I62)+'Expenditures 15-22'!K125-SUM('Expenditures 15-22'!G125,'Expenditures 15-22'!I125)+'Expenditures 15-22'!K182-SUM('Expenditures 15-22'!G182,'Expenditures 15-22'!I182)+'Expenditures 15-22'!D267</f>
        <v>38155</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29'!F40</f>
        <v>0</v>
      </c>
      <c r="F40" s="1805"/>
      <c r="G40" s="1809">
        <f>-'Contracts Paid in CY 29'!F40</f>
        <v>0</v>
      </c>
    </row>
    <row r="41" spans="1:7" ht="12" customHeight="1" x14ac:dyDescent="0.2">
      <c r="A41" s="828" t="s">
        <v>155</v>
      </c>
      <c r="B41" s="829"/>
      <c r="C41" s="830"/>
      <c r="D41" s="1809">
        <f>SUM(D19:D39)</f>
        <v>0</v>
      </c>
      <c r="E41" s="1809">
        <f>SUM(E19:E40)</f>
        <v>2206685</v>
      </c>
      <c r="F41" s="1809">
        <f>SUM(F19:F39)</f>
        <v>271859</v>
      </c>
      <c r="G41" s="1809">
        <f>SUM(G19:G40)</f>
        <v>1934826</v>
      </c>
    </row>
    <row r="42" spans="1:7" x14ac:dyDescent="0.2">
      <c r="A42" s="817"/>
      <c r="B42" s="157"/>
      <c r="C42" s="831"/>
      <c r="D42" s="2390" t="s">
        <v>519</v>
      </c>
      <c r="E42" s="2391"/>
      <c r="F42" s="832" t="s">
        <v>520</v>
      </c>
      <c r="G42" s="833"/>
    </row>
    <row r="43" spans="1:7" ht="12" customHeight="1" x14ac:dyDescent="0.2">
      <c r="A43" s="817"/>
      <c r="B43" s="157"/>
      <c r="C43" s="831"/>
      <c r="D43" s="1458" t="s">
        <v>470</v>
      </c>
      <c r="E43" s="1810">
        <f>D41</f>
        <v>0</v>
      </c>
      <c r="F43" s="1458" t="s">
        <v>470</v>
      </c>
      <c r="G43" s="1810">
        <f>F41</f>
        <v>271859</v>
      </c>
    </row>
    <row r="44" spans="1:7" ht="12" customHeight="1" x14ac:dyDescent="0.2">
      <c r="A44" s="817"/>
      <c r="B44" s="157"/>
      <c r="C44" s="831"/>
      <c r="D44" s="1458" t="s">
        <v>471</v>
      </c>
      <c r="E44" s="1810">
        <f>E41</f>
        <v>2206685</v>
      </c>
      <c r="F44" s="1458" t="s">
        <v>471</v>
      </c>
      <c r="G44" s="1810">
        <f>G41</f>
        <v>1934826</v>
      </c>
    </row>
    <row r="45" spans="1:7" ht="12" customHeight="1" x14ac:dyDescent="0.2">
      <c r="A45" s="817"/>
      <c r="B45" s="157"/>
      <c r="C45" s="157"/>
      <c r="D45" s="1459" t="s">
        <v>999</v>
      </c>
      <c r="E45" s="1811">
        <f>(E43/E44)</f>
        <v>0</v>
      </c>
      <c r="F45" s="1459" t="s">
        <v>999</v>
      </c>
      <c r="G45" s="1811">
        <f>(G43/G44)</f>
        <v>0.14050824208481796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9" sqref="A9:A1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1363</v>
      </c>
      <c r="B1" s="2409"/>
      <c r="C1" s="2409"/>
      <c r="D1" s="2409"/>
      <c r="E1" s="2409"/>
      <c r="F1" s="240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1529</v>
      </c>
      <c r="B5" s="2411"/>
      <c r="C5" s="2412"/>
      <c r="D5" s="2412"/>
      <c r="E5" s="2412"/>
      <c r="F5" s="2412"/>
      <c r="G5" s="1507"/>
      <c r="L5" s="1507"/>
      <c r="M5" s="1855"/>
      <c r="N5" s="1855"/>
      <c r="O5" s="1855"/>
    </row>
    <row r="6" spans="1:15" ht="12" customHeight="1" x14ac:dyDescent="0.25">
      <c r="A6" s="1480"/>
      <c r="B6" s="1481"/>
      <c r="C6" s="2413" t="str">
        <f>COVER!A17</f>
        <v xml:space="preserve"> Kankakee Area Career Center</v>
      </c>
      <c r="D6" s="2413"/>
      <c r="E6" s="2413"/>
      <c r="F6" s="1482"/>
      <c r="G6" s="1507"/>
      <c r="L6" s="1507"/>
      <c r="M6" s="1855"/>
      <c r="N6" s="1855"/>
      <c r="O6" s="1855"/>
    </row>
    <row r="7" spans="1:15" ht="11.25" customHeight="1" thickBot="1" x14ac:dyDescent="0.3">
      <c r="A7" s="1480"/>
      <c r="B7" s="1481"/>
      <c r="C7" s="2414">
        <f>COVER!A13</f>
        <v>32000000040</v>
      </c>
      <c r="D7" s="2414"/>
      <c r="E7" s="2414"/>
      <c r="F7" s="1482"/>
      <c r="G7" s="1507"/>
      <c r="L7" s="1507"/>
      <c r="M7" s="1855"/>
      <c r="N7" s="1855"/>
      <c r="O7" s="1855"/>
    </row>
    <row r="8" spans="1:15" ht="25.5" customHeight="1" thickBot="1" x14ac:dyDescent="0.25">
      <c r="A8" s="1519" t="s">
        <v>1874</v>
      </c>
      <c r="B8" s="1483" t="s">
        <v>2068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502"/>
      <c r="B39" s="1502"/>
      <c r="C39" s="1502"/>
      <c r="D39" s="1502"/>
      <c r="E39" s="1502"/>
      <c r="F39" s="1502"/>
    </row>
    <row r="40" spans="1:15" s="1499" customFormat="1" ht="12" customHeight="1" x14ac:dyDescent="0.25">
      <c r="A40" s="1503" t="s">
        <v>1375</v>
      </c>
      <c r="B40" s="1504"/>
      <c r="C40" s="2404"/>
      <c r="D40" s="2404"/>
      <c r="E40" s="2404"/>
      <c r="F40" s="2405"/>
      <c r="H40" s="1508"/>
      <c r="I40" s="1508"/>
      <c r="J40" s="1508"/>
      <c r="K40" s="1508"/>
    </row>
    <row r="41" spans="1:15" s="1499" customFormat="1" ht="12" customHeight="1" x14ac:dyDescent="0.25">
      <c r="A41" s="2406"/>
      <c r="B41" s="2407"/>
      <c r="C41" s="2407"/>
      <c r="D41" s="2407"/>
      <c r="E41" s="2407"/>
      <c r="F41" s="2408"/>
      <c r="H41" s="1508"/>
      <c r="I41" s="1508"/>
      <c r="J41" s="1508"/>
      <c r="K41" s="1508"/>
    </row>
    <row r="42" spans="1:15" s="1499" customFormat="1" ht="12" customHeight="1" x14ac:dyDescent="0.25">
      <c r="A42" s="2406"/>
      <c r="B42" s="2407"/>
      <c r="C42" s="2407"/>
      <c r="D42" s="2407"/>
      <c r="E42" s="2407"/>
      <c r="F42" s="2408"/>
      <c r="H42" s="1508"/>
      <c r="I42" s="1508"/>
      <c r="J42" s="1508"/>
      <c r="K42" s="1508"/>
    </row>
    <row r="43" spans="1:15" s="1499" customFormat="1" ht="15" x14ac:dyDescent="0.25">
      <c r="A43" s="2395"/>
      <c r="B43" s="2396"/>
      <c r="C43" s="2396"/>
      <c r="D43" s="2396"/>
      <c r="E43" s="2396"/>
      <c r="F43" s="2397"/>
      <c r="H43" s="1508"/>
      <c r="I43" s="1508"/>
      <c r="J43" s="1508"/>
      <c r="K43" s="1508"/>
    </row>
    <row r="44" spans="1:15" s="1499" customFormat="1" ht="12" hidden="1" customHeight="1" x14ac:dyDescent="0.25">
      <c r="A44" s="2395"/>
      <c r="B44" s="2396"/>
      <c r="C44" s="2396"/>
      <c r="D44" s="2396"/>
      <c r="E44" s="2396"/>
      <c r="F44" s="239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G39" sqref="G39"/>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5" t="str">
        <f>COVER!A17</f>
        <v xml:space="preserve"> Kankakee Area Career Center</v>
      </c>
      <c r="K6" s="2435"/>
      <c r="L6" s="2449"/>
      <c r="M6" s="838"/>
      <c r="N6" s="1997"/>
    </row>
    <row r="7" spans="1:14" x14ac:dyDescent="0.2">
      <c r="A7" s="2450" t="s">
        <v>864</v>
      </c>
      <c r="B7" s="2451"/>
      <c r="C7" s="2451"/>
      <c r="D7" s="2451"/>
      <c r="E7" s="2452"/>
      <c r="F7" s="839"/>
      <c r="G7" s="838"/>
      <c r="H7" s="838"/>
      <c r="I7" s="1923" t="s">
        <v>369</v>
      </c>
      <c r="J7" s="2437">
        <f>COVER!A13</f>
        <v>32000000040</v>
      </c>
      <c r="K7" s="2437"/>
      <c r="L7" s="2437"/>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3" t="s">
        <v>478</v>
      </c>
      <c r="B11" s="2454"/>
      <c r="C11" s="2455"/>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347559</v>
      </c>
      <c r="F12" s="1941"/>
      <c r="G12" s="1967">
        <f>G68</f>
        <v>0</v>
      </c>
      <c r="H12" s="1943">
        <f t="shared" ref="H12:H18" si="0">SUM(E12:G12)</f>
        <v>347559</v>
      </c>
      <c r="I12" s="1942">
        <v>355051</v>
      </c>
      <c r="J12" s="1941"/>
      <c r="K12" s="1942"/>
      <c r="L12" s="1943">
        <f t="shared" ref="L12:L18" si="1">SUM(I12:K12)</f>
        <v>355051</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6" t="s">
        <v>7</v>
      </c>
      <c r="C18" s="2457"/>
      <c r="D18" s="2458"/>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347559</v>
      </c>
      <c r="F19" s="1949">
        <f t="shared" si="2"/>
        <v>0</v>
      </c>
      <c r="G19" s="1949">
        <f t="shared" ref="G19" si="3">SUM(G12:G17)-G18</f>
        <v>0</v>
      </c>
      <c r="H19" s="1949">
        <f t="shared" si="2"/>
        <v>347559</v>
      </c>
      <c r="I19" s="1949">
        <f t="shared" si="2"/>
        <v>355051</v>
      </c>
      <c r="J19" s="1949">
        <f t="shared" si="2"/>
        <v>0</v>
      </c>
      <c r="K19" s="1949">
        <f t="shared" si="2"/>
        <v>0</v>
      </c>
      <c r="L19" s="1949">
        <f t="shared" si="2"/>
        <v>355051</v>
      </c>
      <c r="M19" s="838"/>
      <c r="N19" s="1997"/>
    </row>
    <row r="20" spans="1:14" ht="13.5" thickTop="1" x14ac:dyDescent="0.2">
      <c r="A20" s="2002">
        <v>9</v>
      </c>
      <c r="B20" s="2459" t="s">
        <v>2021</v>
      </c>
      <c r="C20" s="2459"/>
      <c r="D20" s="2460"/>
      <c r="E20" s="1950"/>
      <c r="F20" s="1950"/>
      <c r="G20" s="1950"/>
      <c r="H20" s="1950"/>
      <c r="I20" s="1950"/>
      <c r="J20" s="1950"/>
      <c r="K20" s="1950"/>
      <c r="L20" s="1951">
        <f>IF(AND(H19&gt;0,L19&gt;0),(((L19-H19)/H19)),"Enter Budget Data")</f>
        <v>2.1556052353701099E-2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1"/>
      <c r="D27" s="2461"/>
      <c r="E27" s="843"/>
      <c r="F27" s="2462"/>
      <c r="G27" s="2462"/>
      <c r="H27" s="2462"/>
      <c r="I27" s="838"/>
      <c r="J27" s="838"/>
      <c r="K27" s="838"/>
      <c r="L27" s="838"/>
      <c r="M27" s="838"/>
      <c r="N27" s="1997"/>
    </row>
    <row r="28" spans="1:14" x14ac:dyDescent="0.2">
      <c r="A28" s="1996"/>
      <c r="B28" s="2006"/>
      <c r="C28" s="1956" t="s">
        <v>1026</v>
      </c>
      <c r="D28" s="844"/>
      <c r="E28" s="1957"/>
      <c r="F28" s="2463" t="s">
        <v>1492</v>
      </c>
      <c r="G28" s="2463"/>
      <c r="H28" s="2463"/>
      <c r="I28" s="838"/>
      <c r="J28" s="838"/>
      <c r="K28" s="838"/>
      <c r="L28" s="838"/>
      <c r="M28" s="838"/>
      <c r="N28" s="1997"/>
    </row>
    <row r="29" spans="1:14" x14ac:dyDescent="0.2">
      <c r="A29" s="1996"/>
      <c r="B29" s="2006"/>
      <c r="C29" s="2464"/>
      <c r="D29" s="2464"/>
      <c r="E29" s="845"/>
      <c r="F29" s="2464"/>
      <c r="G29" s="2464"/>
      <c r="H29" s="2464"/>
      <c r="I29" s="838"/>
      <c r="J29" s="838"/>
      <c r="K29" s="838"/>
      <c r="L29" s="838"/>
      <c r="M29" s="838"/>
      <c r="N29" s="1997"/>
    </row>
    <row r="30" spans="1:14" x14ac:dyDescent="0.2">
      <c r="A30" s="1996"/>
      <c r="B30" s="2006"/>
      <c r="C30" s="1959" t="s">
        <v>1544</v>
      </c>
      <c r="D30" s="838"/>
      <c r="E30" s="1958"/>
      <c r="F30" s="2448" t="s">
        <v>1493</v>
      </c>
      <c r="G30" s="2448"/>
      <c r="H30" s="244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5" t="s">
        <v>2024</v>
      </c>
      <c r="D34" s="2426"/>
      <c r="E34" s="2426"/>
      <c r="F34" s="2426"/>
      <c r="G34" s="2426"/>
      <c r="H34" s="2426"/>
      <c r="I34" s="2426"/>
      <c r="J34" s="2426"/>
      <c r="K34" s="2015"/>
      <c r="L34" s="838"/>
      <c r="M34" s="838"/>
      <c r="N34" s="1997"/>
    </row>
    <row r="35" spans="1:14" x14ac:dyDescent="0.2">
      <c r="A35" s="1996"/>
      <c r="B35" s="838"/>
      <c r="C35" s="2426"/>
      <c r="D35" s="2426"/>
      <c r="E35" s="2426"/>
      <c r="F35" s="2426"/>
      <c r="G35" s="2426"/>
      <c r="H35" s="2426"/>
      <c r="I35" s="2426"/>
      <c r="J35" s="2426"/>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5" t="s">
        <v>2025</v>
      </c>
      <c r="D37" s="2426"/>
      <c r="E37" s="2426"/>
      <c r="F37" s="2426"/>
      <c r="G37" s="2426"/>
      <c r="H37" s="2426"/>
      <c r="I37" s="2426"/>
      <c r="J37" s="2426"/>
      <c r="K37" s="2015"/>
      <c r="L37" s="2017"/>
      <c r="M37" s="838"/>
      <c r="N37" s="1997"/>
    </row>
    <row r="38" spans="1:14" x14ac:dyDescent="0.2">
      <c r="A38" s="1996"/>
      <c r="B38" s="838"/>
      <c r="C38" s="2426"/>
      <c r="D38" s="2426"/>
      <c r="E38" s="2426"/>
      <c r="F38" s="2426"/>
      <c r="G38" s="2426"/>
      <c r="H38" s="2426"/>
      <c r="I38" s="2426"/>
      <c r="J38" s="2426"/>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7" t="s">
        <v>2026</v>
      </c>
      <c r="D40" s="2428"/>
      <c r="E40" s="2428"/>
      <c r="F40" s="2428"/>
      <c r="G40" s="2428"/>
      <c r="H40" s="2428"/>
      <c r="I40" s="2428"/>
      <c r="J40" s="2428"/>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29" t="s">
        <v>2027</v>
      </c>
      <c r="B43" s="2430"/>
      <c r="C43" s="2430"/>
      <c r="D43" s="2430"/>
      <c r="E43" s="2430"/>
      <c r="F43" s="2430"/>
      <c r="G43" s="2430"/>
      <c r="H43" s="2430"/>
      <c r="I43" s="2430"/>
      <c r="J43" s="2430"/>
      <c r="K43" s="2430"/>
      <c r="L43" s="2430"/>
      <c r="M43" s="2430"/>
      <c r="N43" s="2431"/>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2" t="s">
        <v>2029</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5" t="str">
        <f>J6</f>
        <v xml:space="preserve"> Kankakee Area Career Center</v>
      </c>
      <c r="M52" s="2435"/>
      <c r="N52" s="2436"/>
    </row>
    <row r="53" spans="1:14" x14ac:dyDescent="0.2">
      <c r="A53" s="1981"/>
      <c r="B53" s="1982"/>
      <c r="C53" s="1982"/>
      <c r="D53" s="1982"/>
      <c r="E53" s="1982"/>
      <c r="F53" s="1982"/>
      <c r="G53" s="1982"/>
      <c r="H53" s="1982"/>
      <c r="I53" s="1982"/>
      <c r="J53" s="1982"/>
      <c r="K53" s="1923" t="s">
        <v>369</v>
      </c>
      <c r="L53" s="2437">
        <f>J7</f>
        <v>32000000040</v>
      </c>
      <c r="M53" s="2437"/>
      <c r="N53" s="243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39"/>
      <c r="B55" s="2440"/>
      <c r="C55" s="2440"/>
      <c r="D55" s="1969"/>
      <c r="E55" s="1969"/>
      <c r="F55" s="1969"/>
      <c r="G55" s="2441" t="s">
        <v>2030</v>
      </c>
      <c r="H55" s="2441"/>
      <c r="I55" s="2441"/>
      <c r="J55" s="2441"/>
      <c r="K55" s="2441"/>
      <c r="L55" s="2441"/>
      <c r="M55" s="2441"/>
      <c r="N55" s="2442"/>
    </row>
    <row r="56" spans="1:14" ht="63.75" x14ac:dyDescent="0.2">
      <c r="A56" s="2443" t="s">
        <v>2031</v>
      </c>
      <c r="B56" s="2444"/>
      <c r="C56" s="2445"/>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6" t="s">
        <v>296</v>
      </c>
      <c r="B57" s="2447"/>
      <c r="C57" s="244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3" t="s">
        <v>2041</v>
      </c>
      <c r="B58" s="2424"/>
      <c r="C58" s="2424"/>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17" t="s">
        <v>297</v>
      </c>
      <c r="B59" s="2418"/>
      <c r="C59" s="2418"/>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7" t="s">
        <v>236</v>
      </c>
      <c r="B60" s="2418"/>
      <c r="C60" s="2418"/>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7" t="s">
        <v>697</v>
      </c>
      <c r="B61" s="2418"/>
      <c r="C61" s="2418"/>
      <c r="D61" s="1966">
        <v>2365</v>
      </c>
      <c r="E61" s="1976">
        <f>'Expenditures 15-22'!K323</f>
        <v>0</v>
      </c>
      <c r="F61" s="1971"/>
      <c r="G61" s="2030"/>
      <c r="H61" s="2031"/>
      <c r="I61" s="2031"/>
      <c r="J61" s="2031"/>
      <c r="K61" s="2031"/>
      <c r="L61" s="2031"/>
      <c r="M61" s="2031"/>
      <c r="N61" s="1974">
        <f t="shared" si="4"/>
        <v>0</v>
      </c>
    </row>
    <row r="62" spans="1:14" ht="24" customHeight="1" x14ac:dyDescent="0.2">
      <c r="A62" s="2417" t="s">
        <v>237</v>
      </c>
      <c r="B62" s="2418"/>
      <c r="C62" s="2418"/>
      <c r="D62" s="1966">
        <v>2366</v>
      </c>
      <c r="E62" s="1976">
        <f>'Expenditures 15-22'!K324</f>
        <v>0</v>
      </c>
      <c r="F62" s="1971"/>
      <c r="G62" s="2030"/>
      <c r="H62" s="2031"/>
      <c r="I62" s="2031"/>
      <c r="J62" s="2031"/>
      <c r="K62" s="2031"/>
      <c r="L62" s="2031"/>
      <c r="M62" s="2031"/>
      <c r="N62" s="1974">
        <f t="shared" si="4"/>
        <v>0</v>
      </c>
    </row>
    <row r="63" spans="1:14" ht="24" customHeight="1" x14ac:dyDescent="0.2">
      <c r="A63" s="2423" t="s">
        <v>1022</v>
      </c>
      <c r="B63" s="2424"/>
      <c r="C63" s="2424"/>
      <c r="D63" s="1966">
        <v>2367</v>
      </c>
      <c r="E63" s="1976">
        <f>'Expenditures 15-22'!K325</f>
        <v>0</v>
      </c>
      <c r="F63" s="1971"/>
      <c r="G63" s="2030"/>
      <c r="H63" s="2031"/>
      <c r="I63" s="2031"/>
      <c r="J63" s="2031"/>
      <c r="K63" s="2031"/>
      <c r="L63" s="2031"/>
      <c r="M63" s="2031"/>
      <c r="N63" s="1974">
        <f t="shared" si="4"/>
        <v>0</v>
      </c>
    </row>
    <row r="64" spans="1:14" ht="24" customHeight="1" x14ac:dyDescent="0.2">
      <c r="A64" s="2417" t="s">
        <v>1023</v>
      </c>
      <c r="B64" s="2418"/>
      <c r="C64" s="2418"/>
      <c r="D64" s="1966">
        <v>2368</v>
      </c>
      <c r="E64" s="1976">
        <f>'Expenditures 15-22'!K326</f>
        <v>0</v>
      </c>
      <c r="F64" s="1971"/>
      <c r="G64" s="2030"/>
      <c r="H64" s="2031"/>
      <c r="I64" s="2031"/>
      <c r="J64" s="2031"/>
      <c r="K64" s="2031"/>
      <c r="L64" s="2031"/>
      <c r="M64" s="2031"/>
      <c r="N64" s="1974">
        <f t="shared" si="4"/>
        <v>0</v>
      </c>
    </row>
    <row r="65" spans="1:14" ht="24" customHeight="1" x14ac:dyDescent="0.2">
      <c r="A65" s="2417" t="s">
        <v>965</v>
      </c>
      <c r="B65" s="2418"/>
      <c r="C65" s="2418"/>
      <c r="D65" s="1966">
        <v>2369</v>
      </c>
      <c r="E65" s="1976">
        <f>'Expenditures 15-22'!K327</f>
        <v>0</v>
      </c>
      <c r="F65" s="1971"/>
      <c r="G65" s="2030"/>
      <c r="H65" s="2031"/>
      <c r="I65" s="2031"/>
      <c r="J65" s="2031"/>
      <c r="K65" s="2031"/>
      <c r="L65" s="2031"/>
      <c r="M65" s="2031"/>
      <c r="N65" s="1974">
        <f t="shared" si="4"/>
        <v>0</v>
      </c>
    </row>
    <row r="66" spans="1:14" ht="24" customHeight="1" x14ac:dyDescent="0.2">
      <c r="A66" s="2417" t="s">
        <v>469</v>
      </c>
      <c r="B66" s="2418"/>
      <c r="C66" s="2418"/>
      <c r="D66" s="1966">
        <v>2371</v>
      </c>
      <c r="E66" s="1976">
        <f>'Expenditures 15-22'!K328</f>
        <v>0</v>
      </c>
      <c r="F66" s="1971"/>
      <c r="G66" s="2030"/>
      <c r="H66" s="2031"/>
      <c r="I66" s="2031"/>
      <c r="J66" s="2031"/>
      <c r="K66" s="2031"/>
      <c r="L66" s="2031"/>
      <c r="M66" s="2031"/>
      <c r="N66" s="1974">
        <f t="shared" si="4"/>
        <v>0</v>
      </c>
    </row>
    <row r="67" spans="1:14" ht="24.75" customHeight="1" x14ac:dyDescent="0.2">
      <c r="A67" s="2419" t="s">
        <v>2042</v>
      </c>
      <c r="B67" s="2420"/>
      <c r="C67" s="2420"/>
      <c r="D67" s="1968">
        <v>2372</v>
      </c>
      <c r="E67" s="1977">
        <f>'Expenditures 15-22'!K329</f>
        <v>0</v>
      </c>
      <c r="F67" s="1971"/>
      <c r="G67" s="2032"/>
      <c r="H67" s="2033"/>
      <c r="I67" s="2033"/>
      <c r="J67" s="2033"/>
      <c r="K67" s="2033"/>
      <c r="L67" s="2033"/>
      <c r="M67" s="2033"/>
      <c r="N67" s="1974">
        <f t="shared" si="4"/>
        <v>0</v>
      </c>
    </row>
    <row r="68" spans="1:14" x14ac:dyDescent="0.2">
      <c r="A68" s="2421" t="s">
        <v>1151</v>
      </c>
      <c r="B68" s="2422"/>
      <c r="C68" s="2422"/>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Kankakee Area Career Center</v>
      </c>
    </row>
    <row r="65" spans="2:2" x14ac:dyDescent="0.2">
      <c r="B65" s="849">
        <f>COVER!A13</f>
        <v>32000000040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1" t="s">
        <v>1056</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1591</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5" t="s">
        <v>1665</v>
      </c>
      <c r="B18" s="246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09" r:id="rId4">
          <objectPr defaultSize="0" r:id="rId5">
            <anchor moveWithCells="1">
              <from>
                <xdr:col>1</xdr:col>
                <xdr:colOff>0</xdr:colOff>
                <xdr:row>4</xdr:row>
                <xdr:rowOff>0</xdr:rowOff>
              </from>
              <to>
                <xdr:col>2</xdr:col>
                <xdr:colOff>571500</xdr:colOff>
                <xdr:row>35</xdr:row>
                <xdr:rowOff>171450</xdr:rowOff>
              </to>
            </anchor>
          </objectPr>
        </oleObject>
      </mc:Choice>
      <mc:Fallback>
        <oleObject progId="Acrobat Document"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xdr:colOff>
                <xdr:row>0</xdr:row>
                <xdr:rowOff>95250</xdr:rowOff>
              </from>
              <to>
                <xdr:col>1</xdr:col>
                <xdr:colOff>1019175</xdr:colOff>
                <xdr:row>5</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1972</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1800294</v>
      </c>
      <c r="C8" s="1813">
        <f>'Acct Summary 7-8'!D8</f>
        <v>359588</v>
      </c>
      <c r="D8" s="1813">
        <f>'Acct Summary 7-8'!F8</f>
        <v>28023</v>
      </c>
      <c r="E8" s="1813">
        <f>'Acct Summary 7-8'!I8</f>
        <v>0</v>
      </c>
      <c r="F8" s="1813">
        <f>SUM(B8:E8)</f>
        <v>2187905</v>
      </c>
    </row>
    <row r="9" spans="1:8" s="858" customFormat="1" ht="14.25" customHeight="1" thickBot="1" x14ac:dyDescent="0.25">
      <c r="A9" s="857" t="s">
        <v>1353</v>
      </c>
      <c r="B9" s="1814">
        <f>'Acct Summary 7-8'!C17</f>
        <v>1928079</v>
      </c>
      <c r="C9" s="1814">
        <f>'Acct Summary 7-8'!D17</f>
        <v>343971</v>
      </c>
      <c r="D9" s="1814">
        <f>'Acct Summary 7-8'!F17</f>
        <v>38155</v>
      </c>
      <c r="E9" s="1813"/>
      <c r="F9" s="1813">
        <f>SUM(B9:E9)</f>
        <v>2310205</v>
      </c>
    </row>
    <row r="10" spans="1:8" s="858" customFormat="1" ht="14.25" thickTop="1" thickBot="1" x14ac:dyDescent="0.25">
      <c r="A10" s="859" t="s">
        <v>1354</v>
      </c>
      <c r="B10" s="1815">
        <f>(B8-B9)</f>
        <v>-127785</v>
      </c>
      <c r="C10" s="1815">
        <f>(C8-C9)</f>
        <v>15617</v>
      </c>
      <c r="D10" s="1815">
        <f>(D8-D9)</f>
        <v>-10132</v>
      </c>
      <c r="E10" s="1814">
        <f>(E8-E9)</f>
        <v>0</v>
      </c>
      <c r="F10" s="1816">
        <f>SUM(F8-F9)</f>
        <v>-122300</v>
      </c>
    </row>
    <row r="11" spans="1:8" s="858" customFormat="1" ht="14.25" thickTop="1" thickBot="1" x14ac:dyDescent="0.25">
      <c r="A11" s="860" t="s">
        <v>1903</v>
      </c>
      <c r="B11" s="1817">
        <f>'Acct Summary 7-8'!C81</f>
        <v>1694331</v>
      </c>
      <c r="C11" s="1817">
        <f>'Acct Summary 7-8'!D81</f>
        <v>73180</v>
      </c>
      <c r="D11" s="1817">
        <f>'Acct Summary 7-8'!F81</f>
        <v>62710</v>
      </c>
      <c r="E11" s="1817">
        <f>'Acct Summary 7-8'!I81</f>
        <v>0</v>
      </c>
      <c r="F11" s="1818">
        <f>SUM(B11:E11)</f>
        <v>1830221</v>
      </c>
    </row>
    <row r="12" spans="1:8" ht="16.5" customHeight="1" thickTop="1" x14ac:dyDescent="0.2">
      <c r="A12" s="861"/>
      <c r="B12" s="862"/>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C57" sqref="C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29'!$D$40&gt;0,"OK","PLEASE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32000000040</v>
      </c>
      <c r="E2" s="1542">
        <v>2020</v>
      </c>
      <c r="F2" s="1542">
        <v>1</v>
      </c>
      <c r="G2" s="1898">
        <v>101000300</v>
      </c>
    </row>
    <row r="3" spans="1:7" ht="15" x14ac:dyDescent="0.25">
      <c r="A3" t="s">
        <v>950</v>
      </c>
      <c r="B3" s="135" t="str">
        <f>COVER!A15</f>
        <v xml:space="preserve">Kankakee  </v>
      </c>
      <c r="E3" s="1830" t="s">
        <v>1971</v>
      </c>
      <c r="F3" s="1830" t="s">
        <v>1970</v>
      </c>
      <c r="G3" s="1898">
        <v>101000400</v>
      </c>
    </row>
    <row r="4" spans="1:7" ht="15" x14ac:dyDescent="0.25">
      <c r="A4" t="s">
        <v>1000</v>
      </c>
      <c r="B4" s="135" t="str">
        <f>COVER!A17</f>
        <v xml:space="preserve"> Kankakee Area Career Center</v>
      </c>
      <c r="E4" s="1828">
        <v>44119</v>
      </c>
      <c r="F4" s="1829">
        <v>44151</v>
      </c>
      <c r="G4" s="1898">
        <v>101000600</v>
      </c>
    </row>
    <row r="5" spans="1:7" ht="15" x14ac:dyDescent="0.25">
      <c r="A5" t="s">
        <v>699</v>
      </c>
      <c r="B5" s="135" t="str">
        <f>COVER!A38</f>
        <v>Matthew Kelly</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065-018319</v>
      </c>
      <c r="G15" s="1898">
        <v>402100400</v>
      </c>
    </row>
    <row r="16" spans="1:7" ht="15" x14ac:dyDescent="0.25">
      <c r="A16" t="s">
        <v>419</v>
      </c>
      <c r="B16" s="135" t="str">
        <f>COVER!T13</f>
        <v>Russell Leigh &amp; Associates</v>
      </c>
      <c r="G16" s="1898">
        <v>402100600</v>
      </c>
    </row>
    <row r="17" spans="1:7" ht="15" x14ac:dyDescent="0.25">
      <c r="A17" t="s">
        <v>878</v>
      </c>
      <c r="B17" s="135" t="str">
        <f>COVER!T15</f>
        <v xml:space="preserve">Russ Leigh </v>
      </c>
      <c r="G17" s="1898">
        <v>402100800</v>
      </c>
    </row>
    <row r="18" spans="1:7" ht="15" x14ac:dyDescent="0.25">
      <c r="A18" t="s">
        <v>1140</v>
      </c>
      <c r="B18" s="135" t="str">
        <f>COVER!T17</f>
        <v>228 East Main</v>
      </c>
      <c r="G18" s="1898">
        <v>102200300</v>
      </c>
    </row>
    <row r="19" spans="1:7" ht="15" x14ac:dyDescent="0.25">
      <c r="A19" t="s">
        <v>880</v>
      </c>
      <c r="B19" s="135" t="str">
        <f>COVER!T25</f>
        <v>admin@russleigh.com</v>
      </c>
      <c r="G19" s="1898">
        <v>102200400</v>
      </c>
    </row>
    <row r="20" spans="1:7" ht="15" x14ac:dyDescent="0.25">
      <c r="A20" t="s">
        <v>881</v>
      </c>
      <c r="B20" s="135" t="str">
        <f>COVER!T19</f>
        <v>Hoopeston</v>
      </c>
      <c r="G20" s="1898">
        <v>102200600</v>
      </c>
    </row>
    <row r="21" spans="1:7" ht="15" x14ac:dyDescent="0.25">
      <c r="A21" t="s">
        <v>476</v>
      </c>
      <c r="B21" s="135" t="str">
        <f>COVER!X19</f>
        <v>IL</v>
      </c>
      <c r="G21" s="1898">
        <v>102200800</v>
      </c>
    </row>
    <row r="22" spans="1:7" ht="15" x14ac:dyDescent="0.25">
      <c r="A22" t="s">
        <v>882</v>
      </c>
      <c r="B22" s="135">
        <f>COVER!Z19</f>
        <v>60942</v>
      </c>
      <c r="G22" s="1898">
        <v>102300300</v>
      </c>
    </row>
    <row r="23" spans="1:7" ht="15" x14ac:dyDescent="0.25">
      <c r="A23" t="s">
        <v>1142</v>
      </c>
      <c r="B23" s="135" t="str">
        <f>COVER!T21</f>
        <v>217-283-9336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1694331</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1694331</v>
      </c>
      <c r="D92" s="2" t="str">
        <f t="shared" si="0"/>
        <v>Error?</v>
      </c>
      <c r="G92" s="1898">
        <v>102640600</v>
      </c>
    </row>
    <row r="93" spans="1:7" ht="15" x14ac:dyDescent="0.25">
      <c r="A93" s="5">
        <v>32</v>
      </c>
      <c r="B93" s="1832">
        <f>'Assets-Liab 5-6'!C41</f>
        <v>1694331</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73180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73180</v>
      </c>
      <c r="D123" s="2" t="str">
        <f t="shared" si="0"/>
        <v>Error?</v>
      </c>
      <c r="G123" s="1898">
        <v>203000400</v>
      </c>
    </row>
    <row r="124" spans="1:7" ht="15" x14ac:dyDescent="0.25">
      <c r="A124" s="5">
        <v>63</v>
      </c>
      <c r="B124" s="1832">
        <f>'Assets-Liab 5-6'!D41</f>
        <v>73180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62710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62710</v>
      </c>
      <c r="D170" s="2" t="str">
        <f t="shared" si="1"/>
        <v>Error?</v>
      </c>
    </row>
    <row r="171" spans="1:4" x14ac:dyDescent="0.2">
      <c r="A171" s="5">
        <v>110</v>
      </c>
      <c r="B171" s="1832">
        <f>'Assets-Liab 5-6'!F41</f>
        <v>62710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284504</v>
      </c>
      <c r="D273" s="2" t="str">
        <f t="shared" si="3"/>
        <v>Error?</v>
      </c>
    </row>
    <row r="274" spans="1:4" x14ac:dyDescent="0.2">
      <c r="A274" s="5">
        <v>213</v>
      </c>
      <c r="B274" s="1832">
        <f>'Assets-Liab 5-6'!M17</f>
        <v>3333419</v>
      </c>
      <c r="D274" s="2" t="str">
        <f t="shared" si="3"/>
        <v>Error?</v>
      </c>
    </row>
    <row r="275" spans="1:4" x14ac:dyDescent="0.2">
      <c r="A275" s="5">
        <v>214</v>
      </c>
      <c r="B275" s="1832">
        <f>'Assets-Liab 5-6'!M18</f>
        <v>465792</v>
      </c>
      <c r="D275" s="2" t="str">
        <f t="shared" si="3"/>
        <v>Error?</v>
      </c>
    </row>
    <row r="276" spans="1:4" x14ac:dyDescent="0.2">
      <c r="A276" s="5">
        <v>215</v>
      </c>
      <c r="B276" s="1832">
        <f>'Assets-Liab 5-6'!M19</f>
        <v>1960273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6043988</v>
      </c>
      <c r="C279" s="2" t="s">
        <v>569</v>
      </c>
      <c r="D279" s="2" t="str">
        <f t="shared" si="3"/>
        <v>Error?</v>
      </c>
    </row>
    <row r="280" spans="1:4" x14ac:dyDescent="0.2">
      <c r="A280" s="5">
        <v>219</v>
      </c>
      <c r="B280" s="1832">
        <f>'Assets-Liab 5-6'!M40</f>
        <v>6043988</v>
      </c>
      <c r="D280" s="2" t="str">
        <f t="shared" si="3"/>
        <v>Error?</v>
      </c>
    </row>
    <row r="281" spans="1:4" x14ac:dyDescent="0.2">
      <c r="A281" s="5">
        <v>220</v>
      </c>
      <c r="B281" s="1832">
        <f>'Assets-Liab 5-6'!M41</f>
        <v>6043988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934727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934727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211988</v>
      </c>
      <c r="D733" s="2" t="str">
        <f t="shared" si="10"/>
        <v>Error?</v>
      </c>
    </row>
    <row r="734" spans="1:4" x14ac:dyDescent="0.2">
      <c r="A734" s="5">
        <v>673</v>
      </c>
      <c r="B734" s="1832">
        <f>'Expenditures 15-22'!C53</f>
        <v>211988</v>
      </c>
      <c r="C734" s="2" t="s">
        <v>569</v>
      </c>
      <c r="D734" s="2" t="str">
        <f t="shared" si="10"/>
        <v>Error?</v>
      </c>
    </row>
    <row r="735" spans="1:4" x14ac:dyDescent="0.2">
      <c r="A735" s="5">
        <v>674</v>
      </c>
      <c r="B735" s="1832">
        <f>'Expenditures 15-22'!C55</f>
        <v>106507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106507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318495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1253222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231676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231676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74749</v>
      </c>
      <c r="D791" s="2" t="str">
        <f t="shared" si="11"/>
        <v>Error?</v>
      </c>
    </row>
    <row r="792" spans="1:4" x14ac:dyDescent="0.2">
      <c r="A792" s="5">
        <v>731</v>
      </c>
      <c r="B792" s="1832">
        <f>'Expenditures 15-22'!D53</f>
        <v>74749</v>
      </c>
      <c r="C792" s="2" t="s">
        <v>569</v>
      </c>
      <c r="D792" s="2" t="str">
        <f t="shared" si="11"/>
        <v>Error?</v>
      </c>
    </row>
    <row r="793" spans="1:4" x14ac:dyDescent="0.2">
      <c r="A793" s="5">
        <v>732</v>
      </c>
      <c r="B793" s="1832">
        <f>'Expenditures 15-22'!D55</f>
        <v>38369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38369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113118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344794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36911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36911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27426</v>
      </c>
      <c r="D848" s="2" t="str">
        <f t="shared" si="12"/>
        <v>Error?</v>
      </c>
    </row>
    <row r="849" spans="1:4" x14ac:dyDescent="0.2">
      <c r="A849" s="5">
        <v>788</v>
      </c>
      <c r="B849" s="1832">
        <f>'Expenditures 15-22'!E50</f>
        <v>46943</v>
      </c>
      <c r="D849" s="2" t="str">
        <f t="shared" si="12"/>
        <v>Error?</v>
      </c>
    </row>
    <row r="850" spans="1:4" x14ac:dyDescent="0.2">
      <c r="A850" s="5">
        <v>789</v>
      </c>
      <c r="B850" s="1832">
        <f>'Expenditures 15-22'!E53</f>
        <v>74369</v>
      </c>
      <c r="C850" s="2" t="s">
        <v>569</v>
      </c>
      <c r="D850" s="2" t="str">
        <f t="shared" si="12"/>
        <v>Error?</v>
      </c>
    </row>
    <row r="851" spans="1:4" x14ac:dyDescent="0.2">
      <c r="A851" s="5">
        <v>790</v>
      </c>
      <c r="B851" s="1832">
        <f>'Expenditures 15-22'!E55</f>
        <v>10531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10531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84900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121811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82585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36053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118638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2099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2099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13879</v>
      </c>
      <c r="D907" s="2" t="str">
        <f t="shared" si="13"/>
        <v>Error?</v>
      </c>
    </row>
    <row r="908" spans="1:4" x14ac:dyDescent="0.2">
      <c r="A908" s="5">
        <v>847</v>
      </c>
      <c r="B908" s="1832">
        <f>'Expenditures 15-22'!F53</f>
        <v>13879</v>
      </c>
      <c r="C908" s="2" t="s">
        <v>569</v>
      </c>
      <c r="D908" s="2" t="str">
        <f t="shared" si="13"/>
        <v>Error?</v>
      </c>
    </row>
    <row r="909" spans="1:4" x14ac:dyDescent="0.2">
      <c r="A909" s="5">
        <v>848</v>
      </c>
      <c r="B909" s="1832">
        <f>'Expenditures 15-22'!F55</f>
        <v>39662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39662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55640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174278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31408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31408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31408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2437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2437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129</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129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2566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1319744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36053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1355797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2099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2099</v>
      </c>
      <c r="C1119" s="2" t="s">
        <v>569</v>
      </c>
      <c r="D1119" s="2" t="str">
        <f t="shared" si="16"/>
        <v>Error?</v>
      </c>
    </row>
    <row r="1120" spans="1:4" x14ac:dyDescent="0.2">
      <c r="A1120" s="5">
        <v>1059</v>
      </c>
      <c r="B1120" s="1832">
        <f>'Expenditures 15-22'!K49</f>
        <v>27555</v>
      </c>
      <c r="C1120" s="2" t="s">
        <v>569</v>
      </c>
      <c r="D1120" s="2" t="str">
        <f t="shared" si="16"/>
        <v>Error?</v>
      </c>
    </row>
    <row r="1121" spans="1:4" x14ac:dyDescent="0.2">
      <c r="A1121" s="5">
        <v>1060</v>
      </c>
      <c r="B1121" s="1832">
        <f>'Expenditures 15-22'!K50</f>
        <v>347559</v>
      </c>
      <c r="C1121" s="2" t="s">
        <v>569</v>
      </c>
      <c r="D1121" s="2" t="str">
        <f t="shared" si="16"/>
        <v>Error?</v>
      </c>
    </row>
    <row r="1122" spans="1:4" x14ac:dyDescent="0.2">
      <c r="A1122" s="5">
        <v>1061</v>
      </c>
      <c r="B1122" s="1832">
        <f>'Expenditures 15-22'!K53</f>
        <v>375114</v>
      </c>
      <c r="C1122" s="2" t="s">
        <v>569</v>
      </c>
      <c r="D1122" s="2" t="str">
        <f t="shared" si="16"/>
        <v>Error?</v>
      </c>
    </row>
    <row r="1123" spans="1:4" x14ac:dyDescent="0.2">
      <c r="A1123" s="5">
        <v>1062</v>
      </c>
      <c r="B1123" s="1832">
        <f>'Expenditures 15-22'!K55</f>
        <v>195069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195069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572282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1928079</v>
      </c>
      <c r="C1152" s="2" t="s">
        <v>569</v>
      </c>
      <c r="D1152" s="2" t="str">
        <f t="shared" si="17"/>
        <v>Error?</v>
      </c>
    </row>
    <row r="1153" spans="1:4" x14ac:dyDescent="0.2">
      <c r="A1153" s="5">
        <v>1092</v>
      </c>
      <c r="B1153" s="1832">
        <f>'Expenditures 15-22'!K115</f>
        <v>-127785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44284</v>
      </c>
      <c r="D1221" s="2" t="str">
        <f t="shared" si="18"/>
        <v>Error?</v>
      </c>
    </row>
    <row r="1222" spans="1:4" x14ac:dyDescent="0.2">
      <c r="A1222" s="10">
        <v>1161</v>
      </c>
      <c r="B1222" s="1832"/>
      <c r="D1222" s="2" t="str">
        <f t="shared" si="18"/>
        <v>OK</v>
      </c>
    </row>
    <row r="1223" spans="1:4" x14ac:dyDescent="0.2">
      <c r="A1223" s="5">
        <v>1162</v>
      </c>
      <c r="B1223" s="1832">
        <f>'Expenditures 15-22'!C127</f>
        <v>44284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44284</v>
      </c>
      <c r="C1225" s="2" t="s">
        <v>569</v>
      </c>
      <c r="D1225" s="2" t="str">
        <f t="shared" si="18"/>
        <v>Error?</v>
      </c>
    </row>
    <row r="1226" spans="1:4" x14ac:dyDescent="0.2">
      <c r="A1226" s="5">
        <v>1165</v>
      </c>
      <c r="B1226" s="1832">
        <f>'Expenditures 15-22'!C151</f>
        <v>44284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4761</v>
      </c>
      <c r="D1229" s="2" t="str">
        <f t="shared" si="18"/>
        <v>Error?</v>
      </c>
    </row>
    <row r="1230" spans="1:4" x14ac:dyDescent="0.2">
      <c r="A1230" s="10">
        <v>1169</v>
      </c>
      <c r="B1230" s="1832"/>
      <c r="D1230" s="2" t="str">
        <f t="shared" si="18"/>
        <v>OK</v>
      </c>
    </row>
    <row r="1231" spans="1:4" x14ac:dyDescent="0.2">
      <c r="A1231" s="5">
        <v>1170</v>
      </c>
      <c r="B1231" s="1832">
        <f>'Expenditures 15-22'!D127</f>
        <v>4761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4761</v>
      </c>
      <c r="C1233" s="2" t="s">
        <v>569</v>
      </c>
      <c r="D1233" s="2" t="str">
        <f t="shared" si="18"/>
        <v>Error?</v>
      </c>
    </row>
    <row r="1234" spans="1:4" x14ac:dyDescent="0.2">
      <c r="A1234" s="5">
        <v>1173</v>
      </c>
      <c r="B1234" s="1832">
        <f>'Expenditures 15-22'!D151</f>
        <v>4761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154112</v>
      </c>
      <c r="D1237" s="2" t="str">
        <f t="shared" si="18"/>
        <v>Error?</v>
      </c>
    </row>
    <row r="1238" spans="1:4" x14ac:dyDescent="0.2">
      <c r="A1238" s="10">
        <v>1177</v>
      </c>
      <c r="B1238" s="1832"/>
      <c r="D1238" s="2" t="str">
        <f t="shared" si="18"/>
        <v>OK</v>
      </c>
    </row>
    <row r="1239" spans="1:4" x14ac:dyDescent="0.2">
      <c r="A1239" s="5">
        <v>1178</v>
      </c>
      <c r="B1239" s="1832">
        <f>'Expenditures 15-22'!E127</f>
        <v>154112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154112</v>
      </c>
      <c r="C1241" s="2" t="s">
        <v>569</v>
      </c>
      <c r="D1241" s="2" t="str">
        <f t="shared" si="18"/>
        <v>Error?</v>
      </c>
    </row>
    <row r="1242" spans="1:4" x14ac:dyDescent="0.2">
      <c r="A1242" s="5">
        <v>1181</v>
      </c>
      <c r="B1242" s="1832">
        <f>'Expenditures 15-22'!E151</f>
        <v>154112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68702</v>
      </c>
      <c r="D1245" s="2" t="str">
        <f t="shared" si="18"/>
        <v>Error?</v>
      </c>
    </row>
    <row r="1246" spans="1:4" x14ac:dyDescent="0.2">
      <c r="A1246" s="10">
        <v>1185</v>
      </c>
      <c r="B1246" s="1832"/>
      <c r="D1246" s="2" t="str">
        <f t="shared" si="18"/>
        <v>OK</v>
      </c>
    </row>
    <row r="1247" spans="1:4" x14ac:dyDescent="0.2">
      <c r="A1247" s="5">
        <v>1186</v>
      </c>
      <c r="B1247" s="1832">
        <f>'Expenditures 15-22'!F127</f>
        <v>68702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68702</v>
      </c>
      <c r="C1249" s="2" t="s">
        <v>569</v>
      </c>
      <c r="D1249" s="2" t="str">
        <f t="shared" si="18"/>
        <v>Error?</v>
      </c>
    </row>
    <row r="1250" spans="1:4" x14ac:dyDescent="0.2">
      <c r="A1250" s="5">
        <v>1189</v>
      </c>
      <c r="B1250" s="1832">
        <f>'Expenditures 15-22'!F151</f>
        <v>68702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72112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72112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72112</v>
      </c>
      <c r="C1258" s="2" t="s">
        <v>569</v>
      </c>
      <c r="D1258" s="2" t="str">
        <f t="shared" si="18"/>
        <v>Error?</v>
      </c>
    </row>
    <row r="1259" spans="1:4" x14ac:dyDescent="0.2">
      <c r="A1259" s="5">
        <v>1198</v>
      </c>
      <c r="B1259" s="1832">
        <f>'Expenditures 15-22'!G151</f>
        <v>72112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343971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343971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343971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343971</v>
      </c>
      <c r="C1288" s="2" t="s">
        <v>569</v>
      </c>
      <c r="D1288" s="2" t="str">
        <f t="shared" si="19"/>
        <v>Error?</v>
      </c>
    </row>
    <row r="1289" spans="1:4" x14ac:dyDescent="0.2">
      <c r="A1289" s="5">
        <v>1228</v>
      </c>
      <c r="B1289" s="1832">
        <f>'Expenditures 15-22'!K152</f>
        <v>15617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15481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15481</v>
      </c>
      <c r="C1339" s="2" t="s">
        <v>569</v>
      </c>
      <c r="D1339" s="2" t="str">
        <f t="shared" si="19"/>
        <v>Error?</v>
      </c>
    </row>
    <row r="1340" spans="1:4" x14ac:dyDescent="0.2">
      <c r="A1340" s="5">
        <v>1279</v>
      </c>
      <c r="B1340" s="1832">
        <f>'Expenditures 15-22'!C210</f>
        <v>15481</v>
      </c>
      <c r="C1340" s="2" t="s">
        <v>569</v>
      </c>
      <c r="D1340" s="2" t="str">
        <f t="shared" si="19"/>
        <v>Error?</v>
      </c>
    </row>
    <row r="1341" spans="1:4" x14ac:dyDescent="0.2">
      <c r="A1341" s="5">
        <v>1280</v>
      </c>
      <c r="B1341" s="1832">
        <f>'Expenditures 15-22'!D182</f>
        <v>1689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1689</v>
      </c>
      <c r="C1345" s="2" t="s">
        <v>569</v>
      </c>
      <c r="D1345" s="2" t="str">
        <f t="shared" si="20"/>
        <v>Error?</v>
      </c>
    </row>
    <row r="1346" spans="1:4" x14ac:dyDescent="0.2">
      <c r="A1346" s="5">
        <v>1285</v>
      </c>
      <c r="B1346" s="1832">
        <f>'Expenditures 15-22'!D210</f>
        <v>1689</v>
      </c>
      <c r="C1346" s="2" t="s">
        <v>569</v>
      </c>
      <c r="D1346" s="2" t="str">
        <f t="shared" si="20"/>
        <v>Error?</v>
      </c>
    </row>
    <row r="1347" spans="1:4" x14ac:dyDescent="0.2">
      <c r="A1347" s="5">
        <v>1286</v>
      </c>
      <c r="B1347" s="1832">
        <f>'Expenditures 15-22'!E182</f>
        <v>19488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19488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19488</v>
      </c>
      <c r="C1353" s="2" t="s">
        <v>569</v>
      </c>
      <c r="D1353" s="2" t="str">
        <f t="shared" si="20"/>
        <v>Error?</v>
      </c>
    </row>
    <row r="1354" spans="1:4" x14ac:dyDescent="0.2">
      <c r="A1354" s="5">
        <v>1293</v>
      </c>
      <c r="B1354" s="1832">
        <f>'Expenditures 15-22'!F182</f>
        <v>1497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1497</v>
      </c>
      <c r="C1358" s="2" t="s">
        <v>569</v>
      </c>
      <c r="D1358" s="2" t="str">
        <f t="shared" si="20"/>
        <v>Error?</v>
      </c>
    </row>
    <row r="1359" spans="1:4" x14ac:dyDescent="0.2">
      <c r="A1359" s="5">
        <v>1298</v>
      </c>
      <c r="B1359" s="1832">
        <f>'Expenditures 15-22'!F210</f>
        <v>1497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38155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38155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38155</v>
      </c>
      <c r="C1388" s="2" t="s">
        <v>569</v>
      </c>
      <c r="D1388" s="2" t="str">
        <f t="shared" si="20"/>
        <v>Error?</v>
      </c>
    </row>
    <row r="1389" spans="1:4" x14ac:dyDescent="0.2">
      <c r="A1389" s="5">
        <v>1328</v>
      </c>
      <c r="B1389" s="1832">
        <f>'Expenditures 15-22'!K211</f>
        <v>-10132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1822116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1694331</v>
      </c>
      <c r="C1630" s="2" t="s">
        <v>569</v>
      </c>
      <c r="D1630" s="2" t="str">
        <f t="shared" si="24"/>
        <v>Error?</v>
      </c>
    </row>
    <row r="1631" spans="1:4" x14ac:dyDescent="0.2">
      <c r="A1631" s="5">
        <v>1570</v>
      </c>
      <c r="B1631" s="1832">
        <f>'Acct Summary 7-8'!D79</f>
        <v>57563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73180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72842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62710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284504</v>
      </c>
      <c r="D2008" s="2" t="str">
        <f t="shared" si="30"/>
        <v>Error?</v>
      </c>
    </row>
    <row r="2009" spans="1:4" x14ac:dyDescent="0.2">
      <c r="A2009" s="5">
        <v>1948</v>
      </c>
      <c r="B2009" s="1832">
        <f>'Cap Outlay Deprec 26'!C8</f>
        <v>3294249</v>
      </c>
      <c r="D2009" s="2" t="str">
        <f t="shared" si="30"/>
        <v>Error?</v>
      </c>
    </row>
    <row r="2010" spans="1:4" x14ac:dyDescent="0.2">
      <c r="A2010" s="5">
        <v>1949</v>
      </c>
      <c r="B2010" s="1832">
        <f>'Cap Outlay Deprec 26'!C10</f>
        <v>465792</v>
      </c>
      <c r="D2010" s="2" t="str">
        <f t="shared" si="30"/>
        <v>Error?</v>
      </c>
    </row>
    <row r="2011" spans="1:4" x14ac:dyDescent="0.2">
      <c r="A2011" s="5">
        <v>1950</v>
      </c>
      <c r="B2011" s="1832">
        <f>'Cap Outlay Deprec 26'!C12</f>
        <v>1895923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5940468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39170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64350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103520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284504</v>
      </c>
      <c r="C2026" s="2" t="s">
        <v>569</v>
      </c>
      <c r="D2026" s="2" t="str">
        <f t="shared" si="30"/>
        <v>Error?</v>
      </c>
    </row>
    <row r="2027" spans="1:4" x14ac:dyDescent="0.2">
      <c r="A2027" s="5">
        <v>1966</v>
      </c>
      <c r="B2027" s="1832">
        <f>'Cap Outlay Deprec 26'!F8</f>
        <v>3333419</v>
      </c>
      <c r="C2027" s="2" t="s">
        <v>569</v>
      </c>
      <c r="D2027" s="2" t="str">
        <f t="shared" si="30"/>
        <v>Error?</v>
      </c>
    </row>
    <row r="2028" spans="1:4" x14ac:dyDescent="0.2">
      <c r="A2028" s="5">
        <v>1967</v>
      </c>
      <c r="B2028" s="1832">
        <f>'Cap Outlay Deprec 26'!F10</f>
        <v>465792</v>
      </c>
      <c r="C2028" s="2" t="s">
        <v>569</v>
      </c>
      <c r="D2028" s="2" t="str">
        <f t="shared" si="30"/>
        <v>Error?</v>
      </c>
    </row>
    <row r="2029" spans="1:4" x14ac:dyDescent="0.2">
      <c r="A2029" s="5">
        <v>1968</v>
      </c>
      <c r="B2029" s="1832">
        <f>'Cap Outlay Deprec 26'!F12</f>
        <v>1960273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6043988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1763342</v>
      </c>
      <c r="D2033" s="2" t="str">
        <f t="shared" si="30"/>
        <v>Error?</v>
      </c>
    </row>
    <row r="2034" spans="1:4" x14ac:dyDescent="0.2">
      <c r="A2034" s="5">
        <v>1973</v>
      </c>
      <c r="B2034" s="1832">
        <f>'Cap Outlay Deprec 26'!H10</f>
        <v>229463</v>
      </c>
      <c r="D2034" s="2" t="str">
        <f t="shared" si="30"/>
        <v>Error?</v>
      </c>
    </row>
    <row r="2035" spans="1:4" x14ac:dyDescent="0.2">
      <c r="A2035" s="5">
        <v>1974</v>
      </c>
      <c r="B2035" s="1832">
        <f>'Cap Outlay Deprec 26'!H12</f>
        <v>1814749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3807554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66277</v>
      </c>
      <c r="D2039" s="2" t="str">
        <f t="shared" si="30"/>
        <v>Error?</v>
      </c>
    </row>
    <row r="2040" spans="1:4" x14ac:dyDescent="0.2">
      <c r="A2040" s="5">
        <v>1979</v>
      </c>
      <c r="B2040" s="1832">
        <f>'Cap Outlay Deprec 26'!I10</f>
        <v>22564</v>
      </c>
      <c r="D2040" s="2" t="str">
        <f t="shared" si="30"/>
        <v>Error?</v>
      </c>
    </row>
    <row r="2041" spans="1:4" x14ac:dyDescent="0.2">
      <c r="A2041" s="5">
        <v>1980</v>
      </c>
      <c r="B2041" s="1832">
        <f>'Cap Outlay Deprec 26'!I12</f>
        <v>14659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103500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1829619</v>
      </c>
      <c r="C2051" s="2" t="s">
        <v>569</v>
      </c>
      <c r="D2051" s="2" t="str">
        <f t="shared" si="31"/>
        <v>Error?</v>
      </c>
    </row>
    <row r="2052" spans="1:4" x14ac:dyDescent="0.2">
      <c r="A2052" s="5">
        <v>1991</v>
      </c>
      <c r="B2052" s="1832">
        <f>'Cap Outlay Deprec 26'!K10</f>
        <v>252027</v>
      </c>
      <c r="C2052" s="2" t="s">
        <v>569</v>
      </c>
      <c r="D2052" s="2" t="str">
        <f t="shared" si="31"/>
        <v>Error?</v>
      </c>
    </row>
    <row r="2053" spans="1:4" x14ac:dyDescent="0.2">
      <c r="A2053" s="5">
        <v>1992</v>
      </c>
      <c r="B2053" s="1832">
        <f>'Cap Outlay Deprec 26'!K12</f>
        <v>1829408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3911054</v>
      </c>
      <c r="C2055" s="2" t="s">
        <v>569</v>
      </c>
      <c r="D2055" s="2" t="str">
        <f t="shared" si="31"/>
        <v>Error?</v>
      </c>
    </row>
    <row r="2056" spans="1:4" x14ac:dyDescent="0.2">
      <c r="A2056" s="5">
        <v>1995</v>
      </c>
      <c r="B2056" s="1832">
        <f>'Cap Outlay Deprec 26'!L5</f>
        <v>284504</v>
      </c>
      <c r="C2056" s="2" t="s">
        <v>569</v>
      </c>
      <c r="D2056" s="2" t="str">
        <f t="shared" si="31"/>
        <v>Error?</v>
      </c>
    </row>
    <row r="2057" spans="1:4" x14ac:dyDescent="0.2">
      <c r="A2057" s="5">
        <v>1996</v>
      </c>
      <c r="B2057" s="1832">
        <f>'Cap Outlay Deprec 26'!L8</f>
        <v>1503800</v>
      </c>
      <c r="C2057" s="2" t="s">
        <v>569</v>
      </c>
      <c r="D2057" s="2" t="str">
        <f t="shared" si="31"/>
        <v>Error?</v>
      </c>
    </row>
    <row r="2058" spans="1:4" x14ac:dyDescent="0.2">
      <c r="A2058" s="5">
        <v>1997</v>
      </c>
      <c r="B2058" s="1832">
        <f>'Cap Outlay Deprec 26'!L10</f>
        <v>213765</v>
      </c>
      <c r="C2058" s="2" t="s">
        <v>569</v>
      </c>
      <c r="D2058" s="2" t="str">
        <f t="shared" si="31"/>
        <v>Error?</v>
      </c>
    </row>
    <row r="2059" spans="1:4" x14ac:dyDescent="0.2">
      <c r="A2059" s="5">
        <v>1998</v>
      </c>
      <c r="B2059" s="1832">
        <f>'Cap Outlay Deprec 26'!L12</f>
        <v>130865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2132934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1093503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706791</v>
      </c>
      <c r="C2553" s="2" t="s">
        <v>569</v>
      </c>
      <c r="D2553" s="2" t="str">
        <f t="shared" si="38"/>
        <v>Error?</v>
      </c>
    </row>
    <row r="2554" spans="1:4" x14ac:dyDescent="0.2">
      <c r="A2554" s="5">
        <v>2493</v>
      </c>
      <c r="B2554" s="1832">
        <f>'Acct Summary 7-8'!C7</f>
        <v>0</v>
      </c>
      <c r="C2554" s="2" t="s">
        <v>569</v>
      </c>
      <c r="D2554" s="2" t="str">
        <f t="shared" si="38"/>
        <v>Error?</v>
      </c>
    </row>
    <row r="2555" spans="1:4" x14ac:dyDescent="0.2">
      <c r="A2555" s="5">
        <v>2494</v>
      </c>
      <c r="B2555" s="1832">
        <f>'Acct Summary 7-8'!C8</f>
        <v>1800294</v>
      </c>
      <c r="C2555" s="2" t="s">
        <v>569</v>
      </c>
      <c r="D2555" s="2" t="str">
        <f t="shared" si="38"/>
        <v>Error?</v>
      </c>
    </row>
    <row r="2556" spans="1:4" x14ac:dyDescent="0.2">
      <c r="A2556" s="5">
        <v>2495</v>
      </c>
      <c r="B2556" s="1832">
        <f>'Acct Summary 7-8'!C12</f>
        <v>1355797</v>
      </c>
      <c r="C2556" s="2" t="s">
        <v>569</v>
      </c>
      <c r="D2556" s="2" t="str">
        <f t="shared" si="38"/>
        <v>Error?</v>
      </c>
    </row>
    <row r="2557" spans="1:4" x14ac:dyDescent="0.2">
      <c r="A2557" s="5">
        <v>2496</v>
      </c>
      <c r="B2557" s="1832">
        <f>'Acct Summary 7-8'!C13</f>
        <v>572282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1928079</v>
      </c>
      <c r="C2561" s="2" t="s">
        <v>569</v>
      </c>
      <c r="D2561" s="2" t="str">
        <f t="shared" si="39"/>
        <v>Error?</v>
      </c>
    </row>
    <row r="2562" spans="1:4" x14ac:dyDescent="0.2">
      <c r="A2562" s="5">
        <v>2501</v>
      </c>
      <c r="B2562" s="1832">
        <f>'Acct Summary 7-8'!C20</f>
        <v>-127785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359588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359588</v>
      </c>
      <c r="C2568" s="2" t="s">
        <v>569</v>
      </c>
      <c r="D2568" s="2" t="str">
        <f t="shared" si="39"/>
        <v>Error?</v>
      </c>
    </row>
    <row r="2569" spans="1:4" x14ac:dyDescent="0.2">
      <c r="A2569" s="5">
        <v>2508</v>
      </c>
      <c r="B2569" s="1832">
        <f>'Acct Summary 7-8'!D13</f>
        <v>343971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343971</v>
      </c>
      <c r="C2573" s="2" t="s">
        <v>569</v>
      </c>
      <c r="D2573" s="2" t="str">
        <f t="shared" si="39"/>
        <v>Error?</v>
      </c>
    </row>
    <row r="2574" spans="1:4" x14ac:dyDescent="0.2">
      <c r="A2574" s="5">
        <v>2513</v>
      </c>
      <c r="B2574" s="1832">
        <f>'Acct Summary 7-8'!D20</f>
        <v>15617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2000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26023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28023</v>
      </c>
      <c r="C2595" s="2" t="s">
        <v>569</v>
      </c>
      <c r="D2595" s="2" t="str">
        <f t="shared" si="39"/>
        <v>Error?</v>
      </c>
    </row>
    <row r="2596" spans="1:4" x14ac:dyDescent="0.2">
      <c r="A2596" s="5">
        <v>2535</v>
      </c>
      <c r="B2596" s="1832">
        <f>'Acct Summary 7-8'!F13</f>
        <v>38155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38155</v>
      </c>
      <c r="C2600" s="2" t="s">
        <v>569</v>
      </c>
      <c r="D2600" s="2" t="str">
        <f t="shared" si="39"/>
        <v>Error?</v>
      </c>
    </row>
    <row r="2601" spans="1:4" x14ac:dyDescent="0.2">
      <c r="A2601" s="5">
        <v>2540</v>
      </c>
      <c r="B2601" s="1832">
        <f>'Acct Summary 7-8'!F20</f>
        <v>-10132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52960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52960</v>
      </c>
      <c r="D2914" s="2" t="str">
        <f t="shared" si="44"/>
        <v>Error?</v>
      </c>
    </row>
    <row r="2915" spans="1:4" x14ac:dyDescent="0.2">
      <c r="A2915" s="10">
        <v>2854</v>
      </c>
      <c r="B2915" s="1832"/>
      <c r="D2915" s="2" t="str">
        <f t="shared" si="44"/>
        <v>OK</v>
      </c>
    </row>
    <row r="2916" spans="1:4" x14ac:dyDescent="0.2">
      <c r="A2916" s="5">
        <v>2855</v>
      </c>
      <c r="B2916" s="1832">
        <f>'Assets-Liab 5-6'!L34</f>
        <v>52960</v>
      </c>
      <c r="C2916" s="2" t="s">
        <v>569</v>
      </c>
      <c r="D2916" s="2" t="str">
        <f t="shared" si="44"/>
        <v>Error?</v>
      </c>
    </row>
    <row r="2917" spans="1:4" x14ac:dyDescent="0.2">
      <c r="A2917" s="5">
        <v>2856</v>
      </c>
      <c r="B2917" s="1832">
        <f>'Assets-Liab 5-6'!L41</f>
        <v>52960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-127785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15617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-10132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1694331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73180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62710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52960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945556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2745850</v>
      </c>
      <c r="C4122" s="2" t="s">
        <v>569</v>
      </c>
      <c r="D4122" s="2" t="str">
        <f t="shared" si="63"/>
        <v>Error?</v>
      </c>
    </row>
    <row r="4123" spans="1:4" x14ac:dyDescent="0.2">
      <c r="A4123" s="5">
        <v>4062</v>
      </c>
      <c r="B4123" s="1832">
        <f>'Acct Summary 7-8'!D10</f>
        <v>359588</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28023</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945556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2873635</v>
      </c>
      <c r="C4136" s="2" t="s">
        <v>569</v>
      </c>
      <c r="D4136" s="2" t="str">
        <f t="shared" si="63"/>
        <v>Error?</v>
      </c>
    </row>
    <row r="4137" spans="1:4" x14ac:dyDescent="0.2">
      <c r="A4137" s="5">
        <v>4076</v>
      </c>
      <c r="B4137" s="1832">
        <f>'Acct Summary 7-8'!D19</f>
        <v>343971</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38155</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1830221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58964</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2000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7785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845356</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89251</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942392</v>
      </c>
      <c r="C5087" s="2" t="s">
        <v>569</v>
      </c>
      <c r="D5087" s="2" t="str">
        <f t="shared" si="78"/>
        <v>Error?</v>
      </c>
    </row>
    <row r="5088" spans="1:4" x14ac:dyDescent="0.2">
      <c r="A5088" s="5">
        <v>5027</v>
      </c>
      <c r="B5088" s="1832">
        <f>'Revenues 9-14'!C65</f>
        <v>3724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3724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75032</v>
      </c>
      <c r="D5101" s="2" t="str">
        <f t="shared" si="78"/>
        <v>Error?</v>
      </c>
    </row>
    <row r="5102" spans="1:4" x14ac:dyDescent="0.2">
      <c r="A5102" s="5">
        <v>5041</v>
      </c>
      <c r="B5102" s="1832">
        <f>'Revenues 9-14'!C82</f>
        <v>75032</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13391</v>
      </c>
      <c r="D5119" s="2" t="str">
        <f t="shared" ref="D5119:D5182" si="79">IF(ISBLANK(B5119),"OK",IF(A5119-B5119=0,"OK","Error?"))</f>
        <v>Error?</v>
      </c>
    </row>
    <row r="5120" spans="1:4" x14ac:dyDescent="0.2">
      <c r="A5120" s="5">
        <v>5059</v>
      </c>
      <c r="B5120" s="1832">
        <f>'Revenues 9-14'!C108</f>
        <v>72355</v>
      </c>
      <c r="C5120" s="2" t="s">
        <v>569</v>
      </c>
      <c r="D5120" s="2" t="str">
        <f t="shared" si="79"/>
        <v>Error?</v>
      </c>
    </row>
    <row r="5121" spans="1:4" x14ac:dyDescent="0.2">
      <c r="A5121" s="5">
        <v>5060</v>
      </c>
      <c r="B5121" s="1832">
        <f>'Revenues 9-14'!C109</f>
        <v>1093503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706791</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706791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706791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706791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569</v>
      </c>
      <c r="D5326" s="2" t="str">
        <f t="shared" si="82"/>
        <v>Error?</v>
      </c>
    </row>
    <row r="5327" spans="1:5" x14ac:dyDescent="0.2">
      <c r="A5327" s="5">
        <v>5266</v>
      </c>
      <c r="B5327" s="1832">
        <f>'Revenues 9-14'!C268</f>
        <v>1800294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359588</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359588</v>
      </c>
      <c r="C5355" s="2" t="s">
        <v>569</v>
      </c>
      <c r="D5355" s="2" t="str">
        <f t="shared" si="82"/>
        <v>Error?</v>
      </c>
    </row>
    <row r="5356" spans="1:4" x14ac:dyDescent="0.2">
      <c r="A5356" s="5">
        <v>5295</v>
      </c>
      <c r="B5356" s="1832">
        <f>'Revenues 9-14'!D109</f>
        <v>359588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359588</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2000</v>
      </c>
      <c r="C5587" s="2" t="s">
        <v>569</v>
      </c>
      <c r="D5587" s="2" t="str">
        <f t="shared" si="86"/>
        <v>Error?</v>
      </c>
    </row>
    <row r="5588" spans="1:4" x14ac:dyDescent="0.2">
      <c r="A5588" s="5">
        <v>5527</v>
      </c>
      <c r="B5588" s="1832">
        <f>'Revenues 9-14'!F109</f>
        <v>2000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26023</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26023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26023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26023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28023</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-127785</v>
      </c>
      <c r="D6267" s="2" t="str">
        <f t="shared" si="96"/>
        <v>Error?</v>
      </c>
      <c r="E6267" s="2" t="s">
        <v>189</v>
      </c>
    </row>
    <row r="6268" spans="1:5" x14ac:dyDescent="0.2">
      <c r="A6268">
        <v>6207</v>
      </c>
      <c r="B6268" s="1832">
        <f>'Acct Summary 7-8'!D82</f>
        <v>15617</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-10132</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-7.5419147734415534E-2</v>
      </c>
      <c r="D6276" s="2" t="str">
        <f t="shared" si="97"/>
        <v>Error?</v>
      </c>
      <c r="E6276" s="2" t="s">
        <v>189</v>
      </c>
    </row>
    <row r="6277" spans="1:5" x14ac:dyDescent="0.2">
      <c r="A6277">
        <v>6216</v>
      </c>
      <c r="B6277" s="1832">
        <f>'Acct Summary 7-8'!D83</f>
        <v>0.21340530199508062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-0.16156912773082444</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103500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2310205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103520</v>
      </c>
      <c r="D7834" s="2" t="str">
        <f t="shared" si="129"/>
        <v>Error?</v>
      </c>
      <c r="E7834" s="4" t="s">
        <v>1998</v>
      </c>
    </row>
    <row r="7835" spans="1:5" x14ac:dyDescent="0.2">
      <c r="A7835">
        <v>7774</v>
      </c>
      <c r="B7835" s="1832">
        <f>'PCTC-OEPP 27-28'!F78</f>
        <v>2206685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75032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420552</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706791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26023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1228398</v>
      </c>
      <c r="D7877" s="2" t="str">
        <f t="shared" si="129"/>
        <v>Error?</v>
      </c>
      <c r="E7877" s="4" t="s">
        <v>1998</v>
      </c>
    </row>
    <row r="7878" spans="1:5" x14ac:dyDescent="0.2">
      <c r="A7878">
        <v>7817</v>
      </c>
      <c r="B7878" s="1832">
        <f>'PCTC-OEPP 27-28'!F176</f>
        <v>978287</v>
      </c>
      <c r="D7878" s="2" t="str">
        <f t="shared" si="129"/>
        <v>Error?</v>
      </c>
      <c r="E7878" s="4" t="s">
        <v>1998</v>
      </c>
    </row>
    <row r="7879" spans="1:5" x14ac:dyDescent="0.2">
      <c r="A7879">
        <v>7818</v>
      </c>
      <c r="B7879" s="1832">
        <f>'PCTC-OEPP 27-28'!F178</f>
        <v>1081787</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1181</v>
      </c>
      <c r="B2" s="2533"/>
      <c r="C2" s="2533"/>
      <c r="D2" s="2533"/>
      <c r="E2" s="2533"/>
      <c r="F2" s="2533"/>
      <c r="G2" s="2533"/>
      <c r="H2" s="2533"/>
      <c r="I2" s="2533"/>
      <c r="J2" s="2533"/>
      <c r="K2" s="2533"/>
      <c r="L2" s="2533"/>
    </row>
    <row r="3" spans="1:29" ht="13.5" customHeight="1" x14ac:dyDescent="0.2">
      <c r="A3" s="2519" t="s">
        <v>1180</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3" t="str">
        <f>COVER!A17</f>
        <v xml:space="preserve"> Kankakee Area Career Center</v>
      </c>
      <c r="B7" s="2514"/>
      <c r="C7" s="2514"/>
      <c r="D7" s="2552"/>
      <c r="E7" s="2553">
        <f>COVER!A13</f>
        <v>32000000040</v>
      </c>
      <c r="F7" s="2554"/>
      <c r="G7" s="2520" t="str">
        <f>COVER!T23</f>
        <v>065-018319</v>
      </c>
      <c r="H7" s="2521"/>
      <c r="I7" s="2521"/>
      <c r="J7" s="2521"/>
      <c r="K7" s="2521"/>
      <c r="L7" s="252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3"/>
      <c r="B9" s="2524"/>
      <c r="C9" s="2524"/>
      <c r="D9" s="2524"/>
      <c r="E9" s="2524"/>
      <c r="F9" s="2525"/>
      <c r="G9" s="2526" t="str">
        <f>COVER!T13</f>
        <v>Russell Leigh &amp; Associates</v>
      </c>
      <c r="H9" s="2527"/>
      <c r="I9" s="2527"/>
      <c r="J9" s="2527"/>
      <c r="K9" s="2527"/>
      <c r="L9" s="2528"/>
    </row>
    <row r="10" spans="1:29" ht="13.5" customHeight="1" x14ac:dyDescent="0.2">
      <c r="A10" s="2510" t="str">
        <f>COVER!A38</f>
        <v>Matthew Kelly</v>
      </c>
      <c r="B10" s="2511"/>
      <c r="C10" s="2511"/>
      <c r="D10" s="2511"/>
      <c r="E10" s="2511"/>
      <c r="F10" s="2512"/>
      <c r="G10" s="2526" t="str">
        <f>COVER!T17</f>
        <v>228 East Main</v>
      </c>
      <c r="H10" s="2539"/>
      <c r="I10" s="2539"/>
      <c r="J10" s="2539"/>
      <c r="K10" s="2539"/>
      <c r="L10" s="2540"/>
    </row>
    <row r="11" spans="1:29" ht="13.5" customHeight="1" x14ac:dyDescent="0.2">
      <c r="A11" s="963" t="s">
        <v>1502</v>
      </c>
      <c r="B11" s="964"/>
      <c r="C11" s="965"/>
      <c r="D11" s="970"/>
      <c r="E11" s="965"/>
      <c r="F11" s="969"/>
      <c r="G11" s="2526" t="str">
        <f>COVER!T19</f>
        <v>Hoopeston</v>
      </c>
      <c r="H11" s="2539"/>
      <c r="I11" s="2539"/>
      <c r="J11" s="2539"/>
      <c r="K11" s="2539"/>
      <c r="L11" s="2540"/>
    </row>
    <row r="12" spans="1:29" ht="13.5" customHeight="1" x14ac:dyDescent="0.2">
      <c r="A12" s="2544" t="s">
        <v>1501</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1503</v>
      </c>
      <c r="H13" s="2535"/>
      <c r="I13" s="2547" t="str">
        <f>COVER!T25</f>
        <v>admin@russleigh.com</v>
      </c>
      <c r="J13" s="2548"/>
      <c r="K13" s="2548"/>
      <c r="L13" s="2549"/>
    </row>
    <row r="14" spans="1:29" ht="13.5" customHeight="1" x14ac:dyDescent="0.2">
      <c r="A14" s="2526" t="str">
        <f>COVER!A19</f>
        <v>4043 N 1000W Rd</v>
      </c>
      <c r="B14" s="2539"/>
      <c r="C14" s="2539"/>
      <c r="D14" s="2539"/>
      <c r="E14" s="2539"/>
      <c r="F14" s="2540"/>
      <c r="G14" s="974" t="s">
        <v>1175</v>
      </c>
      <c r="H14" s="972"/>
      <c r="I14" s="972"/>
      <c r="J14" s="972"/>
      <c r="K14" s="972"/>
      <c r="L14" s="973"/>
    </row>
    <row r="15" spans="1:29" ht="13.5" customHeight="1" x14ac:dyDescent="0.2">
      <c r="A15" s="2526" t="str">
        <f>COVER!A21</f>
        <v>Bourbonnais</v>
      </c>
      <c r="B15" s="2539"/>
      <c r="C15" s="2539"/>
      <c r="D15" s="2539"/>
      <c r="E15" s="2539"/>
      <c r="F15" s="2540"/>
      <c r="G15" s="2536" t="str">
        <f>COVER!T15</f>
        <v xml:space="preserve">Russ Leigh </v>
      </c>
      <c r="H15" s="2537"/>
      <c r="I15" s="2537"/>
      <c r="J15" s="2537"/>
      <c r="K15" s="2537"/>
      <c r="L15" s="2538"/>
    </row>
    <row r="16" spans="1:29" ht="12.2" customHeight="1" x14ac:dyDescent="0.2">
      <c r="A16" s="2516">
        <f>COVER!A25</f>
        <v>60914</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74" t="s">
        <v>1174</v>
      </c>
      <c r="H17" s="972"/>
      <c r="I17" s="972"/>
      <c r="J17" s="972"/>
      <c r="K17" s="976" t="s">
        <v>1173</v>
      </c>
      <c r="L17" s="969"/>
      <c r="M17" s="962"/>
    </row>
    <row r="18" spans="1:13" ht="12.2" customHeight="1" x14ac:dyDescent="0.2">
      <c r="A18" s="2510"/>
      <c r="B18" s="2511"/>
      <c r="C18" s="2511"/>
      <c r="D18" s="2511"/>
      <c r="E18" s="2511"/>
      <c r="F18" s="2512"/>
      <c r="G18" s="2513" t="str">
        <f>COVER!T21</f>
        <v>217-283-9336</v>
      </c>
      <c r="H18" s="2514"/>
      <c r="I18" s="2514"/>
      <c r="J18" s="2514"/>
      <c r="K18" s="2513" t="str">
        <f>COVER!X21</f>
        <v>217-283-9736</v>
      </c>
      <c r="L18" s="251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Kankakee Area Career Center</v>
      </c>
      <c r="B1" s="2556"/>
      <c r="C1" s="2556"/>
      <c r="D1" s="2556"/>
    </row>
    <row r="2" spans="1:11" s="991" customFormat="1" ht="12.75" x14ac:dyDescent="0.2">
      <c r="A2" s="2557">
        <f>'Single Audit Cover'!E7</f>
        <v>32000000040</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Kankakee Area Career Center</v>
      </c>
      <c r="B1" s="2560"/>
      <c r="C1" s="2560"/>
      <c r="D1" s="2560"/>
      <c r="E1" s="2560"/>
    </row>
    <row r="2" spans="1:5" x14ac:dyDescent="0.2">
      <c r="A2" s="2561">
        <f>'Single Audit Cover'!E7</f>
        <v>32000000040</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Kankakee Area Career Center</v>
      </c>
      <c r="C1" s="2564"/>
      <c r="D1" s="2564"/>
      <c r="E1" s="2564"/>
      <c r="F1" s="2564"/>
      <c r="G1" s="2564"/>
      <c r="H1" s="2564"/>
      <c r="I1" s="2564"/>
      <c r="J1" s="2564"/>
      <c r="K1" s="2564"/>
      <c r="L1" s="2564"/>
      <c r="M1" s="2564"/>
    </row>
    <row r="2" spans="2:14" ht="15" x14ac:dyDescent="0.2">
      <c r="B2" s="2565">
        <f>'Single Audit Cover'!E7</f>
        <v>32000000040</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Kankakee Area Career Center</v>
      </c>
      <c r="B1" s="2569"/>
      <c r="C1" s="2569"/>
      <c r="D1" s="2569"/>
      <c r="E1" s="2569"/>
      <c r="F1" s="2569"/>
    </row>
    <row r="2" spans="1:7" ht="13.5" customHeight="1" x14ac:dyDescent="0.2">
      <c r="A2" s="2565">
        <f>'Single Audit Cover'!E7</f>
        <v>32000000040</v>
      </c>
      <c r="B2" s="2565"/>
      <c r="C2" s="2565"/>
      <c r="D2" s="2565"/>
      <c r="E2" s="2565"/>
      <c r="F2" s="2565"/>
      <c r="G2" s="1051"/>
    </row>
    <row r="3" spans="1:7" ht="15.75" customHeight="1" x14ac:dyDescent="0.2">
      <c r="A3" s="2570" t="s">
        <v>1260</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52" t="s">
        <v>1705</v>
      </c>
      <c r="C6" s="295"/>
      <c r="D6" s="295"/>
    </row>
    <row r="7" spans="1:7" ht="60.95" customHeight="1" x14ac:dyDescent="0.2">
      <c r="A7" s="2568" t="s">
        <v>1706</v>
      </c>
      <c r="B7" s="2568"/>
      <c r="C7" s="2568"/>
      <c r="D7" s="2568"/>
      <c r="E7" s="2568"/>
      <c r="F7" s="256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8" t="s">
        <v>1708</v>
      </c>
      <c r="B13" s="2568"/>
      <c r="C13" s="2568"/>
      <c r="D13" s="2568"/>
      <c r="E13" s="2568"/>
      <c r="F13" s="2568"/>
    </row>
    <row r="14" spans="1:7" ht="9.75" customHeight="1" x14ac:dyDescent="0.2">
      <c r="C14" s="1036"/>
      <c r="D14" s="1036"/>
    </row>
    <row r="15" spans="1:7" ht="13.5" customHeight="1" x14ac:dyDescent="0.2">
      <c r="C15" s="1476" t="s">
        <v>1259</v>
      </c>
      <c r="D15" s="2573" t="s">
        <v>1258</v>
      </c>
      <c r="E15" s="2573"/>
      <c r="F15" s="2573"/>
    </row>
    <row r="16" spans="1:7" ht="13.5" customHeight="1" x14ac:dyDescent="0.2">
      <c r="A16" s="1058"/>
      <c r="B16" s="1052" t="s">
        <v>1257</v>
      </c>
      <c r="C16" s="1476" t="s">
        <v>1256</v>
      </c>
      <c r="D16" s="2574" t="s">
        <v>1571</v>
      </c>
      <c r="E16" s="2574"/>
      <c r="F16" s="2574"/>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1709</v>
      </c>
      <c r="B32" s="2576"/>
      <c r="C32" s="2576"/>
      <c r="D32" s="2576"/>
      <c r="E32" s="2576"/>
      <c r="F32" s="257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7">
        <f>+C33+C34</f>
        <v>0</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5" t="s">
        <v>1534</v>
      </c>
      <c r="C51" s="2575"/>
      <c r="D51" s="2575"/>
    </row>
    <row r="52" spans="1:5" ht="14.25" customHeight="1" x14ac:dyDescent="0.2">
      <c r="A52" s="1077"/>
      <c r="B52" s="2575"/>
      <c r="C52" s="2575"/>
      <c r="D52" s="25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2" sqref="A2:J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1158</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6" t="s">
        <v>1616</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1312</v>
      </c>
      <c r="B70" s="2169"/>
      <c r="C70" s="2169"/>
      <c r="D70" s="2169"/>
      <c r="E70" s="2170"/>
      <c r="F70" s="2170"/>
      <c r="G70" s="2170"/>
      <c r="H70" s="2170"/>
      <c r="I70" s="217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1309</v>
      </c>
      <c r="B83" s="2171"/>
      <c r="C83" s="2171"/>
      <c r="D83" s="217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2" t="s">
        <v>1989</v>
      </c>
      <c r="B85" s="2182"/>
      <c r="C85" s="2182"/>
      <c r="D85" s="218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4" t="s">
        <v>1989</v>
      </c>
      <c r="B88" s="2185"/>
      <c r="C88" s="2185"/>
      <c r="D88" s="218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2060</v>
      </c>
      <c r="D114" s="216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1319</v>
      </c>
      <c r="D117" s="2164"/>
      <c r="E117" s="2165"/>
      <c r="F117" s="2165"/>
      <c r="G117" s="2165"/>
      <c r="H117" s="2165"/>
      <c r="I117" s="282"/>
    </row>
    <row r="118" spans="1:9" s="176" customFormat="1" ht="24" customHeight="1" x14ac:dyDescent="0.2">
      <c r="A118" s="294"/>
      <c r="B118" s="294"/>
      <c r="C118" s="294"/>
      <c r="D118" s="301" t="s">
        <v>2060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Kankakee Area Career Center</v>
      </c>
      <c r="C1" s="2585"/>
      <c r="D1" s="2585"/>
      <c r="E1" s="2585"/>
      <c r="F1" s="2585"/>
      <c r="G1" s="2585"/>
      <c r="H1" s="2585"/>
      <c r="I1" s="2585"/>
      <c r="J1" s="1178"/>
    </row>
    <row r="2" spans="2:10" s="295" customFormat="1" ht="12.75" customHeight="1" x14ac:dyDescent="0.2">
      <c r="B2" s="2586">
        <f>'Single Audit Cover'!E7</f>
        <v>32000000040</v>
      </c>
      <c r="C2" s="2587"/>
      <c r="D2" s="2587"/>
      <c r="E2" s="2587"/>
      <c r="F2" s="2587"/>
      <c r="G2" s="2587"/>
      <c r="H2" s="2587"/>
      <c r="I2" s="2587"/>
      <c r="J2" s="1178"/>
    </row>
    <row r="3" spans="2:10" s="295" customFormat="1" ht="12.75" customHeight="1" x14ac:dyDescent="0.2">
      <c r="B3" s="2588" t="s">
        <v>1274</v>
      </c>
      <c r="C3" s="2589"/>
      <c r="D3" s="2589"/>
      <c r="E3" s="2589"/>
      <c r="F3" s="2589"/>
      <c r="G3" s="2589"/>
      <c r="H3" s="2589"/>
      <c r="I3" s="2589"/>
      <c r="J3" s="1179"/>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8" t="s">
        <v>1273</v>
      </c>
      <c r="C7" s="2589"/>
      <c r="D7" s="2589"/>
      <c r="E7" s="2589"/>
      <c r="F7" s="2589"/>
      <c r="G7" s="2589"/>
      <c r="H7" s="2589"/>
      <c r="I7" s="258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0"/>
      <c r="D11" s="259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1"/>
      <c r="E29" s="2591"/>
      <c r="F29" s="2591"/>
      <c r="G29" s="2591"/>
      <c r="H29" s="2591"/>
      <c r="I29" s="259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2" t="s">
        <v>1728</v>
      </c>
      <c r="D37" s="2593"/>
      <c r="E37" s="2593"/>
      <c r="F37" s="2594"/>
      <c r="G37" s="2592" t="s">
        <v>1575</v>
      </c>
      <c r="H37" s="2593"/>
      <c r="I37" s="2594"/>
    </row>
    <row r="38" spans="2:9" ht="16.5" customHeight="1" x14ac:dyDescent="0.2">
      <c r="B38" s="1200"/>
      <c r="C38" s="2580"/>
      <c r="D38" s="2581"/>
      <c r="E38" s="2581"/>
      <c r="F38" s="2582"/>
      <c r="G38" s="2595"/>
      <c r="H38" s="2596"/>
      <c r="I38" s="2597"/>
    </row>
    <row r="39" spans="2:9" ht="16.5" customHeight="1" x14ac:dyDescent="0.2">
      <c r="B39" s="1200"/>
      <c r="C39" s="2580"/>
      <c r="D39" s="2581"/>
      <c r="E39" s="2581"/>
      <c r="F39" s="2582"/>
      <c r="G39" s="2583"/>
      <c r="H39" s="2583"/>
      <c r="I39" s="2583"/>
    </row>
    <row r="40" spans="2:9" ht="16.5" customHeight="1" x14ac:dyDescent="0.2">
      <c r="B40" s="1200"/>
      <c r="C40" s="2580"/>
      <c r="D40" s="2581"/>
      <c r="E40" s="2581"/>
      <c r="F40" s="2582"/>
      <c r="G40" s="2583"/>
      <c r="H40" s="2583"/>
      <c r="I40" s="2583"/>
    </row>
    <row r="41" spans="2:9" ht="16.5" customHeight="1" x14ac:dyDescent="0.2">
      <c r="B41" s="1200"/>
      <c r="C41" s="2580"/>
      <c r="D41" s="2581"/>
      <c r="E41" s="2581"/>
      <c r="F41" s="2582"/>
      <c r="G41" s="2583"/>
      <c r="H41" s="2583"/>
      <c r="I41" s="2583"/>
    </row>
    <row r="42" spans="2:9" ht="16.5" customHeight="1" x14ac:dyDescent="0.2">
      <c r="B42" s="1200"/>
      <c r="C42" s="2580"/>
      <c r="D42" s="2581"/>
      <c r="E42" s="2581"/>
      <c r="F42" s="2582"/>
      <c r="G42" s="2583"/>
      <c r="H42" s="2583"/>
      <c r="I42" s="2583"/>
    </row>
    <row r="43" spans="2:9" ht="16.5" customHeight="1" x14ac:dyDescent="0.2">
      <c r="B43" s="1200"/>
      <c r="C43" s="2598" t="s">
        <v>1576</v>
      </c>
      <c r="D43" s="2599"/>
      <c r="E43" s="2599"/>
      <c r="F43" s="2600"/>
      <c r="G43" s="2601">
        <f>SUM(G38:I42)</f>
        <v>0</v>
      </c>
      <c r="H43" s="2601"/>
      <c r="I43" s="2601"/>
    </row>
    <row r="44" spans="2:9" ht="12.75" customHeight="1" x14ac:dyDescent="0.2"/>
    <row r="45" spans="2:9" ht="12.75" customHeight="1" x14ac:dyDescent="0.2">
      <c r="B45" s="1916" t="str">
        <f>"Total Federal Expenditures for 7/1/"&amp;MID('AFR20'!E2,3,2)-1&amp;"-6/30/"&amp;MID('AFR20'!E2,3,2)</f>
        <v>Total Federal Expenditures for 7/1/19-6/30/20</v>
      </c>
      <c r="C45" s="1917"/>
      <c r="D45" s="2602">
        <v>0</v>
      </c>
      <c r="E45" s="260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4"/>
      <c r="F49" s="2604"/>
      <c r="G49" s="260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Kankakee Area Career Center</v>
      </c>
      <c r="C1" s="2584"/>
      <c r="D1" s="2584"/>
      <c r="E1" s="2584"/>
      <c r="F1" s="2584"/>
      <c r="G1" s="2584"/>
      <c r="H1" s="2584"/>
      <c r="I1" s="2584"/>
      <c r="J1" s="2584"/>
      <c r="K1" s="2584"/>
      <c r="L1" s="1144"/>
      <c r="M1" s="1144"/>
    </row>
    <row r="2" spans="1:13" ht="12" customHeight="1" x14ac:dyDescent="0.2">
      <c r="B2" s="2586">
        <f>'Single Audit Cover'!E7</f>
        <v>32000000040</v>
      </c>
      <c r="C2" s="2586"/>
      <c r="D2" s="2586"/>
      <c r="E2" s="2586"/>
      <c r="F2" s="2586"/>
      <c r="G2" s="2586"/>
      <c r="H2" s="2586"/>
      <c r="I2" s="2586"/>
      <c r="J2" s="2586"/>
      <c r="K2" s="2586"/>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0"/>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6"/>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5"/>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5"/>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Kankakee Area Career Center</v>
      </c>
      <c r="C1" s="2611"/>
      <c r="D1" s="2611"/>
      <c r="E1" s="2611"/>
      <c r="F1" s="2611"/>
      <c r="G1" s="2611"/>
      <c r="H1" s="2611"/>
      <c r="I1" s="2611"/>
      <c r="J1" s="2611"/>
      <c r="K1" s="2611"/>
      <c r="L1" s="1221"/>
    </row>
    <row r="2" spans="1:12" ht="12.75" customHeight="1" x14ac:dyDescent="0.2">
      <c r="B2" s="2612">
        <f>'Single Audit Cover'!E7</f>
        <v>32000000040</v>
      </c>
      <c r="C2" s="2612"/>
      <c r="D2" s="2612"/>
      <c r="E2" s="2612"/>
      <c r="F2" s="2612"/>
      <c r="G2" s="2612"/>
      <c r="H2" s="2612"/>
      <c r="I2" s="2612"/>
      <c r="J2" s="2612"/>
      <c r="K2" s="2612"/>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3" t="s">
        <v>1297</v>
      </c>
      <c r="C6" s="2613"/>
      <c r="D6" s="2613"/>
      <c r="E6" s="2613"/>
      <c r="F6" s="2613"/>
      <c r="G6" s="2613"/>
      <c r="H6" s="2613"/>
      <c r="I6" s="2613"/>
      <c r="J6" s="2613"/>
      <c r="K6" s="261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1"/>
      <c r="G12" s="2591"/>
      <c r="H12" s="2591"/>
      <c r="I12" s="2591"/>
      <c r="J12" s="2591"/>
      <c r="K12" s="259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4" t="str">
        <f>'Single Audit Cover'!A7</f>
        <v xml:space="preserve"> Kankakee Area Career Center</v>
      </c>
      <c r="C1" s="2584"/>
      <c r="D1" s="2584"/>
      <c r="E1" s="1240"/>
    </row>
    <row r="2" spans="2:5" s="1058" customFormat="1" ht="12.75" customHeight="1" x14ac:dyDescent="0.2">
      <c r="B2" s="2586">
        <f>'Single Audit Cover'!E7</f>
        <v>32000000040</v>
      </c>
      <c r="C2" s="2586"/>
      <c r="D2" s="2586"/>
      <c r="E2" s="1241"/>
    </row>
    <row r="3" spans="2:5" ht="12.75" customHeight="1" x14ac:dyDescent="0.2">
      <c r="B3" s="2607" t="s">
        <v>1743</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2187905</v>
      </c>
      <c r="E16" s="1547"/>
      <c r="F16" s="1546">
        <f>SUM('Acct Summary 7-8'!C17,'Acct Summary 7-8'!D17,'Acct Summary 7-8'!F17)</f>
        <v>2310205</v>
      </c>
      <c r="G16" s="1547"/>
      <c r="H16" s="1546">
        <f>SUM(D16-F16)</f>
        <v>-122300</v>
      </c>
      <c r="I16" s="1548"/>
      <c r="J16" s="1546">
        <f>SUM('Acct Summary 7-8'!C81,'Acct Summary 7-8'!D81,'Acct Summary 7-8'!F81,'Acct Summary 7-8'!I81)</f>
        <v>1830221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Kankakee Area Career Center</v>
      </c>
      <c r="E7" s="368"/>
      <c r="G7" s="247"/>
      <c r="H7" s="364"/>
      <c r="I7" s="364"/>
      <c r="J7" s="364"/>
      <c r="K7" s="364"/>
      <c r="L7" s="307"/>
      <c r="M7" s="307"/>
      <c r="N7" s="307"/>
      <c r="O7" s="307"/>
      <c r="P7" s="307"/>
    </row>
    <row r="8" spans="1:18" ht="12.75" x14ac:dyDescent="0.2">
      <c r="A8" s="307"/>
      <c r="B8" s="307"/>
      <c r="C8" s="366" t="s">
        <v>1115</v>
      </c>
      <c r="D8" s="369">
        <f>COVER!A13</f>
        <v>32000000040</v>
      </c>
      <c r="E8" s="370"/>
      <c r="G8" s="307"/>
      <c r="H8" s="307"/>
      <c r="I8" s="307"/>
      <c r="J8" s="307"/>
      <c r="K8" s="307"/>
      <c r="L8" s="307"/>
      <c r="M8" s="307"/>
      <c r="N8" s="307"/>
      <c r="O8" s="307"/>
      <c r="P8" s="307"/>
    </row>
    <row r="9" spans="1:18" ht="12.75" x14ac:dyDescent="0.2">
      <c r="A9" s="307"/>
      <c r="B9" s="307"/>
      <c r="C9" s="366" t="s">
        <v>708</v>
      </c>
      <c r="D9" s="371" t="str">
        <f>COVER!A15</f>
        <v xml:space="preserve">Kankakee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1830221</v>
      </c>
      <c r="I12" s="380"/>
      <c r="J12" s="380"/>
      <c r="K12" s="1559">
        <f>TRUNC((H12/H13*100000),5)/100000</f>
        <v>0.83651758180000002</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2187905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2310205</v>
      </c>
      <c r="I17" s="380"/>
      <c r="J17" s="389"/>
      <c r="K17" s="1559">
        <f>TRUNC((H17/H18*100000),5)/100000</f>
        <v>1.0558982222</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2187905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13.176046599999999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1830221</v>
      </c>
      <c r="I24" s="394"/>
      <c r="J24" s="394"/>
      <c r="K24" s="1555">
        <f>TRUNC(((H24/H25*100000)/100000),2)</f>
        <v>285.2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6417.2361099999998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M17" sqref="M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6"/>
      <c r="D3" s="1307"/>
      <c r="E3" s="1307"/>
      <c r="F3" s="1307"/>
      <c r="G3" s="1307"/>
      <c r="H3" s="1307"/>
      <c r="I3" s="1307"/>
      <c r="J3" s="1307"/>
      <c r="K3" s="1307"/>
      <c r="L3" s="1307"/>
      <c r="M3" s="1308"/>
      <c r="N3" s="1309"/>
    </row>
    <row r="4" spans="1:14" ht="13.5" customHeight="1" x14ac:dyDescent="0.2">
      <c r="A4" s="427" t="s">
        <v>1632</v>
      </c>
      <c r="B4" s="428"/>
      <c r="C4" s="1572">
        <v>1694331</v>
      </c>
      <c r="D4" s="1573">
        <v>73180</v>
      </c>
      <c r="E4" s="1573"/>
      <c r="F4" s="1573">
        <v>62710</v>
      </c>
      <c r="G4" s="1573"/>
      <c r="H4" s="1573"/>
      <c r="I4" s="1573"/>
      <c r="J4" s="1574"/>
      <c r="K4" s="1573"/>
      <c r="L4" s="1573">
        <v>52960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1694331</v>
      </c>
      <c r="D13" s="1587">
        <f t="shared" ref="D13:L13" si="0">SUM(D4:D12)</f>
        <v>73180</v>
      </c>
      <c r="E13" s="1587">
        <f t="shared" si="0"/>
        <v>0</v>
      </c>
      <c r="F13" s="1587">
        <f t="shared" si="0"/>
        <v>62710</v>
      </c>
      <c r="G13" s="1587">
        <f t="shared" si="0"/>
        <v>0</v>
      </c>
      <c r="H13" s="1587">
        <f t="shared" si="0"/>
        <v>0</v>
      </c>
      <c r="I13" s="1587">
        <f t="shared" si="0"/>
        <v>0</v>
      </c>
      <c r="J13" s="1587">
        <f t="shared" si="0"/>
        <v>0</v>
      </c>
      <c r="K13" s="1587">
        <f t="shared" si="0"/>
        <v>0</v>
      </c>
      <c r="L13" s="1587">
        <f t="shared" si="0"/>
        <v>52960</v>
      </c>
      <c r="M13" s="1575"/>
      <c r="N13" s="1576"/>
    </row>
    <row r="14" spans="1:14" ht="18" customHeight="1" thickTop="1" x14ac:dyDescent="0.2">
      <c r="A14" s="2213" t="s">
        <v>146</v>
      </c>
      <c r="B14" s="221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284504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3333419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465792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1960273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6043988</v>
      </c>
      <c r="N23" s="1594">
        <f>SUM(N21:N22)</f>
        <v>0</v>
      </c>
    </row>
    <row r="24" spans="1:14" ht="18" customHeight="1" thickTop="1" x14ac:dyDescent="0.2">
      <c r="A24" s="2215" t="s">
        <v>594</v>
      </c>
      <c r="B24" s="221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52960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52960</v>
      </c>
      <c r="M34" s="1575"/>
      <c r="N34" s="1585"/>
    </row>
    <row r="35" spans="1:14" ht="18" customHeight="1" thickTop="1" x14ac:dyDescent="0.2">
      <c r="A35" s="2217" t="s">
        <v>526</v>
      </c>
      <c r="B35" s="221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1694331</v>
      </c>
      <c r="D39" s="1573">
        <v>73180</v>
      </c>
      <c r="E39" s="1573"/>
      <c r="F39" s="1573">
        <v>62710</v>
      </c>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6043988</v>
      </c>
      <c r="N40" s="1604"/>
    </row>
    <row r="41" spans="1:14" ht="13.5" customHeight="1" thickBot="1" x14ac:dyDescent="0.25">
      <c r="A41" s="1426" t="s">
        <v>650</v>
      </c>
      <c r="B41" s="1405"/>
      <c r="C41" s="1594">
        <f>(SUM(C34,C37,C38,C39))</f>
        <v>1694331</v>
      </c>
      <c r="D41" s="1594">
        <f t="shared" ref="D41:L41" si="2">SUM(D34,D37,D38:D39)</f>
        <v>73180</v>
      </c>
      <c r="E41" s="1594">
        <f t="shared" si="2"/>
        <v>0</v>
      </c>
      <c r="F41" s="1594">
        <f t="shared" si="2"/>
        <v>62710</v>
      </c>
      <c r="G41" s="1594">
        <f t="shared" si="2"/>
        <v>0</v>
      </c>
      <c r="H41" s="1594">
        <f t="shared" si="2"/>
        <v>0</v>
      </c>
      <c r="I41" s="1594">
        <f t="shared" si="2"/>
        <v>0</v>
      </c>
      <c r="J41" s="1594">
        <f t="shared" si="2"/>
        <v>0</v>
      </c>
      <c r="K41" s="1594">
        <f t="shared" si="2"/>
        <v>0</v>
      </c>
      <c r="L41" s="1594">
        <f t="shared" si="2"/>
        <v>52960</v>
      </c>
      <c r="M41" s="1594">
        <f>SUM(M40)</f>
        <v>6043988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0" sqref="C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1165</v>
      </c>
      <c r="B3" s="2240"/>
      <c r="C3" s="1311"/>
      <c r="D3" s="1312"/>
      <c r="E3" s="1312"/>
      <c r="F3" s="1312"/>
      <c r="G3" s="1312"/>
      <c r="H3" s="1312"/>
      <c r="I3" s="1312"/>
      <c r="J3" s="1312"/>
      <c r="K3" s="1313"/>
      <c r="L3" s="446"/>
    </row>
    <row r="4" spans="1:13" ht="15.75" customHeight="1" x14ac:dyDescent="0.2">
      <c r="A4" s="1537" t="s">
        <v>1482</v>
      </c>
      <c r="B4" s="1538">
        <v>1000</v>
      </c>
      <c r="C4" s="1606">
        <f>'Revenues 9-14'!C109</f>
        <v>1093503</v>
      </c>
      <c r="D4" s="1606">
        <f>'Revenues 9-14'!D109</f>
        <v>359588</v>
      </c>
      <c r="E4" s="1606">
        <f>'Revenues 9-14'!E109</f>
        <v>0</v>
      </c>
      <c r="F4" s="1606">
        <f>'Revenues 9-14'!F109</f>
        <v>2000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706791</v>
      </c>
      <c r="D6" s="1607">
        <f>'Revenues 9-14'!D170</f>
        <v>0</v>
      </c>
      <c r="E6" s="1607">
        <f>'Revenues 9-14'!E170</f>
        <v>0</v>
      </c>
      <c r="F6" s="1607">
        <f>'Revenues 9-14'!F170</f>
        <v>26023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1800294</v>
      </c>
      <c r="D8" s="1594">
        <f t="shared" ref="D8:K8" si="0">SUM(D4:D7)</f>
        <v>359588</v>
      </c>
      <c r="E8" s="1594">
        <f t="shared" si="0"/>
        <v>0</v>
      </c>
      <c r="F8" s="1594">
        <f t="shared" si="0"/>
        <v>28023</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945556</v>
      </c>
      <c r="D9" s="1613"/>
      <c r="E9" s="1586"/>
      <c r="F9" s="1586"/>
      <c r="G9" s="1614"/>
      <c r="H9" s="1586"/>
      <c r="I9" s="1609" t="s">
        <v>1159</v>
      </c>
      <c r="J9" s="1583"/>
      <c r="K9" s="1586"/>
      <c r="L9" s="325"/>
    </row>
    <row r="10" spans="1:13" s="452" customFormat="1" ht="13.5" thickBot="1" x14ac:dyDescent="0.25">
      <c r="A10" s="1426" t="s">
        <v>1163</v>
      </c>
      <c r="B10" s="1407"/>
      <c r="C10" s="1594">
        <f>SUM(C8:C9)</f>
        <v>2745850</v>
      </c>
      <c r="D10" s="1594">
        <f t="shared" ref="D10:K10" si="1">SUM(D8:D9)</f>
        <v>359588</v>
      </c>
      <c r="E10" s="1594">
        <f t="shared" si="1"/>
        <v>0</v>
      </c>
      <c r="F10" s="1594">
        <f t="shared" si="1"/>
        <v>28023</v>
      </c>
      <c r="G10" s="1594">
        <f t="shared" si="1"/>
        <v>0</v>
      </c>
      <c r="H10" s="1594">
        <f t="shared" si="1"/>
        <v>0</v>
      </c>
      <c r="I10" s="1594">
        <f t="shared" si="1"/>
        <v>0</v>
      </c>
      <c r="J10" s="1594">
        <f t="shared" si="1"/>
        <v>0</v>
      </c>
      <c r="K10" s="1594">
        <f t="shared" si="1"/>
        <v>0</v>
      </c>
      <c r="L10" s="451"/>
    </row>
    <row r="11" spans="1:13" s="452" customFormat="1" ht="16.7" customHeight="1" thickTop="1" x14ac:dyDescent="0.2">
      <c r="A11" s="2213" t="s">
        <v>1166</v>
      </c>
      <c r="B11" s="2214"/>
      <c r="C11" s="1602"/>
      <c r="D11" s="1603"/>
      <c r="E11" s="1603"/>
      <c r="F11" s="1603"/>
      <c r="G11" s="1603"/>
      <c r="H11" s="1603"/>
      <c r="I11" s="1603"/>
      <c r="J11" s="1603"/>
      <c r="K11" s="1615"/>
      <c r="L11" s="451"/>
    </row>
    <row r="12" spans="1:13" ht="15.75" customHeight="1" x14ac:dyDescent="0.2">
      <c r="A12" s="1314" t="s">
        <v>453</v>
      </c>
      <c r="B12" s="1316">
        <v>1000</v>
      </c>
      <c r="C12" s="1606">
        <f>'Expenditures 15-22'!K33</f>
        <v>1355797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572282</v>
      </c>
      <c r="D13" s="1607">
        <f>'Expenditures 15-22'!K129</f>
        <v>343971</v>
      </c>
      <c r="E13" s="1576" t="s">
        <v>1159</v>
      </c>
      <c r="F13" s="1607">
        <f>'Expenditures 15-22'!K184</f>
        <v>38155</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1928079</v>
      </c>
      <c r="D17" s="1594">
        <f t="shared" si="2"/>
        <v>343971</v>
      </c>
      <c r="E17" s="1594">
        <f t="shared" si="2"/>
        <v>0</v>
      </c>
      <c r="F17" s="1594">
        <f t="shared" si="2"/>
        <v>38155</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945556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2873635</v>
      </c>
      <c r="D19" s="1594">
        <f t="shared" si="4"/>
        <v>343971</v>
      </c>
      <c r="E19" s="1594">
        <f t="shared" si="4"/>
        <v>0</v>
      </c>
      <c r="F19" s="1594">
        <f t="shared" si="4"/>
        <v>38155</v>
      </c>
      <c r="G19" s="1594">
        <f t="shared" si="4"/>
        <v>0</v>
      </c>
      <c r="H19" s="1594">
        <f t="shared" si="4"/>
        <v>0</v>
      </c>
      <c r="I19" s="1575"/>
      <c r="J19" s="1594">
        <f>SUM(J17:J18)</f>
        <v>0</v>
      </c>
      <c r="K19" s="1594">
        <f>SUM(K17:K18)</f>
        <v>0</v>
      </c>
      <c r="L19" s="325"/>
    </row>
    <row r="20" spans="1:12" ht="16.5" thickTop="1" thickBot="1" x14ac:dyDescent="0.25">
      <c r="A20" s="2229" t="s">
        <v>1636</v>
      </c>
      <c r="B20" s="2230"/>
      <c r="C20" s="1622">
        <f>C8-C17</f>
        <v>-127785</v>
      </c>
      <c r="D20" s="1622">
        <f t="shared" ref="D20:K20" si="5">D8-D17</f>
        <v>15617</v>
      </c>
      <c r="E20" s="1622">
        <f t="shared" si="5"/>
        <v>0</v>
      </c>
      <c r="F20" s="1622">
        <f t="shared" si="5"/>
        <v>-10132</v>
      </c>
      <c r="G20" s="1622">
        <f t="shared" si="5"/>
        <v>0</v>
      </c>
      <c r="H20" s="1622">
        <f t="shared" si="5"/>
        <v>0</v>
      </c>
      <c r="I20" s="1622">
        <f t="shared" si="5"/>
        <v>0</v>
      </c>
      <c r="J20" s="1622">
        <f t="shared" si="5"/>
        <v>0</v>
      </c>
      <c r="K20" s="1622">
        <f t="shared" si="5"/>
        <v>0</v>
      </c>
      <c r="L20" s="325"/>
    </row>
    <row r="21" spans="1:12" ht="16.7" customHeight="1" thickTop="1" x14ac:dyDescent="0.2">
      <c r="A21" s="2241" t="s">
        <v>591</v>
      </c>
      <c r="B21" s="2242"/>
      <c r="C21" s="1602"/>
      <c r="D21" s="1603"/>
      <c r="E21" s="1603"/>
      <c r="F21" s="1603"/>
      <c r="G21" s="1603"/>
      <c r="H21" s="1603"/>
      <c r="I21" s="1603"/>
      <c r="J21" s="1603"/>
      <c r="K21" s="1615"/>
      <c r="L21" s="453"/>
    </row>
    <row r="22" spans="1:12" ht="15.75" customHeight="1" collapsed="1" x14ac:dyDescent="0.2">
      <c r="A22" s="2237" t="s">
        <v>592</v>
      </c>
      <c r="B22" s="2238"/>
      <c r="C22" s="1582"/>
      <c r="D22" s="1582"/>
      <c r="E22" s="1582"/>
      <c r="F22" s="1582"/>
      <c r="G22" s="1582"/>
      <c r="H22" s="1582"/>
      <c r="I22" s="1582"/>
      <c r="J22" s="1582"/>
      <c r="K22" s="1582"/>
      <c r="L22" s="325"/>
    </row>
    <row r="23" spans="1:12" s="433" customFormat="1" ht="15.75" customHeight="1" x14ac:dyDescent="0.2">
      <c r="A23" s="2233" t="s">
        <v>290</v>
      </c>
      <c r="B23" s="223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5" t="s">
        <v>974</v>
      </c>
      <c r="B32" s="223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3" t="s">
        <v>371</v>
      </c>
      <c r="B44" s="224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7" t="s">
        <v>108</v>
      </c>
      <c r="B45" s="2238"/>
      <c r="C45" s="1625"/>
      <c r="D45" s="1625"/>
      <c r="E45" s="1625"/>
      <c r="F45" s="1625"/>
      <c r="G45" s="1625"/>
      <c r="H45" s="1625"/>
      <c r="I45" s="1625"/>
      <c r="J45" s="1625"/>
      <c r="K45" s="1625"/>
      <c r="L45" s="325"/>
    </row>
    <row r="46" spans="1:12" s="433" customFormat="1" ht="15.75" customHeight="1" x14ac:dyDescent="0.2">
      <c r="A46" s="2245" t="s">
        <v>109</v>
      </c>
      <c r="B46" s="224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9" t="s">
        <v>437</v>
      </c>
      <c r="B76" s="222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1" t="s">
        <v>1167</v>
      </c>
      <c r="B77" s="222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5" t="s">
        <v>593</v>
      </c>
      <c r="B78" s="2226"/>
      <c r="C78" s="1629">
        <f t="shared" ref="C78:K78" si="9">C20+C77</f>
        <v>-127785</v>
      </c>
      <c r="D78" s="1629">
        <f t="shared" si="9"/>
        <v>15617</v>
      </c>
      <c r="E78" s="1629">
        <f t="shared" si="9"/>
        <v>0</v>
      </c>
      <c r="F78" s="1629">
        <f t="shared" si="9"/>
        <v>-10132</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1822116</v>
      </c>
      <c r="D79" s="1630">
        <v>57563</v>
      </c>
      <c r="E79" s="1630"/>
      <c r="F79" s="1630">
        <v>72842</v>
      </c>
      <c r="G79" s="1630"/>
      <c r="H79" s="1630"/>
      <c r="I79" s="1630"/>
      <c r="J79" s="1630"/>
      <c r="K79" s="1630"/>
      <c r="L79" s="325"/>
    </row>
    <row r="80" spans="1:12" x14ac:dyDescent="0.2">
      <c r="A80" s="2231" t="s">
        <v>1772</v>
      </c>
      <c r="B80" s="2232"/>
      <c r="C80" s="1574"/>
      <c r="D80" s="1574"/>
      <c r="E80" s="1574"/>
      <c r="F80" s="1574"/>
      <c r="G80" s="1574"/>
      <c r="H80" s="1574"/>
      <c r="I80" s="1574"/>
      <c r="J80" s="1574"/>
      <c r="K80" s="1574"/>
      <c r="L80" s="325"/>
    </row>
    <row r="81" spans="1:12" ht="13.5" thickBot="1" x14ac:dyDescent="0.25">
      <c r="A81" s="2223" t="str">
        <f>"Fund Balances - June 30, "&amp;'AFR20'!E2</f>
        <v>Fund Balances - June 30, 2020</v>
      </c>
      <c r="B81" s="2224"/>
      <c r="C81" s="1594">
        <f>(SUM(C78:C80))</f>
        <v>1694331</v>
      </c>
      <c r="D81" s="1594">
        <f>SUM(D78:D80)</f>
        <v>73180</v>
      </c>
      <c r="E81" s="1594">
        <f t="shared" ref="E81:K81" si="10">SUM(E78:E80)</f>
        <v>0</v>
      </c>
      <c r="F81" s="1594">
        <f t="shared" si="10"/>
        <v>62710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-127785</v>
      </c>
      <c r="D82" s="461">
        <f t="shared" ref="D82:K82" si="11">(D81-D79)</f>
        <v>15617</v>
      </c>
      <c r="E82" s="461">
        <f t="shared" si="11"/>
        <v>0</v>
      </c>
      <c r="F82" s="461">
        <f t="shared" si="11"/>
        <v>-10132</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-7.5419147734415534E-2</v>
      </c>
      <c r="D83" s="463">
        <f t="shared" ref="D83:K83" si="12">D82/D81</f>
        <v>0.21340530199508062</v>
      </c>
      <c r="E83" s="463" t="e">
        <f t="shared" si="12"/>
        <v>#DIV/0!</v>
      </c>
      <c r="F83" s="463">
        <f t="shared" si="12"/>
        <v>-0.16156912773082444</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 activePane="bottomLeft" state="frozen"/>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1779</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7785</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845356</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v>89251</v>
      </c>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942392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3724</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3724</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75032</v>
      </c>
      <c r="D81" s="1573"/>
      <c r="E81" s="1575"/>
      <c r="F81" s="1575"/>
      <c r="G81" s="1575"/>
      <c r="H81" s="1575"/>
      <c r="I81" s="1575"/>
      <c r="J81" s="1575"/>
      <c r="K81" s="1575"/>
    </row>
    <row r="82" spans="1:11" ht="12.75" customHeight="1" thickBot="1" x14ac:dyDescent="0.25">
      <c r="A82" s="1406" t="s">
        <v>239</v>
      </c>
      <c r="B82" s="1407"/>
      <c r="C82" s="1633">
        <f>SUM(C77:C81)</f>
        <v>75032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58964</v>
      </c>
      <c r="D104" s="1573">
        <v>359588</v>
      </c>
      <c r="E104" s="1586"/>
      <c r="F104" s="1574">
        <v>2000</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13391</v>
      </c>
      <c r="D107" s="1573"/>
      <c r="E107" s="1573"/>
      <c r="F107" s="1573"/>
      <c r="G107" s="1573"/>
      <c r="H107" s="1573"/>
      <c r="I107" s="1573"/>
      <c r="J107" s="1574"/>
      <c r="K107" s="1573"/>
    </row>
    <row r="108" spans="1:12" ht="12.75" customHeight="1" thickBot="1" x14ac:dyDescent="0.25">
      <c r="A108" s="1406" t="s">
        <v>484</v>
      </c>
      <c r="B108" s="1408"/>
      <c r="C108" s="1633">
        <f>SUM(C95:C107)</f>
        <v>72355</v>
      </c>
      <c r="D108" s="1633">
        <f t="shared" ref="D108:K108" si="3">SUM(D95:D107)</f>
        <v>359588</v>
      </c>
      <c r="E108" s="1633">
        <f t="shared" si="3"/>
        <v>0</v>
      </c>
      <c r="F108" s="1633">
        <f t="shared" si="3"/>
        <v>2000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1093503</v>
      </c>
      <c r="D109" s="1641">
        <f t="shared" si="4"/>
        <v>359588</v>
      </c>
      <c r="E109" s="1641">
        <f t="shared" si="4"/>
        <v>0</v>
      </c>
      <c r="F109" s="1641">
        <f t="shared" si="4"/>
        <v>2000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v>706791</v>
      </c>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706791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26023</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26023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7" t="s">
        <v>395</v>
      </c>
      <c r="B169" s="2248"/>
      <c r="C169" s="1658">
        <f t="shared" ref="C169:K169" si="6">SUM(C132,C141,C145,C146:C150,C155,C156:C167,C168)</f>
        <v>706791</v>
      </c>
      <c r="D169" s="1658">
        <f t="shared" si="6"/>
        <v>0</v>
      </c>
      <c r="E169" s="1658">
        <f t="shared" si="6"/>
        <v>0</v>
      </c>
      <c r="F169" s="1658">
        <f t="shared" si="6"/>
        <v>26023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706791</v>
      </c>
      <c r="D170" s="1641">
        <f t="shared" si="7"/>
        <v>0</v>
      </c>
      <c r="E170" s="1641">
        <f t="shared" si="7"/>
        <v>0</v>
      </c>
      <c r="F170" s="1641">
        <f t="shared" si="7"/>
        <v>26023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9" t="s">
        <v>1475</v>
      </c>
      <c r="B172" s="225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3" t="s">
        <v>1646</v>
      </c>
      <c r="B175" s="225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7" t="s">
        <v>1645</v>
      </c>
      <c r="B176" s="225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5" t="s">
        <v>780</v>
      </c>
      <c r="B181" s="225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1" t="s">
        <v>1780</v>
      </c>
      <c r="B182" s="225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1800294</v>
      </c>
      <c r="D268" s="1641">
        <f t="shared" si="12"/>
        <v>359588</v>
      </c>
      <c r="E268" s="1641">
        <f t="shared" si="12"/>
        <v>0</v>
      </c>
      <c r="F268" s="1641">
        <f t="shared" si="12"/>
        <v>28023</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 activePane="bottomLeft" state="frozen"/>
      <selection pane="bottomLeft" activeCell="L41" sqref="L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934727</v>
      </c>
      <c r="D5" s="1573">
        <v>231676</v>
      </c>
      <c r="E5" s="1573">
        <v>36911</v>
      </c>
      <c r="F5" s="1573">
        <v>82585</v>
      </c>
      <c r="G5" s="1573">
        <v>31408</v>
      </c>
      <c r="H5" s="1573">
        <v>2437</v>
      </c>
      <c r="I5" s="1574"/>
      <c r="J5" s="1574"/>
      <c r="K5" s="1672">
        <f>SUM(C5:J5)</f>
        <v>1319744</v>
      </c>
      <c r="L5" s="1573">
        <v>1387909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v>36053</v>
      </c>
      <c r="G14" s="1573"/>
      <c r="H14" s="1573"/>
      <c r="I14" s="1574"/>
      <c r="J14" s="1574"/>
      <c r="K14" s="1672">
        <f t="shared" si="0"/>
        <v>36053</v>
      </c>
      <c r="L14" s="1573">
        <v>70000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934727</v>
      </c>
      <c r="D33" s="1674">
        <f t="shared" ref="D33:L33" si="1">SUM(D5:D32)</f>
        <v>231676</v>
      </c>
      <c r="E33" s="1674">
        <f t="shared" si="1"/>
        <v>36911</v>
      </c>
      <c r="F33" s="1674">
        <f t="shared" si="1"/>
        <v>118638</v>
      </c>
      <c r="G33" s="1674">
        <f t="shared" si="1"/>
        <v>31408</v>
      </c>
      <c r="H33" s="1674">
        <f t="shared" si="1"/>
        <v>2437</v>
      </c>
      <c r="I33" s="1674">
        <f t="shared" si="1"/>
        <v>0</v>
      </c>
      <c r="J33" s="1674">
        <f t="shared" si="1"/>
        <v>0</v>
      </c>
      <c r="K33" s="1674">
        <f t="shared" si="1"/>
        <v>1355797</v>
      </c>
      <c r="L33" s="1674">
        <f t="shared" si="1"/>
        <v>1457909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v>2099</v>
      </c>
      <c r="G45" s="1573"/>
      <c r="H45" s="1573"/>
      <c r="I45" s="1574"/>
      <c r="J45" s="1574"/>
      <c r="K45" s="1678">
        <f>SUM(C45:J45)</f>
        <v>2099</v>
      </c>
      <c r="L45" s="1573">
        <v>2000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2099</v>
      </c>
      <c r="G47" s="1674">
        <f t="shared" si="4"/>
        <v>0</v>
      </c>
      <c r="H47" s="1674">
        <f t="shared" si="4"/>
        <v>0</v>
      </c>
      <c r="I47" s="1674">
        <f t="shared" si="4"/>
        <v>0</v>
      </c>
      <c r="J47" s="1674">
        <f t="shared" si="4"/>
        <v>0</v>
      </c>
      <c r="K47" s="1674">
        <f t="shared" si="4"/>
        <v>2099</v>
      </c>
      <c r="L47" s="1674">
        <f>SUM(L44:L46)</f>
        <v>2000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27426</v>
      </c>
      <c r="F49" s="1586"/>
      <c r="G49" s="1586"/>
      <c r="H49" s="1586">
        <v>129</v>
      </c>
      <c r="I49" s="1574"/>
      <c r="J49" s="1574"/>
      <c r="K49" s="1678">
        <f>SUM(C49:J49)</f>
        <v>27555</v>
      </c>
      <c r="L49" s="1586">
        <v>26500</v>
      </c>
    </row>
    <row r="50" spans="1:14" x14ac:dyDescent="0.2">
      <c r="A50" s="1274" t="s">
        <v>813</v>
      </c>
      <c r="B50" s="503">
        <v>2320</v>
      </c>
      <c r="C50" s="1573">
        <v>211988</v>
      </c>
      <c r="D50" s="1573">
        <v>74749</v>
      </c>
      <c r="E50" s="1573">
        <v>46943</v>
      </c>
      <c r="F50" s="1573">
        <v>13879</v>
      </c>
      <c r="G50" s="1573"/>
      <c r="H50" s="1573"/>
      <c r="I50" s="1574"/>
      <c r="J50" s="1574"/>
      <c r="K50" s="1678">
        <f>SUM(C50:J50)</f>
        <v>347559</v>
      </c>
      <c r="L50" s="1573">
        <v>345464</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211988</v>
      </c>
      <c r="D53" s="1674">
        <f t="shared" ref="D53:L53" si="5">SUM(D49:D52)</f>
        <v>74749</v>
      </c>
      <c r="E53" s="1674">
        <f t="shared" si="5"/>
        <v>74369</v>
      </c>
      <c r="F53" s="1674">
        <f t="shared" si="5"/>
        <v>13879</v>
      </c>
      <c r="G53" s="1674">
        <f t="shared" si="5"/>
        <v>0</v>
      </c>
      <c r="H53" s="1674">
        <f t="shared" si="5"/>
        <v>129</v>
      </c>
      <c r="I53" s="1674">
        <f t="shared" si="5"/>
        <v>0</v>
      </c>
      <c r="J53" s="1674">
        <f t="shared" si="5"/>
        <v>0</v>
      </c>
      <c r="K53" s="1674">
        <f t="shared" si="5"/>
        <v>375114</v>
      </c>
      <c r="L53" s="1674">
        <f t="shared" si="5"/>
        <v>371964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106507</v>
      </c>
      <c r="D55" s="1586">
        <v>38369</v>
      </c>
      <c r="E55" s="1586">
        <v>10531</v>
      </c>
      <c r="F55" s="1586">
        <v>39662</v>
      </c>
      <c r="G55" s="1586"/>
      <c r="H55" s="1586"/>
      <c r="I55" s="1574"/>
      <c r="J55" s="1574"/>
      <c r="K55" s="1678">
        <f>SUM(C55:J55)</f>
        <v>195069</v>
      </c>
      <c r="L55" s="1586">
        <v>190276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106507</v>
      </c>
      <c r="D57" s="1679">
        <f t="shared" ref="D57:K57" si="6">SUM(D55:D56)</f>
        <v>38369</v>
      </c>
      <c r="E57" s="1679">
        <f t="shared" si="6"/>
        <v>10531</v>
      </c>
      <c r="F57" s="1679">
        <f t="shared" si="6"/>
        <v>39662</v>
      </c>
      <c r="G57" s="1679">
        <f t="shared" si="6"/>
        <v>0</v>
      </c>
      <c r="H57" s="1679">
        <f t="shared" si="6"/>
        <v>0</v>
      </c>
      <c r="I57" s="1679">
        <f t="shared" si="6"/>
        <v>0</v>
      </c>
      <c r="J57" s="1679">
        <f t="shared" si="6"/>
        <v>0</v>
      </c>
      <c r="K57" s="1679">
        <f t="shared" si="6"/>
        <v>195069</v>
      </c>
      <c r="L57" s="1674">
        <f>SUM(L55:L56)</f>
        <v>190276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318495</v>
      </c>
      <c r="D74" s="1681">
        <f t="shared" ref="D74:K74" si="10">SUM(D42,D47,D53,D57,D65,D72,D73)</f>
        <v>113118</v>
      </c>
      <c r="E74" s="1681">
        <f t="shared" si="10"/>
        <v>84900</v>
      </c>
      <c r="F74" s="1681">
        <f t="shared" si="10"/>
        <v>55640</v>
      </c>
      <c r="G74" s="1681">
        <f t="shared" si="10"/>
        <v>0</v>
      </c>
      <c r="H74" s="1681">
        <f t="shared" si="10"/>
        <v>129</v>
      </c>
      <c r="I74" s="1681">
        <f t="shared" si="10"/>
        <v>0</v>
      </c>
      <c r="J74" s="1681">
        <f t="shared" si="10"/>
        <v>0</v>
      </c>
      <c r="K74" s="1681">
        <f t="shared" si="10"/>
        <v>572282</v>
      </c>
      <c r="L74" s="1681">
        <f>SUM(L42,L47,L53,L57,L65,L72,L73)</f>
        <v>564240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v>
      </c>
      <c r="M113" s="502"/>
      <c r="N113" s="502"/>
    </row>
    <row r="114" spans="1:14" ht="12.75" customHeight="1" thickTop="1" thickBot="1" x14ac:dyDescent="0.25">
      <c r="A114" s="1380" t="s">
        <v>48</v>
      </c>
      <c r="B114" s="1388"/>
      <c r="C114" s="1674">
        <f>SUM(C33,C74,C75,C102,C112,C113)</f>
        <v>1253222</v>
      </c>
      <c r="D114" s="1674">
        <f t="shared" ref="D114:K114" si="13">SUM(D33,D74,D75,D102,D112,D113)</f>
        <v>344794</v>
      </c>
      <c r="E114" s="1674">
        <f t="shared" si="13"/>
        <v>121811</v>
      </c>
      <c r="F114" s="1674">
        <f t="shared" si="13"/>
        <v>174278</v>
      </c>
      <c r="G114" s="1674">
        <f t="shared" si="13"/>
        <v>31408</v>
      </c>
      <c r="H114" s="1674">
        <f>SUM(H33,H74,H75,H102,H112,H113)</f>
        <v>2566</v>
      </c>
      <c r="I114" s="1674">
        <f t="shared" si="13"/>
        <v>0</v>
      </c>
      <c r="J114" s="1674">
        <f t="shared" si="13"/>
        <v>0</v>
      </c>
      <c r="K114" s="1674">
        <f t="shared" si="13"/>
        <v>1928079</v>
      </c>
      <c r="L114" s="1674">
        <f>SUM(L33,L74,L75,L102,L112,L113)</f>
        <v>2022649</v>
      </c>
    </row>
    <row r="115" spans="1:14" ht="13.5" thickTop="1" x14ac:dyDescent="0.2">
      <c r="A115" s="2259" t="s">
        <v>989</v>
      </c>
      <c r="B115" s="2260"/>
      <c r="C115" s="1675"/>
      <c r="D115" s="1675"/>
      <c r="E115" s="1675"/>
      <c r="F115" s="1675"/>
      <c r="G115" s="1675"/>
      <c r="H115" s="1675"/>
      <c r="I115" s="1675"/>
      <c r="J115" s="1675"/>
      <c r="K115" s="1689">
        <f>'Revenues 9-14'!C268-'Expenditures 15-22'!K114</f>
        <v>-127785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44284</v>
      </c>
      <c r="D124" s="1573">
        <v>4761</v>
      </c>
      <c r="E124" s="1573">
        <v>154112</v>
      </c>
      <c r="F124" s="1573">
        <v>68702</v>
      </c>
      <c r="G124" s="1573">
        <v>72112</v>
      </c>
      <c r="H124" s="1573"/>
      <c r="I124" s="1574"/>
      <c r="J124" s="1574"/>
      <c r="K124" s="1674">
        <f>SUM(C124:J124)</f>
        <v>343971</v>
      </c>
      <c r="L124" s="1573">
        <v>358588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44284</v>
      </c>
      <c r="D127" s="1674">
        <f t="shared" ref="D127:L127" si="14">SUM(D122:D126)</f>
        <v>4761</v>
      </c>
      <c r="E127" s="1674">
        <f t="shared" si="14"/>
        <v>154112</v>
      </c>
      <c r="F127" s="1674">
        <f t="shared" si="14"/>
        <v>68702</v>
      </c>
      <c r="G127" s="1674">
        <f t="shared" si="14"/>
        <v>72112</v>
      </c>
      <c r="H127" s="1674">
        <f t="shared" si="14"/>
        <v>0</v>
      </c>
      <c r="I127" s="1674">
        <f t="shared" si="14"/>
        <v>0</v>
      </c>
      <c r="J127" s="1674">
        <f t="shared" si="14"/>
        <v>0</v>
      </c>
      <c r="K127" s="1674">
        <f t="shared" si="14"/>
        <v>343971</v>
      </c>
      <c r="L127" s="1674">
        <f t="shared" si="14"/>
        <v>358588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44284</v>
      </c>
      <c r="D129" s="1681">
        <f t="shared" ref="D129:L129" si="15">SUM(D120,D127,D128)</f>
        <v>4761</v>
      </c>
      <c r="E129" s="1681">
        <f t="shared" si="15"/>
        <v>154112</v>
      </c>
      <c r="F129" s="1681">
        <f t="shared" si="15"/>
        <v>68702</v>
      </c>
      <c r="G129" s="1681">
        <f t="shared" si="15"/>
        <v>72112</v>
      </c>
      <c r="H129" s="1681">
        <f t="shared" si="15"/>
        <v>0</v>
      </c>
      <c r="I129" s="1681">
        <f t="shared" si="15"/>
        <v>0</v>
      </c>
      <c r="J129" s="1681">
        <f t="shared" si="15"/>
        <v>0</v>
      </c>
      <c r="K129" s="1681">
        <f t="shared" si="15"/>
        <v>343971</v>
      </c>
      <c r="L129" s="1681">
        <f t="shared" si="15"/>
        <v>358588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v>
      </c>
    </row>
    <row r="151" spans="1:14" ht="12.75" customHeight="1" thickTop="1" thickBot="1" x14ac:dyDescent="0.25">
      <c r="A151" s="2276" t="s">
        <v>616</v>
      </c>
      <c r="B151" s="2256"/>
      <c r="C151" s="1674">
        <f>SUM(C129,C130,C139,C149,C150)</f>
        <v>44284</v>
      </c>
      <c r="D151" s="1674">
        <f t="shared" ref="D151:K151" si="16">SUM(D129,D130,D139,D149,D150)</f>
        <v>4761</v>
      </c>
      <c r="E151" s="1674">
        <f t="shared" si="16"/>
        <v>154112</v>
      </c>
      <c r="F151" s="1674">
        <f t="shared" si="16"/>
        <v>68702</v>
      </c>
      <c r="G151" s="1674">
        <f t="shared" si="16"/>
        <v>72112</v>
      </c>
      <c r="H151" s="1674">
        <f t="shared" si="16"/>
        <v>0</v>
      </c>
      <c r="I151" s="1674">
        <f t="shared" si="16"/>
        <v>0</v>
      </c>
      <c r="J151" s="1674">
        <f t="shared" si="16"/>
        <v>0</v>
      </c>
      <c r="K151" s="1674">
        <f t="shared" si="16"/>
        <v>343971</v>
      </c>
      <c r="L151" s="1674">
        <f>SUM(L129,L130,L139,L149,L150)</f>
        <v>359588</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15617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59" t="s">
        <v>989</v>
      </c>
      <c r="B175" s="2260"/>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15481</v>
      </c>
      <c r="D182" s="1573">
        <v>1689</v>
      </c>
      <c r="E182" s="1573">
        <v>19488</v>
      </c>
      <c r="F182" s="1573">
        <v>1497</v>
      </c>
      <c r="G182" s="1573"/>
      <c r="H182" s="1573"/>
      <c r="I182" s="1574"/>
      <c r="J182" s="1574"/>
      <c r="K182" s="1672">
        <f>SUM(C182:J182)</f>
        <v>38155</v>
      </c>
      <c r="L182" s="1573">
        <v>43724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15481</v>
      </c>
      <c r="D184" s="1681">
        <f t="shared" ref="D184:J184" si="17">SUM(D180,D182,D183)</f>
        <v>1689</v>
      </c>
      <c r="E184" s="1681">
        <f t="shared" si="17"/>
        <v>19488</v>
      </c>
      <c r="F184" s="1681">
        <f t="shared" si="17"/>
        <v>1497</v>
      </c>
      <c r="G184" s="1681">
        <f t="shared" si="17"/>
        <v>0</v>
      </c>
      <c r="H184" s="1681">
        <f t="shared" si="17"/>
        <v>0</v>
      </c>
      <c r="I184" s="1681">
        <f t="shared" si="17"/>
        <v>0</v>
      </c>
      <c r="J184" s="1681">
        <f t="shared" si="17"/>
        <v>0</v>
      </c>
      <c r="K184" s="1681">
        <f>SUM(K180,K182,K183)</f>
        <v>38155</v>
      </c>
      <c r="L184" s="1681">
        <f>SUM(L180, L182:L183)</f>
        <v>43724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15481</v>
      </c>
      <c r="D210" s="1674">
        <f>SUM(D184,D185)</f>
        <v>1689</v>
      </c>
      <c r="E210" s="1674">
        <f>SUM(E184,E185,E196)</f>
        <v>19488</v>
      </c>
      <c r="F210" s="1674">
        <f>SUM(F184,F185)</f>
        <v>1497</v>
      </c>
      <c r="G210" s="1674">
        <f>SUM(G184,G185)</f>
        <v>0</v>
      </c>
      <c r="H210" s="1674">
        <f>SUM(H184,H185,H196,H208,H209)</f>
        <v>0</v>
      </c>
      <c r="I210" s="1674">
        <f>SUM(I184,I185)</f>
        <v>0</v>
      </c>
      <c r="J210" s="1674">
        <f>SUM(J184,J185)</f>
        <v>0</v>
      </c>
      <c r="K210" s="1672">
        <f>SUM(K184,K185,K196,K208,K209)</f>
        <v>38155</v>
      </c>
      <c r="L210" s="1674">
        <f>SUM(L184,L185,L196,L208,L209)</f>
        <v>43724</v>
      </c>
    </row>
    <row r="211" spans="1:14" ht="13.5" thickTop="1" x14ac:dyDescent="0.2">
      <c r="A211" s="2259" t="s">
        <v>989</v>
      </c>
      <c r="B211" s="2260"/>
      <c r="C211" s="1675"/>
      <c r="D211" s="1675"/>
      <c r="E211" s="1675"/>
      <c r="F211" s="1675"/>
      <c r="G211" s="1675"/>
      <c r="H211" s="1675"/>
      <c r="I211" s="1673"/>
      <c r="J211" s="1673"/>
      <c r="K211" s="1689">
        <f>'Revenues 9-14'!F268-'Expenditures 15-22'!K210</f>
        <v>-10132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59" t="s">
        <v>989</v>
      </c>
      <c r="B296" s="2260"/>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59" t="s">
        <v>989</v>
      </c>
      <c r="B368" s="2260"/>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purl.org/dc/dcmitype/"/>
    <ds:schemaRef ds:uri="d21dc803-237d-4c68-8692-8d731fd29118"/>
    <ds:schemaRef ds:uri="http://www.w3.org/XML/1998/namespace"/>
    <ds:schemaRef ds:uri="http://schemas.microsoft.com/sharepoint/v3"/>
    <ds:schemaRef ds:uri="http://schemas.openxmlformats.org/package/2006/metadata/core-properties"/>
    <ds:schemaRef ds:uri="http://schemas.microsoft.com/office/2006/documentManagement/types"/>
    <ds:schemaRef ds:uri="http://schemas.microsoft.com/office/2006/metadata/properties"/>
    <ds:schemaRef ds:uri="4d435f69-8686-490b-bd6d-b153bf22ab50"/>
    <ds:schemaRef ds:uri="6ce3111e-7420-4802-b50a-75d4e9a0b980"/>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2020-10-08T14:08:28Z</cp:lastPrinted>
  <dcterms:created xsi:type="dcterms:W3CDTF">2003-10-29T19:06:34Z</dcterms:created>
  <dcterms:modified xsi:type="dcterms:W3CDTF">2020-11-23T19:47:27Z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