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6FC9F68-77AC-42FD-8ED6-9E0CAF95BAD7}"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1" i="5" l="1"/>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B7882" i="106"/>
  <c r="D7883" i="106"/>
  <c r="D7882"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696" i="106" l="1"/>
  <c r="D7696" i="106" s="1"/>
  <c r="E66" i="184"/>
  <c r="N66" i="184" s="1"/>
  <c r="B7135" i="106"/>
  <c r="D7135" i="106" s="1"/>
  <c r="E58" i="184"/>
  <c r="N58" i="184" s="1"/>
  <c r="B7198" i="106"/>
  <c r="D7198" i="106" s="1"/>
  <c r="E65" i="184"/>
  <c r="N65" i="184" s="1"/>
  <c r="B7126" i="106"/>
  <c r="D7126" i="106" s="1"/>
  <c r="E57" i="184"/>
  <c r="H15" i="184"/>
  <c r="B7189" i="106"/>
  <c r="D7189" i="106" s="1"/>
  <c r="E64" i="184"/>
  <c r="N64" i="184" s="1"/>
  <c r="C352" i="29"/>
  <c r="H76" i="4"/>
  <c r="B3298" i="106" s="1"/>
  <c r="D3298" i="106" s="1"/>
  <c r="D31" i="108"/>
  <c r="E16" i="184"/>
  <c r="H16" i="184" s="1"/>
  <c r="H12" i="184"/>
  <c r="B7180" i="106"/>
  <c r="D7180" i="106" s="1"/>
  <c r="E63" i="184"/>
  <c r="N63" i="184" s="1"/>
  <c r="G33" i="108"/>
  <c r="E17" i="184"/>
  <c r="H17" i="184" s="1"/>
  <c r="B7171" i="106"/>
  <c r="D7171" i="106" s="1"/>
  <c r="E62" i="184"/>
  <c r="N62" i="184" s="1"/>
  <c r="B7162" i="106"/>
  <c r="D7162" i="106" s="1"/>
  <c r="E61" i="184"/>
  <c r="N61" i="184" s="1"/>
  <c r="B7153" i="106"/>
  <c r="D7153" i="106" s="1"/>
  <c r="E60" i="184"/>
  <c r="N60" i="184" s="1"/>
  <c r="B7705" i="106"/>
  <c r="D7705" i="106" s="1"/>
  <c r="E67" i="184"/>
  <c r="N67" i="184" s="1"/>
  <c r="B1124" i="106"/>
  <c r="D1124" i="106" s="1"/>
  <c r="E33" i="108"/>
  <c r="B1126" i="106"/>
  <c r="D1126" i="106" s="1"/>
  <c r="J22" i="37"/>
  <c r="L367" i="29"/>
  <c r="L342" i="29"/>
  <c r="F19" i="7"/>
  <c r="B1807" i="106" s="1"/>
  <c r="D1807" i="106" s="1"/>
  <c r="F46" i="34"/>
  <c r="F38" i="34"/>
  <c r="B7830" i="106" s="1"/>
  <c r="D7830" i="106" s="1"/>
  <c r="E38" i="108"/>
  <c r="E35" i="108"/>
  <c r="G29" i="108"/>
  <c r="F28" i="108"/>
  <c r="F41" i="108" s="1"/>
  <c r="G43" i="108" s="1"/>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2031" i="106"/>
  <c r="D2031" i="106" s="1"/>
  <c r="L16" i="11"/>
  <c r="B2061" i="106" s="1"/>
  <c r="D206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14" i="29" l="1"/>
  <c r="D44" i="36"/>
  <c r="B7222" i="106"/>
  <c r="D7222" i="106" s="1"/>
  <c r="F76" i="34"/>
  <c r="B7887" i="106" s="1"/>
  <c r="D7887" i="106" s="1"/>
  <c r="B6216" i="106"/>
  <c r="D6216" i="106" s="1"/>
  <c r="B7220" i="106"/>
  <c r="D7220" i="106" s="1"/>
  <c r="F75" i="34"/>
  <c r="B7886" i="106" s="1"/>
  <c r="D7886" i="106" s="1"/>
  <c r="B5770" i="106"/>
  <c r="D5770" i="106" s="1"/>
  <c r="E367" i="29"/>
  <c r="B3635" i="106"/>
  <c r="H19" i="184"/>
  <c r="L20" i="184" s="1"/>
  <c r="E19" i="184"/>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77" i="34" s="1"/>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B7834" i="106" l="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<sst xmlns="http://schemas.openxmlformats.org/spreadsheetml/2006/main" count="5133" uniqueCount="2073">
  <si>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</si>
  <si>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</si>
  <si>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</si>
  <si>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</si>
  <si>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</si>
  <si>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</si>
  <si>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</si>
  <si>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</si>
  <si>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</si>
  <si>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</si>
  <si>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</si>
  <si>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</si>
  <si>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</si>
  <si>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</si>
  <si>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</si>
  <si>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</si>
  <si>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</si>
  <si>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</si>
  <si>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</si>
  <si>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</si>
  <si>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</si>
  <si>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</si>
  <si>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</si>
  <si>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</si>
  <si>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</si>
  <si>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</si>
  <si>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</si>
  <si>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</si>
  <si>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</si>
  <si>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</si>
  <si>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</si>
  <si>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</si>
  <si>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</si>
  <si>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</si>
  <si>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</si>
  <si>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</si>
  <si>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</si>
  <si>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</si>
  <si>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</si>
  <si>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</si>
  <si>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</si>
  <si>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</si>
  <si>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</si>
  <si>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</si>
  <si>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</si>
  <si>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</si>
  <si>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</si>
  <si>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</si>
  <si>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</si>
  <si>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</si>
  <si>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</si>
  <si>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</si>
  <si>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</si>
  <si>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</si>
  <si>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</si>
  <si>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</si>
  <si>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</si>
  <si>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</si>
  <si>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</si>
  <si>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</si>
  <si>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</si>
  <si>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</si>
  <si>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</si>
  <si>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</si>
  <si>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</si>
  <si>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</si>
  <si>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</si>
  <si>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</si>
  <si>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</si>
  <si>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</si>
  <si>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</si>
  <si>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</si>
  <si>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</si>
  <si>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</si>
  <si>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</si>
  <si>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</si>
  <si>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</si>
  <si>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</si>
  <si>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</si>
  <si>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</si>
  <si>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</si>
  <si>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</si>
  <si>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</si>
  <si>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</si>
  <si>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</si>
  <si>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</si>
  <si>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</si>
  <si>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</si>
  <si>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</si>
  <si>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</si>
  <si>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</si>
  <si>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</si>
  <si>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</si>
  <si>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</si>
  <si>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</si>
  <si>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</si>
  <si>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</si>
  <si>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</si>
  <si>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</si>
  <si>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</si>
  <si>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</si>
  <si>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</si>
  <si>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</si>
  <si>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</si>
  <si>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</si>
  <si>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</si>
  <si>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</si>
  <si>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</si>
  <si>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</si>
  <si>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</si>
  <si>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</si>
  <si>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</si>
  <si>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</si>
  <si>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</si>
  <si>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</si>
  <si>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</si>
  <si>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</si>
  <si>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</si>
  <si>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</si>
  <si>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</si>
  <si>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</si>
  <si>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</si>
  <si>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</si>
  <si>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</si>
  <si>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</si>
  <si>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</si>
  <si>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</si>
  <si>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</si>
  <si>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</si>
  <si>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</si>
  <si>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</si>
  <si>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</si>
  <si>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</si>
  <si>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</si>
  <si>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</si>
  <si>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</si>
  <si>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</si>
  <si>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</si>
  <si>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</si>
  <si>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</si>
  <si>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</si>
  <si>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</si>
  <si>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</si>
  <si>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</si>
  <si>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</si>
  <si>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</si>
  <si>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</si>
  <si>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</si>
  <si>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</si>
  <si>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</si>
  <si>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</si>
  <si>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</si>
  <si>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</si>
  <si>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</si>
  <si>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</si>
  <si>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</si>
  <si>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</si>
  <si>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</si>
  <si>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</si>
  <si>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</si>
  <si>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</si>
  <si>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</si>
  <si>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</si>
  <si>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</si>
  <si>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</si>
  <si>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</si>
  <si>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</si>
  <si>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</si>
  <si>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</si>
  <si>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</si>
  <si>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</si>
  <si>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</si>
  <si>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</si>
  <si>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</si>
  <si>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</si>
  <si>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</si>
  <si>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</si>
  <si>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</si>
  <si>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</si>
  <si>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</si>
  <si>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</si>
  <si>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</si>
  <si>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</si>
  <si>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</si>
  <si>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</si>
  <si>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</si>
  <si>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</si>
  <si>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</si>
  <si>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</si>
  <si>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</si>
  <si>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</si>
  <si>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</si>
  <si>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</si>
  <si>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</si>
  <si>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</si>
  <si>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</si>
  <si>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</si>
  <si>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</si>
  <si>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</si>
  <si>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</si>
  <si>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</si>
  <si>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</si>
  <si>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</si>
  <si>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</si>
  <si>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</si>
  <si>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</si>
  <si>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</si>
  <si>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</si>
  <si>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</si>
  <si>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</si>
  <si>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</si>
  <si>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</si>
  <si>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</si>
  <si>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</si>
  <si>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</si>
  <si>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</si>
  <si>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</si>
  <si>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</si>
  <si>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</si>
  <si>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</si>
  <si>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</si>
  <si>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</si>
  <si>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</si>
  <si>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</si>
  <si>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</si>
  <si>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</si>
  <si>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</si>
  <si>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</si>
  <si>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</si>
  <si>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</si>
  <si>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</si>
  <si>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</si>
  <si>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</si>
  <si>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</si>
  <si>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</si>
  <si>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</si>
  <si>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</si>
  <si>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</si>
  <si>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</si>
  <si>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</si>
  <si>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</si>
  <si>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</si>
  <si>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</si>
  <si>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</si>
  <si>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</si>
  <si>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</si>
  <si>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</si>
  <si>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</si>
  <si>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</si>
  <si>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</si>
  <si>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</si>
  <si>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</si>
  <si>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</si>
  <si>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</si>
  <si>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</si>
  <si>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</si>
  <si>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</si>
  <si>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</si>
  <si>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</si>
  <si>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</si>
  <si>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</si>
  <si>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</si>
  <si>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</si>
  <si>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</si>
  <si>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</si>
  <si>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</si>
  <si>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</si>
  <si>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</si>
  <si>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</si>
  <si>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</si>
  <si>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</si>
  <si>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</si>
  <si>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</si>
  <si>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</si>
  <si>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</si>
  <si>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</si>
  <si>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</si>
  <si>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</si>
  <si>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</si>
  <si>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</si>
  <si>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</si>
  <si>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</si>
  <si>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</si>
  <si>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</si>
  <si>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</si>
  <si>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</si>
  <si>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</si>
  <si>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</si>
  <si>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</si>
  <si>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</si>
  <si>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</si>
  <si>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</si>
  <si>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</si>
  <si>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</si>
  <si>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</si>
  <si>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</si>
  <si>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</si>
  <si>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</si>
  <si>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</si>
  <si>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</si>
  <si>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</si>
  <si>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</si>
  <si>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</si>
  <si>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</si>
  <si>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</si>
  <si>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</si>
  <si>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</si>
  <si>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</si>
  <si>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</si>
  <si>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</si>
  <si>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</si>
  <si>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</si>
  <si>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</si>
  <si>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</si>
  <si>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</si>
  <si>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</si>
  <si>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</si>
  <si>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</si>
  <si>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</si>
  <si>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</si>
  <si>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</si>
  <si>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</si>
  <si>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</si>
  <si>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</si>
  <si>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</si>
  <si>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</si>
  <si>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</si>
  <si>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</si>
  <si>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</si>
  <si>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</si>
  <si>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</si>
  <si>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</si>
  <si>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</si>
  <si>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</si>
  <si>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</si>
  <si>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</si>
  <si>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</si>
  <si>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</si>
  <si>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</si>
  <si>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</si>
  <si>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</si>
  <si>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</si>
  <si>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</si>
  <si>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</si>
  <si>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</si>
  <si>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</si>
  <si>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</si>
  <si>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</si>
  <si>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</si>
  <si>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</si>
  <si>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</si>
  <si>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</si>
  <si>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</si>
  <si>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</si>
  <si>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</si>
  <si>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</si>
  <si>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</si>
  <si>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</si>
  <si>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</si>
  <si>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</si>
  <si>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</si>
  <si>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</si>
  <si>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</si>
  <si>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</si>
  <si>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</si>
  <si>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</si>
  <si>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</si>
  <si>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</si>
  <si>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</si>
  <si>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</si>
  <si>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</si>
  <si>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</si>
  <si>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</si>
  <si>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</si>
  <si>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</si>
  <si>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</si>
  <si>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</si>
  <si>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</si>
  <si>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</si>
  <si>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</si>
  <si>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</si>
  <si>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</si>
  <si>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</si>
  <si>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</si>
  <si>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</si>
  <si>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</si>
  <si>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</si>
  <si>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</si>
  <si>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</si>
  <si>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</si>
  <si>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</si>
  <si>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</si>
  <si>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</si>
  <si>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</si>
  <si>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</si>
  <si>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</si>
  <si>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</si>
  <si>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</si>
  <si>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</si>
  <si>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</si>
  <si>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</si>
  <si>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</si>
  <si>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</si>
  <si>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</si>
  <si>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</si>
  <si>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</si>
  <si>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</si>
  <si>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</si>
  <si>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</si>
  <si>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</si>
  <si>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</si>
  <si>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</si>
  <si>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</si>
  <si>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</si>
  <si>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</si>
  <si>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</si>
  <si>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</si>
  <si>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</si>
  <si>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</si>
  <si>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</si>
  <si>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</si>
  <si>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</si>
  <si>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</si>
  <si>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</si>
  <si>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</si>
  <si>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</si>
  <si>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</si>
  <si>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</si>
  <si>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</si>
  <si>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</si>
  <si>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</si>
  <si>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</si>
  <si>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</si>
  <si>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</si>
  <si>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</si>
  <si>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</si>
  <si>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</si>
  <si>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</si>
  <si>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</si>
  <si>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</si>
  <si>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</si>
  <si>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</si>
  <si>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</si>
  <si>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</si>
  <si>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</si>
  <si>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</si>
  <si>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</si>
  <si>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</si>
  <si>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</si>
  <si>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</si>
  <si>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</si>
  <si>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</si>
  <si>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</si>
  <si>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</si>
  <si>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</si>
  <si>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</si>
  <si>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</si>
  <si>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</si>
  <si>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</si>
  <si>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</si>
  <si>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</si>
  <si>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</si>
  <si>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</si>
  <si>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</si>
  <si>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</si>
  <si>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</si>
  <si>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</si>
  <si>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</si>
  <si>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</si>
  <si>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</si>
  <si>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</si>
  <si>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</si>
  <si>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</si>
  <si>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</si>
  <si>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</si>
  <si>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</si>
  <si>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</si>
  <si>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</si>
  <si>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</si>
  <si>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</si>
  <si>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</si>
  <si>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</si>
  <si>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</si>
  <si>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</si>
  <si>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</si>
  <si>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</si>
  <si>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</si>
  <si>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</si>
  <si>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</si>
  <si>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</si>
  <si>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</si>
  <si>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</si>
  <si>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</si>
  <si>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</si>
  <si>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</si>
  <si>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</si>
  <si>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</si>
  <si>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</si>
  <si>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</si>
  <si>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</si>
  <si>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</si>
  <si>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</si>
  <si>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</si>
  <si>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</si>
  <si>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</si>
  <si>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</si>
  <si>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</si>
  <si>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</si>
  <si>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</si>
  <si>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</si>
  <si>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</si>
  <si>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</si>
  <si>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</si>
  <si>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</si>
  <si>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</si>
  <si>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</si>
  <si>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</si>
  <si>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</si>
  <si>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</si>
  <si>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</si>
  <si>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</si>
  <si>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</si>
  <si>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</si>
  <si>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</si>
  <si>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</si>
  <si>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</si>
  <si>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</si>
  <si>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</si>
  <si>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</si>
  <si>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</si>
  <si>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</si>
  <si>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</si>
  <si>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</si>
  <si>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</si>
  <si>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</si>
  <si>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</si>
  <si>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</si>
  <si>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</si>
  <si>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</si>
  <si>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</si>
  <si>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</si>
  <si>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</si>
  <si>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</si>
  <si>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</si>
  <si>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</si>
  <si>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</si>
  <si>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</si>
  <si>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</si>
  <si>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</si>
  <si>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</si>
  <si>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</si>
  <si>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</si>
  <si>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</si>
  <si>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</si>
  <si>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</si>
  <si>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</si>
  <si>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</si>
  <si>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</si>
  <si>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</si>
  <si>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</si>
  <si>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</si>
  <si>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</si>
  <si>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</si>
  <si>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</si>
  <si>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</si>
  <si>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</si>
  <si>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</si>
  <si>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</si>
  <si>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</si>
  <si>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</si>
  <si>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</si>
  <si>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</si>
  <si>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</si>
  <si>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</si>
  <si>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</si>
  <si>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</si>
  <si>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</si>
  <si>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</si>
  <si>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</si>
  <si>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</si>
  <si>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</si>
  <si>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</si>
  <si>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</si>
  <si>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</si>
  <si>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</si>
  <si>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</si>
  <si>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</si>
  <si>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</si>
  <si>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</si>
  <si>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</si>
  <si>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</si>
  <si>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</si>
  <si>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</si>
  <si>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</si>
  <si>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</si>
  <si>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</si>
  <si>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</si>
  <si>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</si>
  <si>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</si>
  <si>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</si>
  <si>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</si>
  <si>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</si>
  <si>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</si>
  <si>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</si>
  <si>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</si>
  <si>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</si>
  <si>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</si>
  <si>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</si>
  <si>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</si>
  <si>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</si>
  <si>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</si>
  <si>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</si>
  <si>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</si>
  <si>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</si>
  <si>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</si>
  <si>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</si>
  <si>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</si>
  <si>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</si>
  <si>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</si>
  <si>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</si>
  <si>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</si>
  <si>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</si>
  <si>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</si>
  <si>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</si>
  <si>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</si>
  <si>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</si>
  <si>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</si>
  <si>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</si>
  <si>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</si>
  <si>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</si>
  <si>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</si>
  <si>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</si>
  <si>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</si>
  <si>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</si>
  <si>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</si>
  <si>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</si>
  <si>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</si>
  <si>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</si>
  <si>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</si>
  <si>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</si>
  <si>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</si>
  <si>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</si>
  <si>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</si>
  <si>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</si>
  <si>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</si>
  <si>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</si>
  <si>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</si>
  <si>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</si>
  <si>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</si>
  <si>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</si>
  <si>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</si>
  <si>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</si>
  <si>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</si>
  <si>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</si>
  <si>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</si>
  <si>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</si>
  <si>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</si>
  <si>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</si>
  <si>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</si>
  <si>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</si>
  <si>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</si>
  <si>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</si>
  <si>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</si>
  <si>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</si>
  <si>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</si>
  <si>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</si>
  <si>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</si>
  <si>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</si>
  <si>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</si>
  <si>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</si>
  <si>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</si>
  <si>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</si>
  <si>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</si>
  <si>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</si>
  <si>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</si>
  <si>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</si>
  <si>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</si>
  <si>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</si>
  <si>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</si>
  <si>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</si>
  <si>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</si>
  <si>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</si>
  <si>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</si>
  <si>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</si>
  <si>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</si>
  <si>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</si>
  <si>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</si>
  <si>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</si>
  <si>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</si>
  <si>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</si>
  <si>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</si>
  <si>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</si>
  <si>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</si>
  <si>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</si>
  <si>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</si>
  <si>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</si>
  <si>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</si>
  <si>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</si>
  <si>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</si>
  <si>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</si>
  <si>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</si>
  <si>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</si>
  <si>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</si>
  <si>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</si>
  <si>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</si>
  <si>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</si>
  <si>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</si>
  <si>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</si>
  <si>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</si>
  <si>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</si>
  <si>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</si>
  <si>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</si>
  <si>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</si>
  <si>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</si>
  <si>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</si>
  <si>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</si>
  <si>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</si>
  <si>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</si>
  <si>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</si>
  <si>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</si>
  <si>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</si>
  <si>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</si>
  <si>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</si>
  <si>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</si>
  <si>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</si>
  <si>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</si>
  <si>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</si>
  <si>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</si>
  <si>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</si>
  <si>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</si>
  <si>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</si>
  <si>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</si>
  <si>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</si>
  <si>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</si>
  <si>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</si>
  <si>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</si>
  <si>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</si>
  <si>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</si>
  <si>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</si>
  <si>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</si>
  <si>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</si>
  <si>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</si>
  <si>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</si>
  <si>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</si>
  <si>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</si>
  <si>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</si>
  <si>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</si>
  <si>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</si>
  <si>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</si>
  <si>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</si>
  <si>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</si>
  <si>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</si>
  <si>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</si>
  <si>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</si>
  <si>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</si>
  <si>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</si>
  <si>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</si>
  <si>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</si>
  <si>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</si>
  <si>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</si>
  <si>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</si>
  <si>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</si>
  <si>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</si>
  <si>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</si>
  <si>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</si>
  <si>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</si>
  <si>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</si>
  <si>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</si>
  <si>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</si>
  <si>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</si>
  <si>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</si>
  <si>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</si>
  <si>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</si>
  <si>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</si>
  <si>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</si>
  <si>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</si>
  <si>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</si>
  <si>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</si>
  <si>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</si>
  <si>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</si>
  <si>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</si>
  <si>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</si>
  <si>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</si>
  <si>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</si>
  <si>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</si>
  <si>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</si>
  <si>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</si>
  <si>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</si>
  <si>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</si>
  <si>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</si>
  <si>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</si>
  <si>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</si>
  <si>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</si>
  <si>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</si>
  <si>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</si>
  <si>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</si>
  <si>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</si>
  <si>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</si>
  <si>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</si>
  <si>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</si>
  <si>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</si>
  <si>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</si>
  <si>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</si>
  <si>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</si>
  <si>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</si>
  <si>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</si>
  <si>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</si>
  <si>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</si>
  <si>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</si>
  <si>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</si>
  <si>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</si>
  <si>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</si>
  <si>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</si>
  <si>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</si>
  <si>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</si>
  <si>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</si>
  <si>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</si>
  <si>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</si>
  <si>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</si>
  <si>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</si>
  <si>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</si>
  <si>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</si>
  <si>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</si>
  <si>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</si>
  <si>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</si>
  <si>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</si>
  <si>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</si>
  <si>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</si>
  <si>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</si>
  <si>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</si>
  <si>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</si>
  <si>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</si>
  <si>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</si>
  <si>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</si>
  <si>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</si>
  <si>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</si>
  <si>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</si>
  <si>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</si>
  <si>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</si>
  <si>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</si>
  <si>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</si>
  <si>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</si>
  <si>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</si>
  <si>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</si>
  <si>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</si>
  <si>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</si>
  <si>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</si>
  <si>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</si>
  <si>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</si>
  <si>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</si>
  <si>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</si>
  <si>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</si>
  <si>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</si>
  <si>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</si>
  <si>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</si>
  <si>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</si>
  <si>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</si>
  <si>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</si>
  <si>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</si>
  <si>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</si>
  <si>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</si>
  <si>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</si>
  <si>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</si>
  <si>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</si>
  <si>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</si>
  <si>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</si>
  <si>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</si>
  <si>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</si>
  <si>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</si>
  <si>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</si>
  <si>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</si>
  <si>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</si>
  <si>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</si>
  <si>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</si>
  <si>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</si>
  <si>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</si>
  <si>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</si>
  <si>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</si>
  <si>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</si>
  <si>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</si>
  <si>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</si>
  <si>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</si>
  <si>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</si>
  <si>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</si>
  <si>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</si>
  <si>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</si>
  <si>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</si>
  <si>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</si>
  <si>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</si>
  <si>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</si>
  <si>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</si>
  <si>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</si>
  <si>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</si>
  <si>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</si>
  <si>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</si>
  <si>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</si>
  <si>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</si>
  <si>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</si>
  <si>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</si>
  <si>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</si>
  <si>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</si>
  <si>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</si>
  <si>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</si>
  <si>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</si>
  <si>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</si>
  <si>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</si>
  <si>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</si>
  <si>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</si>
  <si>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</si>
  <si>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</si>
  <si>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</si>
  <si>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</si>
  <si>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</si>
  <si>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</si>
  <si>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</si>
  <si>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</si>
  <si>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</si>
  <si>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</si>
  <si>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</si>
  <si>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</si>
  <si>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</si>
  <si>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</si>
  <si>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</si>
  <si>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</si>
  <si>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</si>
  <si>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</si>
  <si>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</si>
  <si>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</si>
  <si>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</si>
  <si>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</si>
  <si>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</si>
  <si>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</si>
  <si>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</si>
  <si>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</si>
  <si>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</si>
  <si>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</si>
  <si>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</si>
  <si>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</si>
  <si>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</si>
  <si>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</si>
  <si>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</si>
  <si>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</si>
  <si>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</si>
  <si>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</si>
  <si>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</si>
  <si>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</si>
  <si>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</si>
  <si>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</si>
  <si>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</si>
  <si>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</si>
  <si>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</si>
  <si>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</si>
  <si>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</si>
  <si>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</si>
  <si>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</si>
  <si>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</si>
  <si>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</si>
  <si>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</si>
  <si>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</si>
  <si>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</si>
  <si>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</si>
  <si>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</si>
  <si>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</si>
  <si>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</si>
  <si>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</si>
  <si>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</si>
  <si>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</si>
  <si>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</si>
  <si>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</si>
  <si>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</si>
  <si>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</si>
  <si>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</si>
  <si>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</si>
  <si>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</si>
  <si>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</si>
  <si>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</si>
  <si>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</si>
  <si>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</si>
  <si>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</si>
  <si>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</si>
  <si>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</si>
  <si>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</si>
  <si>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</si>
  <si>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</si>
  <si>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</si>
  <si>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</si>
  <si>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</si>
  <si>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</si>
  <si>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</si>
  <si>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</si>
  <si>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</si>
  <si>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</si>
  <si>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</si>
  <si>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</si>
  <si>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</si>
  <si>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</si>
  <si>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</si>
  <si>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</si>
  <si>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</si>
  <si>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</si>
  <si>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</si>
  <si>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</si>
  <si>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</si>
  <si>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</si>
  <si>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</si>
  <si>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</si>
  <si>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</si>
  <si>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</si>
  <si>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</si>
  <si>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</si>
  <si>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</si>
  <si>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</si>
  <si>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</si>
  <si>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</si>
  <si>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</si>
  <si>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</si>
  <si>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</si>
  <si>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</si>
  <si>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</si>
  <si>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</si>
  <si>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</si>
  <si>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</si>
  <si>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</si>
  <si>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</si>
  <si>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</si>
  <si>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</si>
  <si>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</si>
  <si>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</si>
  <si>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</si>
  <si>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</si>
  <si>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</si>
  <si>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</si>
  <si>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</si>
  <si>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</si>
  <si>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</si>
  <si>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</si>
  <si>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</si>
  <si>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</si>
  <si>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</si>
  <si>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</si>
  <si>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</si>
  <si>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</si>
  <si>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</si>
  <si>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</si>
  <si>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</si>
  <si>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</si>
  <si>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</si>
  <si>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</si>
  <si>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</si>
  <si>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</si>
  <si>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</si>
  <si>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</si>
  <si>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</si>
  <si>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</si>
  <si>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</si>
  <si>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</si>
  <si>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</si>
  <si>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</si>
  <si>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</si>
  <si>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</si>
  <si>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</si>
  <si>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</si>
  <si>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</si>
  <si>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</si>
  <si>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</si>
  <si>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</si>
  <si>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</si>
  <si>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</si>
  <si>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</si>
  <si>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</si>
  <si>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</si>
  <si>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</si>
  <si>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</si>
  <si>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</si>
  <si>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</si>
  <si>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</si>
  <si>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</si>
  <si>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</si>
  <si>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</si>
  <si>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</si>
  <si>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</si>
  <si>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</si>
  <si>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</si>
  <si>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</si>
  <si>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</si>
  <si>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</si>
  <si>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</si>
  <si>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</si>
  <si>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</si>
  <si>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</si>
  <si>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</si>
  <si>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</si>
  <si>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</si>
  <si>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</si>
  <si>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</si>
  <si>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</si>
  <si>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</si>
  <si>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</si>
  <si>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</si>
  <si>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</si>
  <si>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</si>
  <si>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</si>
  <si>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</si>
  <si>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</si>
  <si>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</si>
  <si>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</si>
  <si>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</si>
  <si>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</si>
  <si>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</si>
  <si>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</si>
  <si>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</si>
  <si>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</si>
  <si>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</si>
  <si>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</si>
  <si>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</si>
  <si>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</si>
  <si>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</si>
  <si>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</si>
  <si>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</si>
  <si>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</si>
  <si>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</si>
  <si>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</si>
  <si>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</si>
  <si>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</si>
  <si>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</si>
  <si>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</si>
  <si>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</si>
  <si>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</si>
  <si>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</si>
  <si>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</si>
  <si>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</si>
  <si>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</si>
  <si>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</si>
  <si>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</si>
  <si>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</si>
  <si>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</si>
  <si>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</si>
  <si>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</si>
  <si>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</si>
  <si>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</si>
  <si>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</si>
  <si>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</si>
  <si>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</si>
  <si>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</si>
  <si>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</si>
  <si>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</si>
  <si>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</si>
  <si>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</si>
  <si>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</si>
  <si>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</si>
  <si>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</si>
  <si>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</si>
  <si>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</si>
  <si>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</si>
  <si>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</si>
  <si>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</si>
  <si>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</si>
  <si>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</si>
  <si>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</si>
  <si>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</si>
  <si>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</si>
  <si>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</si>
  <si>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</si>
  <si>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</si>
  <si>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</si>
  <si>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</si>
  <si>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</si>
  <si>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</si>
  <si>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</si>
  <si>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</si>
  <si>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</si>
  <si>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</si>
  <si>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</si>
  <si>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</si>
  <si>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</si>
  <si>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</si>
  <si>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</si>
  <si>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</si>
  <si>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</si>
  <si>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</si>
  <si>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</si>
  <si>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</si>
  <si>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</si>
  <si>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</si>
  <si>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</si>
  <si>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</si>
  <si>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</si>
  <si>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</si>
  <si>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</si>
  <si>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</si>
  <si>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</si>
  <si>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</si>
  <si>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</si>
  <si>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</si>
  <si>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</si>
  <si>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</si>
  <si>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</si>
  <si>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</si>
  <si>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</si>
  <si>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</si>
  <si>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</si>
  <si>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</si>
  <si>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</si>
  <si>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</si>
  <si>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</si>
  <si>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</si>
  <si>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</si>
  <si>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</si>
  <si>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</si>
  <si>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</si>
  <si>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</si>
  <si>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</si>
  <si>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</si>
  <si>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</si>
  <si>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</si>
  <si>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</si>
  <si>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</si>
  <si>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</si>
  <si>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</si>
  <si>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</si>
  <si>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</si>
  <si>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</si>
  <si>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</si>
  <si>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</si>
  <si>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</si>
  <si>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</si>
  <si>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</si>
  <si>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</si>
  <si>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</si>
  <si>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</si>
  <si>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</si>
  <si>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</si>
  <si>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</si>
  <si>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</si>
  <si>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</si>
  <si>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</si>
  <si>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</si>
  <si>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</si>
  <si>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</si>
  <si>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</si>
  <si>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</si>
  <si>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</si>
  <si>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</si>
  <si>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</si>
  <si>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</si>
  <si>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</si>
  <si>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</si>
  <si>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</si>
  <si>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</si>
  <si>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</si>
  <si>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</si>
  <si>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</si>
  <si>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</si>
  <si>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</si>
  <si>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</si>
  <si>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</si>
  <si>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</si>
  <si>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</si>
  <si>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</si>
  <si>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</si>
  <si>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</si>
  <si>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</si>
  <si>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</si>
  <si>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</si>
  <si>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</si>
  <si>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</si>
  <si>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</si>
  <si>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</si>
  <si>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</si>
  <si>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</si>
  <si>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</si>
  <si>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</si>
  <si>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</si>
  <si>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</si>
  <si>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</si>
  <si>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</si>
  <si>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</si>
  <si>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</si>
  <si>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</si>
  <si>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</si>
  <si>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</si>
  <si>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</si>
  <si>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</si>
  <si>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</si>
  <si>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</si>
  <si>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</si>
  <si>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</si>
  <si>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</si>
  <si>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</si>
  <si>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</si>
  <si>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</si>
  <si>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</si>
  <si>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</si>
  <si>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</si>
  <si>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</si>
  <si>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</si>
  <si>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</si>
  <si>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</si>
  <si>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</si>
  <si>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</si>
  <si>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</si>
  <si>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</si>
  <si>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</si>
  <si>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</si>
  <si>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</si>
  <si>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</si>
  <si>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</si>
  <si>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</si>
  <si>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</si>
  <si>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</si>
  <si>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</si>
  <si>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</si>
  <si>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</si>
  <si>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</si>
  <si>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</si>
  <si>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</si>
  <si>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</si>
  <si>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</si>
  <si>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</si>
  <si>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</si>
  <si>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</si>
  <si>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</si>
  <si>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</si>
  <si>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</si>
  <si>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</si>
  <si>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</si>
  <si>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</si>
  <si>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</si>
  <si>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</si>
  <si>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</si>
  <si>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</si>
  <si>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</si>
  <si>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</si>
  <si>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</si>
  <si>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</si>
  <si>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</si>
  <si>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</si>
  <si>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</si>
  <si>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</si>
  <si>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</si>
  <si>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</si>
  <si>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</si>
  <si>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</si>
  <si>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</si>
  <si>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</si>
  <si>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</si>
  <si>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</si>
  <si>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</si>
  <si>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</si>
  <si>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</si>
  <si>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</si>
  <si>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</si>
  <si>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</si>
  <si>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</si>
  <si>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</si>
  <si>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</si>
  <si>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</si>
  <si>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</si>
  <si>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</si>
  <si>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</si>
  <si>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</si>
  <si>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</si>
  <si>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</si>
  <si>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</si>
  <si>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</si>
  <si>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</si>
  <si>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</si>
  <si>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</si>
  <si>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</si>
  <si>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</si>
  <si>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</si>
  <si>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</si>
  <si>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</si>
  <si>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</si>
  <si>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</si>
  <si>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</si>
  <si>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</si>
  <si>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</si>
  <si>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</si>
  <si>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</si>
  <si>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</si>
  <si>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</si>
  <si>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</si>
  <si>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</si>
  <si>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</si>
  <si>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</si>
  <si>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</si>
  <si>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</si>
  <si>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</si>
  <si>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</si>
  <si>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</si>
  <si>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</si>
  <si>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</si>
  <si>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</si>
  <si>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</si>
  <si>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</si>
  <si>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</si>
  <si>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</si>
  <si>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</si>
  <si>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</si>
  <si>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</si>
  <si>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</si>
  <si>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</si>
  <si>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</si>
  <si>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</si>
  <si>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</si>
  <si>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</si>
  <si>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</si>
  <si>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</si>
  <si>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</si>
  <si>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</si>
  <si>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</si>
  <si>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</si>
  <si>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</si>
  <si>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</si>
  <si>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</si>
  <si>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</si>
  <si>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</si>
  <si>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</si>
  <si>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</si>
  <si>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</si>
  <si>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</si>
  <si>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</si>
  <si>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</si>
  <si>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</si>
  <si>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</si>
  <si>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</si>
  <si>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</si>
  <si>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</si>
  <si>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</si>
  <si>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</si>
  <si>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</si>
  <si>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</si>
  <si>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</si>
  <si>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</si>
  <si>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</si>
  <si>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</si>
  <si>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</si>
  <si>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</si>
  <si>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</si>
  <si>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</si>
  <si>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</si>
  <si>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</si>
  <si>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</si>
  <si>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</si>
  <si>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</si>
  <si>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</si>
  <si>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</si>
  <si>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</si>
  <si>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</si>
  <si>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</si>
  <si>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</si>
  <si>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</si>
  <si>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</si>
  <si>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</si>
  <si>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</si>
  <si>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</si>
  <si>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</si>
  <si>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</si>
  <si>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</si>
  <si>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</si>
  <si>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</si>
  <si>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</si>
  <si>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</si>
  <si>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</si>
  <si>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</si>
  <si>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</si>
  <si>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</si>
  <si>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</si>
  <si>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</si>
  <si>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</si>
  <si>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</si>
  <si>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</si>
  <si>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</si>
  <si>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</si>
  <si>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</si>
  <si>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</si>
  <si>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</si>
  <si>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</si>
  <si>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</si>
  <si>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</si>
  <si>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</si>
  <si>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</si>
  <si>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</si>
  <si>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</si>
  <si>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</si>
  <si>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</si>
  <si>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</si>
  <si>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</si>
  <si>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</si>
  <si>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</si>
  <si>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</si>
  <si>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</si>
  <si>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</si>
  <si>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</si>
  <si>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</si>
  <si>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</si>
  <si>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</si>
  <si>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</si>
  <si>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</si>
  <si>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</si>
  <si>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</si>
  <si>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</si>
  <si>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</si>
  <si>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</si>
  <si>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</si>
  <si>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</si>
  <si>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</si>
  <si>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</si>
  <si>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</si>
  <si>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</si>
  <si>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</si>
  <si>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</si>
  <si>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</si>
  <si>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</si>
  <si>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</si>
  <si>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</si>
  <si>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</si>
  <si>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</si>
  <si>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</si>
  <si>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</si>
  <si>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</si>
  <si>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</si>
  <si>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</si>
  <si>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</si>
  <si>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</si>
  <si>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</si>
  <si>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</si>
  <si>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</si>
  <si>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</si>
  <si>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</si>
  <si>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</si>
  <si>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</si>
  <si>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</si>
  <si>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</si>
  <si>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</si>
  <si>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</si>
  <si>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</si>
  <si>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</si>
  <si>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</si>
  <si>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</si>
  <si>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</si>
  <si>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</si>
  <si>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</si>
  <si>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</si>
  <si>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</si>
  <si>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</si>
  <si>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</si>
  <si>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</si>
  <si>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</si>
  <si>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</si>
  <si>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</si>
  <si>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</si>
  <si>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</si>
  <si>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</si>
  <si>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</si>
  <si>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</si>
  <si>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</si>
  <si>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</si>
  <si>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</si>
  <si>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</si>
  <si>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</si>
  <si>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</si>
  <si>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</si>
  <si>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</si>
  <si>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</si>
  <si>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</si>
  <si>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</si>
  <si>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</si>
  <si>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</si>
  <si>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</si>
  <si>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</si>
  <si>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</si>
  <si>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</si>
  <si>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</si>
  <si>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</si>
  <si>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</si>
  <si>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</si>
  <si>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</si>
  <si>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</si>
  <si>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</si>
  <si>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</si>
  <si>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</si>
  <si>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</si>
  <si>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</si>
  <si>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</si>
  <si>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</si>
  <si>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</si>
  <si>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</si>
  <si>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</si>
  <si>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</si>
  <si>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</si>
  <si>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</si>
  <si>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</si>
  <si>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</si>
  <si>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</si>
  <si>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</si>
  <si>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</si>
  <si>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</si>
  <si>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</si>
  <si>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</si>
  <si>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</si>
  <si>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</si>
  <si>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</si>
  <si>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</si>
  <si>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</si>
  <si>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</si>
  <si>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</si>
  <si>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</si>
  <si>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</si>
  <si>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</si>
  <si>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</si>
  <si>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</si>
  <si>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</si>
  <si>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</si>
  <si>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</si>
  <si>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</si>
  <si>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</si>
  <si>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</si>
  <si>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</si>
  <si>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</si>
  <si>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</si>
  <si>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</si>
  <si>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</si>
  <si>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</si>
  <si>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</si>
  <si>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</si>
  <si>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</si>
  <si>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</si>
  <si>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</si>
  <si>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</si>
  <si>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</si>
  <si>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</si>
  <si>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</si>
  <si>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</si>
  <si>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</si>
  <si>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</si>
  <si>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</si>
  <si>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</si>
  <si>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</si>
  <si>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</si>
  <si>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</si>
  <si>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</si>
  <si>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</si>
  <si>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</si>
  <si>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</si>
  <si>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</si>
  <si>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</si>
  <si>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</si>
  <si>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</si>
  <si>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</si>
  <si>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</si>
  <si>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</si>
  <si>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</si>
  <si>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</si>
  <si>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</si>
  <si>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</si>
  <si>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</si>
  <si>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</si>
  <si>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</si>
  <si>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</si>
  <si>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</si>
  <si>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</si>
  <si>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</si>
  <si>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</si>
  <si>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</si>
  <si>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</si>
  <si>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</si>
  <si>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</si>
  <si>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</si>
  <si>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</si>
  <si>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</si>
  <si>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</si>
  <si>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</si>
  <si>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</si>
  <si>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</si>
  <si>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</si>
  <si>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</si>
  <si>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</si>
  <si>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</si>
  <si>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</si>
  <si>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</si>
  <si>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</si>
  <si>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</si>
  <si>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</si>
  <si>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</si>
  <si>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</si>
  <si>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</si>
  <si>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</si>
  <si>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</si>
  <si>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</si>
  <si>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</si>
  <si>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</si>
  <si>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</si>
  <si>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</si>
  <si>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</si>
  <si>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</si>
  <si>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</si>
  <si>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</si>
  <si>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</si>
  <si>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</si>
  <si>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</si>
  <si>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</si>
  <si>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</si>
  <si>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</si>
  <si>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</si>
  <si>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</si>
  <si>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</si>
  <si>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</si>
  <si>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</si>
  <si>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</si>
  <si>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</si>
  <si>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</si>
  <si>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</si>
  <si>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</si>
  <si>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</si>
  <si>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</si>
  <si>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</si>
  <si>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</si>
  <si>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</si>
  <si>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</si>
  <si>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</si>
  <si>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</si>
  <si>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</si>
  <si>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</si>
  <si>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</si>
  <si>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</si>
  <si>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</si>
  <si>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</si>
  <si>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</si>
  <si>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</si>
  <si>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</si>
  <si>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</si>
  <si>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</si>
  <si>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</si>
  <si>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</si>
  <si>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</si>
  <si>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</si>
  <si>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</si>
  <si>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</si>
  <si>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</si>
  <si>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</si>
  <si>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</si>
  <si>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</si>
  <si>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</si>
  <si>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</si>
  <si>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</si>
  <si>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</si>
  <si>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</si>
  <si>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</si>
  <si>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</si>
  <si>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</si>
  <si>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</si>
  <si>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</si>
  <si>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</si>
  <si>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</si>
  <si>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</si>
  <si>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</si>
  <si>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</si>
  <si>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</si>
  <si>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</si>
  <si>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</si>
  <si>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</si>
  <si>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</si>
  <si>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</si>
  <si>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</si>
  <si>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</si>
  <si>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</si>
  <si>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</si>
  <si>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</si>
  <si>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</si>
  <si>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</si>
  <si>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</si>
  <si>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</si>
  <si>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</si>
  <si>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</si>
  <si>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</si>
  <si>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</si>
  <si>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</si>
  <si>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</si>
  <si>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</si>
  <si>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</si>
  <si>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</si>
  <si>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</si>
  <si>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</si>
  <si>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</si>
  <si>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</si>
  <si>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</si>
  <si>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</si>
  <si>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</si>
  <si>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</si>
  <si>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</si>
  <si>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</si>
  <si>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</si>
  <si>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</si>
  <si>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</si>
  <si>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</si>
  <si>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</si>
  <si>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</si>
  <si>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</si>
  <si>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</si>
  <si>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</si>
  <si>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</si>
  <si>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</si>
  <si>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</si>
  <si>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</si>
  <si>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</si>
  <si>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</si>
  <si>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</si>
  <si>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</si>
  <si>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</si>
  <si>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</si>
  <si>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</si>
  <si>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</si>
  <si>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</si>
  <si>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</si>
  <si>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</si>
  <si>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</si>
  <si>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</si>
  <si>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</si>
  <si>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</si>
  <si>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</si>
  <si>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</si>
  <si>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</si>
  <si>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</si>
  <si>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</si>
  <si>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</si>
  <si>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</si>
  <si>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</si>
  <si>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</si>
  <si>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</si>
  <si>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</si>
  <si>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</si>
  <si>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</si>
  <si>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</si>
  <si>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</si>
  <si>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</si>
  <si>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</si>
  <si>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</si>
  <si>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</si>
  <si>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</si>
  <si>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</si>
  <si>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</si>
  <si>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</si>
  <si>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</si>
  <si>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</si>
  <si>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</si>
  <si>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</si>
  <si>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</si>
  <si>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</si>
  <si>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</si>
  <si>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</si>
  <si>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</si>
  <si>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</si>
  <si>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</si>
  <si>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</si>
  <si>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</si>
  <si>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</si>
  <si>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</si>
  <si>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</si>
  <si>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</si>
  <si>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</si>
  <si>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</si>
  <si>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</si>
  <si>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</si>
  <si>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</si>
  <si>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</si>
  <si>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</si>
  <si>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</si>
  <si>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</si>
  <si>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</si>
  <si>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</si>
  <si>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</si>
  <si>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</si>
  <si>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</si>
  <si>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</si>
  <si>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</si>
  <si>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</si>
  <si>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</si>
  <si>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</si>
  <si>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</si>
  <si>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</si>
  <si>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</si>
  <si>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</si>
  <si>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</si>
  <si>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</si>
  <si>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</si>
  <si>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</si>
  <si>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</si>
  <si>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</si>
  <si>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</si>
  <si>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</si>
  <si>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</si>
  <si>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</si>
  <si>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</si>
  <si>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</si>
  <si>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</si>
  <si>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</si>
  <si>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</si>
  <si>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</si>
  <si>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</si>
  <si>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</si>
  <si>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</si>
  <si>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</si>
  <si>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</si>
  <si>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</si>
  <si>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</si>
  <si>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</si>
  <si>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</si>
  <si>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</si>
  <si>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</si>
  <si>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</si>
  <si>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</si>
  <si>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</si>
  <si>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</si>
  <si>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</si>
  <si>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</si>
  <si>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</si>
  <si>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</si>
  <si>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</si>
  <si>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</si>
  <si>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</si>
  <si>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</si>
  <si>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</si>
  <si>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</si>
  <si>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</si>
  <si>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</si>
  <si>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</si>
  <si>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</si>
  <si>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</si>
  <si>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</si>
  <si>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</si>
  <si>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</si>
  <si>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</si>
  <si>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</si>
  <si>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</si>
  <si>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</si>
  <si>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</si>
  <si>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</si>
  <si>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</si>
  <si>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</si>
  <si>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</si>
  <si>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</si>
  <si>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</si>
  <si>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</si>
  <si>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</si>
  <si>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</si>
  <si>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</si>
  <si>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</si>
  <si>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</si>
  <si>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</si>
  <si>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</si>
  <si>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</si>
  <si>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</si>
  <si>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</si>
  <si>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</si>
  <si>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</si>
  <si>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</si>
  <si>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</si>
  <si>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</si>
  <si>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</si>
  <si>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</si>
  <si>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</si>
  <si>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</si>
  <si>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</si>
  <si>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</si>
  <si>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</si>
  <si>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</si>
  <si>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</si>
  <si>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</si>
  <si>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</si>
  <si>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</si>
  <si>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</si>
  <si>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</si>
  <si>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</si>
  <si>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</si>
  <si>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</si>
  <si>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</si>
  <si>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</si>
  <si>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</si>
  <si>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</si>
  <si>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</si>
  <si>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</si>
  <si>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</si>
  <si>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</si>
  <si>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</si>
  <si>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</si>
  <si>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</si>
  <si>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</si>
  <si>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</si>
  <si>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</si>
  <si>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</si>
  <si>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</si>
  <si>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</si>
  <si>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</si>
  <si>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</si>
  <si>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</si>
  <si>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</si>
  <si>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</si>
  <si>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</si>
  <si>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</si>
  <si>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</si>
  <si>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</si>
  <si>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</si>
  <si>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</si>
  <si>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</si>
  <si>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</si>
  <si>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</si>
  <si>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</si>
  <si>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</si>
  <si>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</si>
  <si>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</si>
  <si>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</si>
  <si>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</si>
  <si>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</si>
  <si>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</si>
  <si>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</si>
  <si>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</si>
  <si>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</si>
  <si>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</si>
  <si>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</si>
  <si>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</si>
  <si>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</si>
  <si>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</si>
  <si>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</si>
  <si>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</si>
  <si>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</si>
  <si>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</si>
  <si>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</si>
  <si>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</si>
  <si>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</si>
  <si>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</si>
  <si>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</si>
  <si>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</si>
  <si>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</si>
  <si>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</si>
  <si>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</si>
  <si>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</si>
  <si>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</si>
  <si>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</si>
  <si>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</si>
  <si>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</si>
  <si>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</si>
  <si>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</si>
  <si>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</si>
  <si>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</si>
  <si>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</si>
  <si>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</si>
  <si>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</si>
  <si>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</si>
  <si>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</si>
  <si>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</si>
  <si>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Kane</t>
  </si>
  <si>
    <t>1877 Downers Place</t>
  </si>
  <si>
    <t>Aurora</t>
  </si>
  <si>
    <t>jcraig@sd129.org</t>
  </si>
  <si>
    <t>Dr. Jeff Craig</t>
  </si>
  <si>
    <t>630-301-5100</t>
  </si>
  <si>
    <t>630-844-5710</t>
  </si>
  <si>
    <t>Crowe LLP</t>
  </si>
  <si>
    <t>Christine Torres</t>
  </si>
  <si>
    <t>One Mid America Plaza</t>
  </si>
  <si>
    <t>Oak Brook</t>
  </si>
  <si>
    <t>IL</t>
  </si>
  <si>
    <t>630-706-2074</t>
  </si>
  <si>
    <t>630-574-1608</t>
  </si>
  <si>
    <t>066-004207</t>
  </si>
  <si>
    <t>christine.torres@crowe.com</t>
  </si>
  <si>
    <t>Other support services - 2190 - Purchased services - Northwestern Illinois Association contractual services</t>
  </si>
  <si>
    <t>On-behalf Payments - there are none for the Joint Agreement.</t>
  </si>
  <si>
    <t>No contracts</t>
  </si>
  <si>
    <t>See PDF In Opinion Page</t>
  </si>
  <si>
    <t xml:space="preserve">  Hope Wall Joint Agreement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</si>
</sst>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16">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23" xfId="2" applyBorder="1" applyAlignment="1" applyProtection="1">
      <protection locked="0"/>
    </xf>
    <xf numFmtId="0" fontId="17" fillId="0" borderId="126" xfId="0" applyFont="1" applyBorder="1" applyProtection="1">
      <protection locked="0"/>
    </xf>
    <xf numFmtId="0" fontId="17" fillId="0" borderId="124" xfId="0" applyFont="1" applyBorder="1" applyProtection="1">
      <protection locked="0"/>
    </xf>
    <xf numFmtId="0" fontId="14" fillId="0" borderId="17" xfId="12" applyFont="1" applyBorder="1" applyAlignment="1" applyProtection="1">
      <alignment horizontal="left" vertical="center" indent="1"/>
      <protection locked="0"/>
    </xf>
    <xf numFmtId="0" fontId="14" fillId="0" borderId="0" xfId="0" applyFont="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Font="1" applyBorder="1" applyAlignment="1" applyProtection="1">
      <alignment horizontal="left" vertical="center" indent="1"/>
      <protection locked="0"/>
    </xf>
    <xf numFmtId="0" fontId="14" fillId="0" borderId="124" xfId="12"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23"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23" xfId="12" applyFont="1" applyBorder="1" applyAlignment="1" applyProtection="1">
      <alignment horizontal="left" vertical="center" readingOrder="1"/>
      <protection locked="0"/>
    </xf>
    <xf numFmtId="0" fontId="14" fillId="0" borderId="126" xfId="0" applyFont="1" applyBorder="1" applyAlignment="1" applyProtection="1">
      <alignment horizontal="left" vertical="center" readingOrder="1"/>
      <protection locked="0"/>
    </xf>
    <xf numFmtId="0" fontId="11" fillId="0" borderId="126" xfId="0" applyFont="1" applyBorder="1" applyAlignment="1" applyProtection="1">
      <alignment vertical="center" readingOrder="1"/>
      <protection locked="0"/>
    </xf>
    <xf numFmtId="0" fontId="11" fillId="0" borderId="124" xfId="0" applyFont="1" applyBorder="1" applyAlignment="1" applyProtection="1">
      <alignment vertical="center" readingOrder="1"/>
      <protection locked="0"/>
    </xf>
    <xf numFmtId="0" fontId="14" fillId="0" borderId="123" xfId="12" applyFont="1" applyBorder="1" applyAlignment="1" applyProtection="1">
      <alignment horizontal="left" vertical="center"/>
      <protection locked="0"/>
    </xf>
    <xf numFmtId="0" fontId="14" fillId="0" borderId="126" xfId="0" applyFont="1" applyBorder="1" applyAlignment="1" applyProtection="1">
      <alignment horizontal="left" vertical="center"/>
      <protection locked="0"/>
    </xf>
    <xf numFmtId="0" fontId="11" fillId="0" borderId="126" xfId="0" applyFont="1" applyBorder="1" applyAlignment="1" applyProtection="1">
      <alignment vertical="center"/>
      <protection locked="0"/>
    </xf>
    <xf numFmtId="0" fontId="11" fillId="0" borderId="124"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21" fillId="0" borderId="123" xfId="12" applyFont="1"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0" fillId="0" borderId="124" xfId="0" applyBorder="1" applyAlignment="1" applyProtection="1">
      <alignment horizontal="left" vertical="center"/>
      <protection locked="0"/>
    </xf>
    <xf numFmtId="49" fontId="34" fillId="0" borderId="123" xfId="2" applyNumberFormat="1" applyFill="1" applyBorder="1" applyAlignment="1" applyProtection="1">
      <alignment horizontal="left" vertical="center" indent="1"/>
      <protection locked="0"/>
    </xf>
    <xf numFmtId="49" fontId="38" fillId="0" borderId="126" xfId="0" applyNumberFormat="1" applyFont="1" applyBorder="1" applyAlignment="1" applyProtection="1">
      <alignment horizontal="left" vertical="center" indent="1"/>
      <protection locked="0"/>
    </xf>
    <xf numFmtId="49" fontId="38" fillId="0" borderId="124"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26" xfId="0" applyNumberFormat="1" applyFont="1" applyBorder="1" applyAlignment="1" applyProtection="1">
      <alignment horizontal="left" vertical="center" indent="1"/>
      <protection locked="0"/>
    </xf>
    <xf numFmtId="180" fontId="14" fillId="0" borderId="124"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23" xfId="2" applyNumberFormat="1" applyBorder="1" applyAlignment="1" applyProtection="1">
      <alignment horizontal="left" vertical="center" indent="1"/>
      <protection locked="0"/>
    </xf>
    <xf numFmtId="0" fontId="45" fillId="0" borderId="126" xfId="2" applyNumberFormat="1" applyFont="1" applyBorder="1" applyAlignment="1" applyProtection="1">
      <alignment horizontal="left" vertical="center" indent="1"/>
      <protection locked="0"/>
    </xf>
    <xf numFmtId="0" fontId="45" fillId="0" borderId="126" xfId="2" applyFont="1" applyBorder="1" applyAlignment="1" applyProtection="1">
      <alignment horizontal="left" vertical="center" indent="1"/>
      <protection locked="0"/>
    </xf>
    <xf numFmtId="0" fontId="21" fillId="0" borderId="126" xfId="0" applyFont="1" applyBorder="1" applyAlignment="1" applyProtection="1">
      <alignment horizontal="left" vertical="center" indent="1"/>
      <protection locked="0"/>
    </xf>
    <xf numFmtId="0" fontId="21" fillId="0" borderId="124" xfId="0" applyFont="1" applyBorder="1" applyAlignment="1" applyProtection="1">
      <alignment horizontal="left" vertical="center" indent="1"/>
      <protection locked="0"/>
    </xf>
    <xf numFmtId="180" fontId="14" fillId="0" borderId="123"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1026102</xdr:colOff>
          <xdr:row>1</xdr:row>
          <xdr:rowOff>2598</xdr:rowOff>
        </xdr:from>
        <xdr:to>
          <xdr:col>1</xdr:col>
          <xdr:colOff>1940502</xdr:colOff>
          <xdr:row>5</xdr:row>
          <xdr:rowOff>51089</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549852</xdr:colOff>
          <xdr:row>5</xdr:row>
          <xdr:rowOff>70139</xdr:rowOff>
        </xdr:from>
        <xdr:to>
          <xdr:col>1</xdr:col>
          <xdr:colOff>1464252</xdr:colOff>
          <xdr:row>9</xdr:row>
          <xdr:rowOff>118630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1" t="s">
        <v>402</v>
      </c>
      <c r="J1" s="2112"/>
      <c r="K1" s="2112"/>
      <c r="L1" s="2112"/>
      <c r="M1" s="2112"/>
      <c r="N1" s="2112"/>
      <c r="O1" s="2112"/>
      <c r="P1" s="2112"/>
      <c r="Q1" s="2112"/>
      <c r="R1" s="2112"/>
      <c r="S1" s="2112"/>
    </row>
    <row r="2" spans="1:32" ht="12" customHeight="1" x14ac:dyDescent="0.2">
      <c r="A2" s="1831" t="str">
        <f>"Due to ISBE on "</f>
        <v xml:space="preserve">Due to ISBE on </v>
      </c>
      <c r="B2" s="2039">
        <f>+'AFR20'!F4</f>
        <v>44151</v>
      </c>
      <c r="C2" s="2039"/>
      <c r="D2" s="2040"/>
      <c r="I2" s="2113" t="s">
        <v>2003</v>
      </c>
      <c r="J2" s="2112"/>
      <c r="K2" s="2112"/>
      <c r="L2" s="2112"/>
      <c r="M2" s="2112"/>
      <c r="N2" s="2112"/>
      <c r="O2" s="2112"/>
      <c r="P2" s="2112"/>
      <c r="Q2" s="2112"/>
      <c r="R2" s="2112"/>
      <c r="S2" s="2112"/>
    </row>
    <row r="3" spans="1:32" ht="12" customHeight="1" x14ac:dyDescent="0.2">
      <c r="A3" s="1834" t="str">
        <f>"SD/JA"&amp;MID('AFR20'!E2,3,2)</f>
        <v>SD/JA20</v>
      </c>
      <c r="B3" s="151"/>
      <c r="C3" s="151"/>
      <c r="D3" s="152"/>
      <c r="I3" s="2113" t="s">
        <v>52</v>
      </c>
      <c r="J3" s="2112"/>
      <c r="K3" s="2112"/>
      <c r="L3" s="2112"/>
      <c r="M3" s="2112"/>
      <c r="N3" s="2112"/>
      <c r="O3" s="2112"/>
      <c r="P3" s="2112"/>
      <c r="Q3" s="2112"/>
      <c r="R3" s="2112"/>
      <c r="S3" s="2112"/>
    </row>
    <row r="4" spans="1:32" ht="12" customHeight="1" x14ac:dyDescent="0.2">
      <c r="A4" s="37"/>
      <c r="I4" s="2113" t="s">
        <v>521</v>
      </c>
      <c r="J4" s="2112"/>
      <c r="K4" s="2112"/>
      <c r="L4" s="2112"/>
      <c r="M4" s="2112"/>
      <c r="N4" s="2112"/>
      <c r="O4" s="2112"/>
      <c r="P4" s="2112"/>
      <c r="Q4" s="2112"/>
      <c r="R4" s="2112"/>
      <c r="S4" s="2112"/>
    </row>
    <row r="5" spans="1:32" ht="14.1" customHeight="1" x14ac:dyDescent="0.2">
      <c r="B5" s="101"/>
      <c r="C5" s="26" t="s">
        <v>904</v>
      </c>
      <c r="D5" s="81"/>
      <c r="E5" s="81"/>
      <c r="H5" s="38"/>
      <c r="I5" s="2120" t="s">
        <v>675</v>
      </c>
      <c r="J5" s="2070"/>
      <c r="K5" s="2070"/>
      <c r="L5" s="2070"/>
      <c r="M5" s="2070"/>
      <c r="N5" s="2070"/>
      <c r="O5" s="2070"/>
      <c r="P5" s="2070"/>
      <c r="Q5" s="2070"/>
      <c r="R5" s="2070"/>
      <c r="S5" s="2070"/>
      <c r="AF5" s="1827"/>
    </row>
    <row r="6" spans="1:32" ht="14.1" customHeight="1" x14ac:dyDescent="0.2">
      <c r="B6" s="101" t="s">
        <v>2051</v>
      </c>
      <c r="C6" s="26" t="s">
        <v>905</v>
      </c>
      <c r="D6" s="81"/>
      <c r="E6" s="81"/>
      <c r="I6" s="2119" t="s">
        <v>877</v>
      </c>
      <c r="J6" s="2070"/>
      <c r="K6" s="2070"/>
      <c r="L6" s="2070"/>
      <c r="M6" s="2070"/>
      <c r="N6" s="2070"/>
      <c r="O6" s="2070"/>
      <c r="P6" s="2070"/>
      <c r="Q6" s="2070"/>
      <c r="R6" s="2070"/>
      <c r="S6" s="2070"/>
    </row>
    <row r="7" spans="1:32" ht="12.2" customHeight="1" x14ac:dyDescent="0.2">
      <c r="I7" s="2114" t="str">
        <f>"June 30, "&amp;'AFR20'!E2</f>
        <v>June 30, 2020</v>
      </c>
      <c r="J7" s="2115"/>
      <c r="K7" s="2115"/>
      <c r="L7" s="2115"/>
      <c r="M7" s="2115"/>
      <c r="N7" s="2115"/>
      <c r="O7" s="2115"/>
      <c r="P7" s="2115"/>
      <c r="Q7" s="2115"/>
      <c r="R7" s="2115"/>
      <c r="S7" s="211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6" t="s">
        <v>669</v>
      </c>
      <c r="J9" s="2117"/>
      <c r="K9" s="2117"/>
      <c r="L9" s="2117"/>
      <c r="M9" s="2117"/>
      <c r="N9" s="2117"/>
      <c r="O9" s="2117"/>
      <c r="P9" s="2117"/>
      <c r="Q9" s="2117"/>
      <c r="R9" s="2117"/>
      <c r="S9" s="2118"/>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t="s">
        <v>2051</v>
      </c>
      <c r="P12" s="97" t="s">
        <v>200</v>
      </c>
      <c r="Q12" s="71"/>
      <c r="R12" s="30"/>
      <c r="S12" s="30"/>
      <c r="T12" s="82" t="s">
        <v>263</v>
      </c>
      <c r="U12" s="48"/>
      <c r="V12" s="48"/>
      <c r="W12" s="48"/>
      <c r="X12" s="48"/>
      <c r="Y12" s="43"/>
      <c r="Z12" s="43"/>
      <c r="AA12" s="44"/>
    </row>
    <row r="13" spans="1:32" ht="13.5" customHeight="1" x14ac:dyDescent="0.2">
      <c r="A13" s="2084">
        <v>31045129061</v>
      </c>
      <c r="B13" s="2085"/>
      <c r="C13" s="2085"/>
      <c r="D13" s="2085"/>
      <c r="E13" s="2085"/>
      <c r="F13" s="2085"/>
      <c r="G13" s="2085"/>
      <c r="H13" s="2086"/>
      <c r="I13" s="31"/>
      <c r="J13" s="30"/>
      <c r="K13" s="28"/>
      <c r="L13" s="30"/>
      <c r="M13" s="30"/>
      <c r="N13" s="30"/>
      <c r="O13" s="30"/>
      <c r="P13" s="30"/>
      <c r="Q13" s="30"/>
      <c r="R13" s="30"/>
      <c r="S13" s="30"/>
      <c r="T13" s="2087" t="s">
        <v>2059</v>
      </c>
      <c r="U13" s="2088"/>
      <c r="V13" s="2088"/>
      <c r="W13" s="2088"/>
      <c r="X13" s="2088"/>
      <c r="Y13" s="2089"/>
      <c r="Z13" s="2089"/>
      <c r="AA13" s="209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1" t="s">
        <v>2052</v>
      </c>
      <c r="B15" s="2061"/>
      <c r="C15" s="2061"/>
      <c r="D15" s="2061"/>
      <c r="E15" s="2061"/>
      <c r="F15" s="2061"/>
      <c r="G15" s="2061"/>
      <c r="H15" s="2062"/>
      <c r="T15" s="2091" t="s">
        <v>2060</v>
      </c>
      <c r="U15" s="2092"/>
      <c r="V15" s="2092"/>
      <c r="W15" s="2092"/>
      <c r="X15" s="2092"/>
      <c r="Y15" s="2093"/>
      <c r="Z15" s="2093"/>
      <c r="AA15" s="209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2072</v>
      </c>
      <c r="B17" s="2045"/>
      <c r="C17" s="2045"/>
      <c r="D17" s="2045"/>
      <c r="E17" s="2045"/>
      <c r="F17" s="2045"/>
      <c r="G17" s="2045"/>
      <c r="H17" s="2110"/>
      <c r="T17" s="2097" t="s">
        <v>2061</v>
      </c>
      <c r="U17" s="2098"/>
      <c r="V17" s="2098"/>
      <c r="W17" s="2098"/>
      <c r="X17" s="2098"/>
      <c r="Y17" s="2098"/>
      <c r="Z17" s="2098"/>
      <c r="AA17" s="2099"/>
    </row>
    <row r="18" spans="1:27" ht="13.5" customHeight="1" x14ac:dyDescent="0.2">
      <c r="A18" s="82" t="s">
        <v>527</v>
      </c>
      <c r="B18" s="73"/>
      <c r="C18" s="69"/>
      <c r="D18" s="73"/>
      <c r="E18" s="73"/>
      <c r="F18" s="73"/>
      <c r="G18" s="73"/>
      <c r="H18" s="53"/>
      <c r="I18" s="2107" t="s">
        <v>671</v>
      </c>
      <c r="J18" s="2108"/>
      <c r="K18" s="2108"/>
      <c r="L18" s="2108"/>
      <c r="M18" s="2108"/>
      <c r="N18" s="2108"/>
      <c r="O18" s="2108"/>
      <c r="P18" s="2108"/>
      <c r="Q18" s="2108"/>
      <c r="R18" s="2108"/>
      <c r="S18" s="2109"/>
      <c r="T18" s="82" t="s">
        <v>706</v>
      </c>
      <c r="U18" s="48"/>
      <c r="V18" s="69"/>
      <c r="W18" s="47"/>
      <c r="X18" s="82" t="s">
        <v>264</v>
      </c>
      <c r="Y18" s="78"/>
      <c r="Z18" s="154" t="s">
        <v>672</v>
      </c>
      <c r="AA18" s="44"/>
    </row>
    <row r="19" spans="1:27" ht="13.5" customHeight="1" x14ac:dyDescent="0.2">
      <c r="A19" s="2081" t="s">
        <v>2053</v>
      </c>
      <c r="B19" s="2082"/>
      <c r="C19" s="2082"/>
      <c r="D19" s="2082"/>
      <c r="E19" s="2082"/>
      <c r="F19" s="2082"/>
      <c r="G19" s="2082"/>
      <c r="H19" s="2083"/>
      <c r="I19" s="30"/>
      <c r="J19" s="96"/>
      <c r="K19" s="40"/>
      <c r="L19" s="38"/>
      <c r="M19" s="109" t="s">
        <v>312</v>
      </c>
      <c r="P19" s="27"/>
      <c r="Q19" s="27"/>
      <c r="R19" s="27"/>
      <c r="S19" s="31"/>
      <c r="T19" s="2081" t="s">
        <v>2062</v>
      </c>
      <c r="U19" s="2082"/>
      <c r="V19" s="2082"/>
      <c r="W19" s="2083"/>
      <c r="X19" s="2096" t="s">
        <v>2063</v>
      </c>
      <c r="Y19" s="2082"/>
      <c r="Z19" s="2095">
        <v>60522</v>
      </c>
      <c r="AA19" s="208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2054</v>
      </c>
      <c r="B21" s="2082"/>
      <c r="C21" s="2082"/>
      <c r="D21" s="2082"/>
      <c r="E21" s="2082"/>
      <c r="F21" s="2082"/>
      <c r="G21" s="2082"/>
      <c r="H21" s="2083"/>
      <c r="I21" s="2103" t="s">
        <v>673</v>
      </c>
      <c r="J21" s="2070"/>
      <c r="K21" s="2070"/>
      <c r="L21" s="2070"/>
      <c r="M21" s="2070"/>
      <c r="N21" s="2070"/>
      <c r="O21" s="2070"/>
      <c r="P21" s="2070"/>
      <c r="Q21" s="2070"/>
      <c r="R21" s="2070"/>
      <c r="S21" s="2071"/>
      <c r="T21" s="2049" t="s">
        <v>2064</v>
      </c>
      <c r="U21" s="2050"/>
      <c r="V21" s="2050"/>
      <c r="W21" s="2050"/>
      <c r="X21" s="2063" t="s">
        <v>2065</v>
      </c>
      <c r="Y21" s="2064"/>
      <c r="Z21" s="2064"/>
      <c r="AA21" s="2065"/>
    </row>
    <row r="22" spans="1:27" ht="13.5" customHeight="1" x14ac:dyDescent="0.2">
      <c r="A22" s="84" t="s">
        <v>528</v>
      </c>
      <c r="B22" s="56"/>
      <c r="C22" s="56"/>
      <c r="D22" s="56"/>
      <c r="E22" s="56"/>
      <c r="F22" s="56"/>
      <c r="G22" s="56"/>
      <c r="H22" s="57"/>
      <c r="I22" s="2104" t="s">
        <v>1412</v>
      </c>
      <c r="J22" s="2105"/>
      <c r="K22" s="2105"/>
      <c r="L22" s="2105"/>
      <c r="M22" s="2105"/>
      <c r="N22" s="2105"/>
      <c r="O22" s="2105"/>
      <c r="P22" s="2105"/>
      <c r="Q22" s="2105"/>
      <c r="R22" s="2105"/>
      <c r="S22" s="2106"/>
      <c r="T22" s="82" t="s">
        <v>1499</v>
      </c>
      <c r="U22" s="48"/>
      <c r="V22" s="69"/>
      <c r="W22" s="48"/>
      <c r="X22" s="155" t="s">
        <v>1307</v>
      </c>
      <c r="Z22" s="43"/>
      <c r="AA22" s="44"/>
    </row>
    <row r="23" spans="1:27" ht="13.5" customHeight="1" x14ac:dyDescent="0.2">
      <c r="A23" s="2100" t="s">
        <v>2055</v>
      </c>
      <c r="B23" s="2101"/>
      <c r="C23" s="2101"/>
      <c r="D23" s="2101"/>
      <c r="E23" s="2101"/>
      <c r="F23" s="2101"/>
      <c r="G23" s="2101"/>
      <c r="H23" s="2102"/>
      <c r="T23" s="2044" t="s">
        <v>2066</v>
      </c>
      <c r="U23" s="2045"/>
      <c r="V23" s="2045"/>
      <c r="W23" s="2045"/>
      <c r="X23" s="2060">
        <v>44530</v>
      </c>
      <c r="Y23" s="2061"/>
      <c r="Z23" s="2061"/>
      <c r="AA23" s="2062"/>
    </row>
    <row r="24" spans="1:27" ht="14.1" customHeight="1" x14ac:dyDescent="0.2">
      <c r="A24" s="85" t="s">
        <v>672</v>
      </c>
      <c r="B24" s="46"/>
      <c r="C24" s="46"/>
      <c r="D24" s="46"/>
      <c r="E24" s="46"/>
      <c r="F24" s="46"/>
      <c r="G24" s="46"/>
      <c r="H24" s="58"/>
      <c r="J24" s="2142" t="str">
        <f>IF(B5="x",IF(AUDITCHECK!D29="AFR form Incomplete.","",IF(AUDITCHECK!D29="Deficit reduction plan is required.","School District must complete a deficit reduction plan in the 2020-2021 Budget",)),"")</f>
        <v/>
      </c>
      <c r="K24" s="2142"/>
      <c r="L24" s="2142"/>
      <c r="M24" s="2142"/>
      <c r="N24" s="2142"/>
      <c r="O24" s="2142"/>
      <c r="P24" s="2142"/>
      <c r="Q24" s="2142"/>
      <c r="R24" s="2142"/>
      <c r="S24" s="2143"/>
      <c r="T24" s="102" t="s">
        <v>528</v>
      </c>
      <c r="U24" s="103"/>
      <c r="V24" s="103"/>
      <c r="W24" s="103"/>
      <c r="X24" s="104"/>
      <c r="Y24" s="104"/>
      <c r="Z24" s="104"/>
      <c r="AA24" s="105"/>
    </row>
    <row r="25" spans="1:27" ht="14.1" customHeight="1" x14ac:dyDescent="0.2">
      <c r="A25" s="2081">
        <v>60506</v>
      </c>
      <c r="B25" s="2082"/>
      <c r="C25" s="2082"/>
      <c r="D25" s="2082"/>
      <c r="E25" s="2082"/>
      <c r="F25" s="2082"/>
      <c r="G25" s="2082"/>
      <c r="H25" s="2083"/>
      <c r="I25" s="110"/>
      <c r="J25" s="2144"/>
      <c r="K25" s="2144"/>
      <c r="L25" s="2144"/>
      <c r="M25" s="2144"/>
      <c r="N25" s="2144"/>
      <c r="O25" s="2144"/>
      <c r="P25" s="2144"/>
      <c r="Q25" s="2144"/>
      <c r="R25" s="2144"/>
      <c r="S25" s="2145"/>
      <c r="T25" s="2041" t="s">
        <v>2067</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3" t="s">
        <v>1494</v>
      </c>
      <c r="J27" s="2108"/>
      <c r="K27" s="2108"/>
      <c r="L27" s="2108"/>
      <c r="M27" s="2108"/>
      <c r="N27" s="2108"/>
      <c r="O27" s="2108"/>
      <c r="P27" s="2108"/>
      <c r="Q27" s="2108"/>
      <c r="R27" s="2108"/>
      <c r="S27" s="2109"/>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40"/>
      <c r="Q35" s="2141"/>
      <c r="R35" s="214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2056</v>
      </c>
      <c r="B38" s="2045"/>
      <c r="C38" s="2045"/>
      <c r="D38" s="2045"/>
      <c r="E38" s="2045"/>
      <c r="F38" s="2082"/>
      <c r="G38" s="2082"/>
      <c r="H38" s="2083"/>
      <c r="I38" s="2127"/>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1" t="s">
        <v>528</v>
      </c>
      <c r="B39" s="2132"/>
      <c r="C39" s="69"/>
      <c r="D39" s="66"/>
      <c r="E39" s="66"/>
      <c r="F39" s="76"/>
      <c r="G39" s="66"/>
      <c r="H39" s="53"/>
      <c r="I39" s="2131" t="s">
        <v>528</v>
      </c>
      <c r="J39" s="2132"/>
      <c r="K39" s="2132"/>
      <c r="L39" s="2132"/>
      <c r="M39" s="2132"/>
      <c r="N39" s="64"/>
      <c r="O39" s="69"/>
      <c r="P39" s="69"/>
      <c r="Q39" s="75"/>
      <c r="R39" s="69"/>
      <c r="S39" s="53"/>
      <c r="T39" s="69" t="s">
        <v>528</v>
      </c>
      <c r="U39" s="48"/>
      <c r="V39" s="69"/>
      <c r="W39" s="47"/>
      <c r="X39" s="75"/>
      <c r="Y39" s="43"/>
      <c r="Z39" s="43"/>
      <c r="AA39" s="44"/>
    </row>
    <row r="40" spans="1:27" ht="13.5" customHeight="1" x14ac:dyDescent="0.2">
      <c r="A40" s="2134" t="s">
        <v>2055</v>
      </c>
      <c r="B40" s="2135"/>
      <c r="C40" s="2136"/>
      <c r="D40" s="2136"/>
      <c r="E40" s="2136"/>
      <c r="F40" s="2137"/>
      <c r="G40" s="2137"/>
      <c r="H40" s="2138"/>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3" t="s">
        <v>2057</v>
      </c>
      <c r="B42" s="2125"/>
      <c r="C42" s="2126"/>
      <c r="D42" s="2139" t="s">
        <v>2058</v>
      </c>
      <c r="E42" s="2125"/>
      <c r="F42" s="2125"/>
      <c r="G42" s="2125"/>
      <c r="H42" s="2126"/>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28"/>
      <c r="B44" s="2129"/>
      <c r="C44" s="2129"/>
      <c r="D44" s="2129"/>
      <c r="E44" s="2129"/>
      <c r="F44" s="2129"/>
      <c r="G44" s="2129"/>
      <c r="H44" s="2130"/>
      <c r="I44" s="2121"/>
      <c r="J44" s="2123"/>
      <c r="K44" s="2123"/>
      <c r="L44" s="2123"/>
      <c r="M44" s="2123"/>
      <c r="N44" s="2123"/>
      <c r="O44" s="2123"/>
      <c r="P44" s="2123"/>
      <c r="Q44" s="2123"/>
      <c r="R44" s="2123"/>
      <c r="S44" s="2124"/>
      <c r="T44" s="2121"/>
      <c r="U44" s="2122"/>
      <c r="V44" s="2122"/>
      <c r="W44" s="2122"/>
      <c r="X44" s="2122"/>
      <c r="Y44" s="2122"/>
      <c r="Z44" s="2123"/>
      <c r="AA44" s="2124"/>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26" sqref="B2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4"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5"/>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0" t="s">
        <v>625</v>
      </c>
      <c r="B1" s="2291"/>
      <c r="C1" s="585"/>
    </row>
    <row r="2" spans="1:7" ht="33.75" x14ac:dyDescent="0.2">
      <c r="A2" s="2299" t="s">
        <v>1779</v>
      </c>
      <c r="B2" s="2300"/>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3" t="s">
        <v>1104</v>
      </c>
      <c r="B3" s="2304"/>
      <c r="C3" s="2292"/>
      <c r="D3" s="2293"/>
      <c r="E3" s="2293"/>
      <c r="F3" s="2294"/>
    </row>
    <row r="4" spans="1:7" ht="12.75" customHeight="1" thickBot="1" x14ac:dyDescent="0.25">
      <c r="A4" s="2301" t="s">
        <v>626</v>
      </c>
      <c r="B4" s="2302"/>
      <c r="C4" s="1656"/>
      <c r="D4" s="1656"/>
      <c r="E4" s="1656"/>
      <c r="F4" s="1732">
        <f>SUM(C4+D4)-E4</f>
        <v>0</v>
      </c>
    </row>
    <row r="5" spans="1:7" ht="15.75" customHeight="1" thickTop="1" x14ac:dyDescent="0.2">
      <c r="A5" s="2286" t="s">
        <v>1101</v>
      </c>
      <c r="B5" s="2287"/>
      <c r="C5" s="2295"/>
      <c r="D5" s="2296"/>
      <c r="E5" s="2296"/>
      <c r="F5" s="2297"/>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88" t="s">
        <v>627</v>
      </c>
      <c r="B15" s="2289"/>
      <c r="C15" s="1732">
        <f>SUM(C6:C14)</f>
        <v>0</v>
      </c>
      <c r="D15" s="1732">
        <f>SUM(D6:D14)</f>
        <v>0</v>
      </c>
      <c r="E15" s="1732">
        <f>SUM(E6:E14)</f>
        <v>0</v>
      </c>
      <c r="F15" s="1732">
        <f>SUM(F6:F14)</f>
        <v>0</v>
      </c>
      <c r="G15" s="473"/>
    </row>
    <row r="16" spans="1:7" s="197" customFormat="1" ht="15.75" customHeight="1" thickTop="1" x14ac:dyDescent="0.2">
      <c r="A16" s="2298" t="s">
        <v>1102</v>
      </c>
      <c r="B16" s="2287"/>
      <c r="C16" s="2295"/>
      <c r="D16" s="2296"/>
      <c r="E16" s="2296"/>
      <c r="F16" s="2297"/>
    </row>
    <row r="17" spans="1:11" ht="12.75" customHeight="1" thickBot="1" x14ac:dyDescent="0.25">
      <c r="A17" s="2311" t="s">
        <v>64</v>
      </c>
      <c r="B17" s="2312"/>
      <c r="C17" s="1733"/>
      <c r="D17" s="1664"/>
      <c r="E17" s="1733"/>
      <c r="F17" s="1732">
        <f>SUM(C17+D17)-E17</f>
        <v>0</v>
      </c>
    </row>
    <row r="18" spans="1:11" ht="12.75" customHeight="1" thickTop="1" thickBot="1" x14ac:dyDescent="0.25">
      <c r="A18" s="2311" t="s">
        <v>6</v>
      </c>
      <c r="B18" s="2312"/>
      <c r="C18" s="1733"/>
      <c r="D18" s="1664"/>
      <c r="E18" s="1733"/>
      <c r="F18" s="1732">
        <f>SUM(C18+D18)-E18</f>
        <v>0</v>
      </c>
    </row>
    <row r="19" spans="1:11" ht="12.75" customHeight="1" thickTop="1" thickBot="1" x14ac:dyDescent="0.25">
      <c r="A19" s="2311" t="s">
        <v>385</v>
      </c>
      <c r="B19" s="2312"/>
      <c r="C19" s="1733"/>
      <c r="D19" s="1664"/>
      <c r="E19" s="1733"/>
      <c r="F19" s="1732">
        <f>SUM(C19+D19)-E19</f>
        <v>0</v>
      </c>
    </row>
    <row r="20" spans="1:11" ht="12.75" customHeight="1" thickTop="1" thickBot="1" x14ac:dyDescent="0.25">
      <c r="A20" s="2311" t="s">
        <v>445</v>
      </c>
      <c r="B20" s="2312"/>
      <c r="C20" s="1733"/>
      <c r="D20" s="1664"/>
      <c r="E20" s="1733"/>
      <c r="F20" s="1732">
        <f>SUM(C20+D20)-E20</f>
        <v>0</v>
      </c>
    </row>
    <row r="21" spans="1:11" ht="14.25" thickTop="1" thickBot="1" x14ac:dyDescent="0.25">
      <c r="A21" s="2288" t="s">
        <v>628</v>
      </c>
      <c r="B21" s="2289"/>
      <c r="C21" s="1732">
        <f>SUM(C17:C20)</f>
        <v>0</v>
      </c>
      <c r="D21" s="1732">
        <f>SUM(D17:D20)</f>
        <v>0</v>
      </c>
      <c r="E21" s="1732">
        <f>SUM(E17:E20)</f>
        <v>0</v>
      </c>
      <c r="F21" s="1732">
        <f>SUM(F17:F20)</f>
        <v>0</v>
      </c>
      <c r="G21" s="473"/>
    </row>
    <row r="22" spans="1:11" ht="15.75" customHeight="1" thickTop="1" x14ac:dyDescent="0.2">
      <c r="A22" s="2313" t="s">
        <v>1103</v>
      </c>
      <c r="B22" s="2287"/>
      <c r="C22" s="2295"/>
      <c r="D22" s="2296"/>
      <c r="E22" s="2296"/>
      <c r="F22" s="2297"/>
    </row>
    <row r="23" spans="1:11" ht="13.5" thickBot="1" x14ac:dyDescent="0.25">
      <c r="A23" s="2301" t="s">
        <v>629</v>
      </c>
      <c r="B23" s="2302"/>
      <c r="C23" s="1656"/>
      <c r="D23" s="1656"/>
      <c r="E23" s="1656"/>
      <c r="F23" s="1732">
        <f>SUM(C23+D23)-E23</f>
        <v>0</v>
      </c>
      <c r="G23" s="473"/>
    </row>
    <row r="24" spans="1:11" ht="15.75" customHeight="1" thickTop="1" x14ac:dyDescent="0.2">
      <c r="A24" s="2313" t="s">
        <v>2006</v>
      </c>
      <c r="B24" s="2287"/>
      <c r="C24" s="2295"/>
      <c r="D24" s="2296"/>
      <c r="E24" s="2296"/>
      <c r="F24" s="2297"/>
    </row>
    <row r="25" spans="1:11" ht="13.5" thickBot="1" x14ac:dyDescent="0.25">
      <c r="A25" s="2301" t="s">
        <v>2007</v>
      </c>
      <c r="B25" s="2302"/>
      <c r="C25" s="1656"/>
      <c r="D25" s="1656"/>
      <c r="E25" s="1656"/>
      <c r="F25" s="1732">
        <f>SUM(C25+D25)-E25</f>
        <v>0</v>
      </c>
      <c r="G25" s="473"/>
    </row>
    <row r="26" spans="1:11" ht="15.75" customHeight="1" thickTop="1" x14ac:dyDescent="0.2">
      <c r="A26" s="2286" t="s">
        <v>652</v>
      </c>
      <c r="B26" s="2287"/>
      <c r="C26" s="589"/>
      <c r="D26" s="589"/>
      <c r="E26" s="589"/>
      <c r="F26" s="590"/>
    </row>
    <row r="27" spans="1:11" ht="13.5" thickBot="1" x14ac:dyDescent="0.25">
      <c r="A27" s="2288" t="s">
        <v>1061</v>
      </c>
      <c r="B27" s="2289"/>
      <c r="C27" s="1664"/>
      <c r="D27" s="1664"/>
      <c r="E27" s="1664"/>
      <c r="F27" s="1732">
        <f>SUM(C27+D27)-E27</f>
        <v>0</v>
      </c>
      <c r="G27" s="473"/>
    </row>
    <row r="28" spans="1:11" ht="7.5" customHeight="1" thickTop="1" x14ac:dyDescent="0.2">
      <c r="A28" s="489"/>
    </row>
    <row r="29" spans="1:11" ht="23.25" customHeight="1" x14ac:dyDescent="0.2">
      <c r="A29" s="2314" t="s">
        <v>578</v>
      </c>
      <c r="B29" s="2291"/>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5" t="s">
        <v>580</v>
      </c>
      <c r="C52" s="2306"/>
      <c r="D52" s="2306"/>
      <c r="E52" s="603" t="s">
        <v>840</v>
      </c>
      <c r="F52" s="2307"/>
      <c r="G52" s="2308"/>
      <c r="H52" s="596"/>
      <c r="I52" s="596"/>
      <c r="J52" s="600"/>
    </row>
    <row r="53" spans="1:11" ht="11.25" customHeight="1" x14ac:dyDescent="0.2">
      <c r="A53" s="604" t="s">
        <v>907</v>
      </c>
      <c r="B53" s="605" t="s">
        <v>945</v>
      </c>
      <c r="C53" s="600"/>
      <c r="D53" s="597"/>
      <c r="E53" s="603" t="s">
        <v>494</v>
      </c>
      <c r="F53" s="2309"/>
      <c r="G53" s="2310"/>
      <c r="H53" s="596"/>
      <c r="I53" s="596"/>
      <c r="J53" s="600"/>
    </row>
    <row r="54" spans="1:11" ht="11.25" customHeight="1" x14ac:dyDescent="0.2">
      <c r="A54" s="606" t="s">
        <v>908</v>
      </c>
      <c r="B54" s="601" t="s">
        <v>946</v>
      </c>
      <c r="C54" s="600"/>
      <c r="D54" s="597"/>
      <c r="E54" s="603" t="s">
        <v>495</v>
      </c>
      <c r="F54" s="2309"/>
      <c r="G54" s="231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1" t="s">
        <v>851</v>
      </c>
      <c r="B1" s="2342"/>
      <c r="C1" s="2342"/>
      <c r="D1" s="2342"/>
      <c r="E1" s="2342"/>
      <c r="F1" s="2342"/>
      <c r="G1" s="2343"/>
      <c r="H1" s="1298"/>
      <c r="I1" s="614"/>
      <c r="J1" s="400"/>
    </row>
    <row r="2" spans="1:11" ht="26.25" x14ac:dyDescent="0.2">
      <c r="A2" s="2318" t="s">
        <v>1658</v>
      </c>
      <c r="B2" s="2319"/>
      <c r="C2" s="2319"/>
      <c r="D2" s="2319"/>
      <c r="E2" s="2320"/>
      <c r="F2" s="615" t="s">
        <v>898</v>
      </c>
      <c r="G2" s="616" t="s">
        <v>1655</v>
      </c>
      <c r="H2" s="616" t="s">
        <v>407</v>
      </c>
      <c r="I2" s="616" t="s">
        <v>1148</v>
      </c>
      <c r="J2" s="616" t="s">
        <v>1789</v>
      </c>
      <c r="K2" s="616" t="s">
        <v>137</v>
      </c>
    </row>
    <row r="3" spans="1:11" x14ac:dyDescent="0.2">
      <c r="A3" s="2321" t="str">
        <f>"Cash Basis Fund Balance as of July 1, "&amp;'AFR20'!E2-1</f>
        <v>Cash Basis Fund Balance as of July 1, 2019</v>
      </c>
      <c r="B3" s="2322"/>
      <c r="C3" s="2322"/>
      <c r="D3" s="2322"/>
      <c r="E3" s="2323"/>
      <c r="F3" s="617"/>
      <c r="G3" s="1744"/>
      <c r="H3" s="1744"/>
      <c r="I3" s="1744"/>
      <c r="J3" s="1745"/>
      <c r="K3" s="1745"/>
    </row>
    <row r="4" spans="1:11" x14ac:dyDescent="0.2">
      <c r="A4" s="2324" t="s">
        <v>366</v>
      </c>
      <c r="B4" s="2325"/>
      <c r="C4" s="2325"/>
      <c r="D4" s="2325"/>
      <c r="E4" s="2306"/>
      <c r="F4" s="620"/>
      <c r="G4" s="1746"/>
      <c r="H4" s="1747"/>
      <c r="I4" s="1746"/>
      <c r="J4" s="1748"/>
      <c r="K4" s="1748"/>
    </row>
    <row r="5" spans="1:11" x14ac:dyDescent="0.2">
      <c r="A5" s="2344" t="s">
        <v>1060</v>
      </c>
      <c r="B5" s="2315"/>
      <c r="C5" s="2315"/>
      <c r="D5" s="2315"/>
      <c r="E5" s="2345"/>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4" t="s">
        <v>1790</v>
      </c>
      <c r="B10" s="2315"/>
      <c r="C10" s="2315"/>
      <c r="D10" s="2315"/>
      <c r="E10" s="2346"/>
      <c r="F10" s="633" t="s">
        <v>857</v>
      </c>
      <c r="G10" s="1753"/>
      <c r="H10" s="1754"/>
      <c r="I10" s="1744"/>
      <c r="J10" s="1745"/>
      <c r="K10" s="1745"/>
    </row>
    <row r="11" spans="1:11" x14ac:dyDescent="0.2">
      <c r="A11" s="2344" t="s">
        <v>159</v>
      </c>
      <c r="B11" s="2315"/>
      <c r="C11" s="2315"/>
      <c r="D11" s="2315"/>
      <c r="E11" s="2345"/>
      <c r="F11" s="622" t="s">
        <v>847</v>
      </c>
      <c r="G11" s="1749"/>
      <c r="H11" s="1744"/>
      <c r="I11" s="1744"/>
      <c r="J11" s="1745"/>
      <c r="K11" s="1751"/>
    </row>
    <row r="12" spans="1:11" ht="13.5" thickBot="1" x14ac:dyDescent="0.25">
      <c r="A12" s="2332" t="s">
        <v>899</v>
      </c>
      <c r="B12" s="2333"/>
      <c r="C12" s="2333"/>
      <c r="D12" s="2333"/>
      <c r="E12" s="2334"/>
      <c r="F12" s="1433"/>
      <c r="G12" s="1755">
        <f>SUM(G5:G11)</f>
        <v>0</v>
      </c>
      <c r="H12" s="1755">
        <f>SUM(H5:H11)</f>
        <v>0</v>
      </c>
      <c r="I12" s="1755">
        <f>SUM(I5:I11)</f>
        <v>0</v>
      </c>
      <c r="J12" s="1755">
        <f>SUM(J5:J11)</f>
        <v>0</v>
      </c>
      <c r="K12" s="1755">
        <f>SUM(K5:K11)</f>
        <v>0</v>
      </c>
    </row>
    <row r="13" spans="1:11" ht="13.5" thickTop="1" x14ac:dyDescent="0.2">
      <c r="A13" s="2326" t="s">
        <v>367</v>
      </c>
      <c r="B13" s="2327"/>
      <c r="C13" s="2327"/>
      <c r="D13" s="2327"/>
      <c r="E13" s="2328"/>
      <c r="F13" s="634"/>
      <c r="G13" s="1756"/>
      <c r="H13" s="1757"/>
      <c r="I13" s="1758"/>
      <c r="J13" s="1758"/>
      <c r="K13" s="1758"/>
    </row>
    <row r="14" spans="1:11" x14ac:dyDescent="0.2">
      <c r="A14" s="2350" t="s">
        <v>453</v>
      </c>
      <c r="B14" s="2350"/>
      <c r="C14" s="2350"/>
      <c r="D14" s="2350"/>
      <c r="E14" s="2351"/>
      <c r="F14" s="635" t="s">
        <v>849</v>
      </c>
      <c r="G14" s="1753"/>
      <c r="H14" s="1744"/>
      <c r="I14" s="1749"/>
      <c r="J14" s="1751"/>
      <c r="K14" s="1745"/>
    </row>
    <row r="15" spans="1:11" x14ac:dyDescent="0.2">
      <c r="A15" s="2315" t="s">
        <v>4</v>
      </c>
      <c r="B15" s="2315"/>
      <c r="C15" s="2315"/>
      <c r="D15" s="2315"/>
      <c r="E15" s="2345"/>
      <c r="F15" s="635" t="s">
        <v>850</v>
      </c>
      <c r="G15" s="1749"/>
      <c r="H15" s="1744"/>
      <c r="I15" s="1744"/>
      <c r="J15" s="1745"/>
      <c r="K15" s="1745"/>
    </row>
    <row r="16" spans="1:11" x14ac:dyDescent="0.2">
      <c r="A16" s="2315" t="s">
        <v>295</v>
      </c>
      <c r="B16" s="2315"/>
      <c r="C16" s="2315"/>
      <c r="D16" s="2315"/>
      <c r="E16" s="2345"/>
      <c r="F16" s="635" t="s">
        <v>917</v>
      </c>
      <c r="G16" s="1750"/>
      <c r="H16" s="1746"/>
      <c r="I16" s="1746"/>
      <c r="J16" s="1748"/>
      <c r="K16" s="1748"/>
    </row>
    <row r="17" spans="1:15" x14ac:dyDescent="0.2">
      <c r="A17" s="2339" t="s">
        <v>929</v>
      </c>
      <c r="B17" s="2339"/>
      <c r="C17" s="2339"/>
      <c r="D17" s="2339"/>
      <c r="E17" s="2340"/>
      <c r="F17" s="636"/>
      <c r="G17" s="1759"/>
      <c r="H17" s="1760"/>
      <c r="I17" s="1760"/>
      <c r="J17" s="1761"/>
      <c r="K17" s="1762"/>
    </row>
    <row r="18" spans="1:15" x14ac:dyDescent="0.2">
      <c r="A18" s="2329" t="s">
        <v>365</v>
      </c>
      <c r="B18" s="2330"/>
      <c r="C18" s="2330"/>
      <c r="D18" s="2330"/>
      <c r="E18" s="2331"/>
      <c r="F18" s="635" t="s">
        <v>926</v>
      </c>
      <c r="G18" s="1753"/>
      <c r="H18" s="1753"/>
      <c r="I18" s="1753"/>
      <c r="J18" s="1745"/>
      <c r="K18" s="1763"/>
    </row>
    <row r="19" spans="1:15" ht="21.75" customHeight="1" x14ac:dyDescent="0.2">
      <c r="A19" s="2352" t="s">
        <v>1786</v>
      </c>
      <c r="B19" s="2352"/>
      <c r="C19" s="2352"/>
      <c r="D19" s="2352"/>
      <c r="E19" s="2353"/>
      <c r="F19" s="635" t="s">
        <v>927</v>
      </c>
      <c r="G19" s="1753"/>
      <c r="H19" s="1753"/>
      <c r="I19" s="1753"/>
      <c r="J19" s="1745"/>
      <c r="K19" s="1763"/>
    </row>
    <row r="20" spans="1:15" x14ac:dyDescent="0.2">
      <c r="A20" s="2329" t="s">
        <v>1791</v>
      </c>
      <c r="B20" s="2330"/>
      <c r="C20" s="2330"/>
      <c r="D20" s="2330"/>
      <c r="E20" s="2331"/>
      <c r="F20" s="635" t="s">
        <v>928</v>
      </c>
      <c r="G20" s="1753"/>
      <c r="H20" s="1753"/>
      <c r="I20" s="1753"/>
      <c r="J20" s="1745"/>
      <c r="K20" s="1763"/>
    </row>
    <row r="21" spans="1:15" ht="13.5" thickBot="1" x14ac:dyDescent="0.25">
      <c r="A21" s="2335" t="s">
        <v>633</v>
      </c>
      <c r="B21" s="2335"/>
      <c r="C21" s="2335"/>
      <c r="D21" s="2335"/>
      <c r="E21" s="2335"/>
      <c r="F21" s="1434"/>
      <c r="G21" s="1760"/>
      <c r="H21" s="1764"/>
      <c r="I21" s="1764"/>
      <c r="J21" s="1765">
        <f>SUM(J18:J20)</f>
        <v>0</v>
      </c>
      <c r="K21" s="1761"/>
    </row>
    <row r="22" spans="1:15" ht="13.5" thickTop="1" x14ac:dyDescent="0.2">
      <c r="A22" s="2315" t="s">
        <v>1792</v>
      </c>
      <c r="B22" s="2315"/>
      <c r="C22" s="2315"/>
      <c r="D22" s="2315"/>
      <c r="E22" s="2345"/>
      <c r="F22" s="635" t="s">
        <v>857</v>
      </c>
      <c r="G22" s="1753"/>
      <c r="H22" s="1744"/>
      <c r="I22" s="1744"/>
      <c r="J22" s="1766"/>
      <c r="K22" s="1745"/>
    </row>
    <row r="23" spans="1:15" ht="13.5" thickBot="1" x14ac:dyDescent="0.25">
      <c r="A23" s="2336" t="s">
        <v>900</v>
      </c>
      <c r="B23" s="2335"/>
      <c r="C23" s="2335"/>
      <c r="D23" s="2335"/>
      <c r="E23" s="2335"/>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37" t="str">
        <f>"Ending Cash Basis Fund Balance as of June 30, "&amp;'AFR20'!E2</f>
        <v>Ending Cash Basis Fund Balance as of June 30, 2020</v>
      </c>
      <c r="B24" s="2338"/>
      <c r="C24" s="2338"/>
      <c r="D24" s="2338"/>
      <c r="E24" s="2338"/>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47"/>
      <c r="I31" s="2348"/>
      <c r="J31" s="2348"/>
      <c r="K31" s="2348"/>
    </row>
    <row r="32" spans="1:15" x14ac:dyDescent="0.2">
      <c r="A32" s="649"/>
      <c r="B32" s="232"/>
      <c r="C32" s="232"/>
      <c r="D32" s="232"/>
      <c r="E32" s="645"/>
      <c r="F32" s="651" t="s">
        <v>537</v>
      </c>
      <c r="G32" s="618"/>
      <c r="H32" s="2349"/>
      <c r="I32" s="2348"/>
      <c r="J32" s="2348"/>
      <c r="K32" s="2348"/>
    </row>
    <row r="33" spans="1:11" ht="1.5" customHeight="1" x14ac:dyDescent="0.2">
      <c r="A33" s="652" t="s">
        <v>1159</v>
      </c>
      <c r="B33" s="341"/>
      <c r="C33" s="341"/>
      <c r="D33" s="341"/>
      <c r="E33" s="341"/>
      <c r="F33" s="341"/>
      <c r="G33" s="653"/>
      <c r="H33" s="2349"/>
      <c r="I33" s="2348"/>
      <c r="J33" s="2348"/>
      <c r="K33" s="234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5" t="s">
        <v>538</v>
      </c>
      <c r="B41" s="2316"/>
      <c r="C41" s="2316"/>
      <c r="D41" s="2316"/>
      <c r="E41" s="2316"/>
      <c r="F41" s="231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E21" sqref="E2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6" t="s">
        <v>1875</v>
      </c>
      <c r="B1" s="2357"/>
      <c r="C1" s="2358"/>
      <c r="D1" s="666"/>
      <c r="E1" s="667"/>
      <c r="F1" s="667"/>
      <c r="G1" s="668"/>
      <c r="H1" s="669"/>
      <c r="I1" s="670"/>
      <c r="J1" s="2354"/>
      <c r="K1" s="2355"/>
      <c r="L1" s="2355"/>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c r="D12" s="1771"/>
      <c r="E12" s="1771"/>
      <c r="F12" s="1765">
        <f>(C12+D12)-E12</f>
        <v>0</v>
      </c>
      <c r="G12" s="681">
        <v>10</v>
      </c>
      <c r="H12" s="619"/>
      <c r="I12" s="619"/>
      <c r="J12" s="619"/>
      <c r="K12" s="1442">
        <f>(H12+I12)-J12</f>
        <v>0</v>
      </c>
      <c r="L12" s="1442">
        <f>F12-K12</f>
        <v>0</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0</v>
      </c>
      <c r="D16" s="1765">
        <f>SUM(D3,D5:D6,D8:D10,D12:D15)</f>
        <v>0</v>
      </c>
      <c r="E16" s="1765">
        <f>SUM(E3,E5:E6,E8:E10,E12:E15)</f>
        <v>0</v>
      </c>
      <c r="F16" s="1765">
        <f>SUM(F3,F5:F6,F8:F10,F12:F15)</f>
        <v>0</v>
      </c>
      <c r="G16" s="681"/>
      <c r="H16" s="1435">
        <f>SUM(H3,H6,H8:H10,H12:H14,)</f>
        <v>0</v>
      </c>
      <c r="I16" s="1435">
        <f>SUM(I3,I6,I8:I10,I12:I14,)</f>
        <v>0</v>
      </c>
      <c r="J16" s="1435">
        <f>SUM(J3,J6,J8:J10,J12:J14,)</f>
        <v>0</v>
      </c>
      <c r="K16" s="1435">
        <f>(H16+I16)-J16</f>
        <v>0</v>
      </c>
      <c r="L16" s="1435">
        <f>F16-K16</f>
        <v>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58" colorId="8" zoomScale="110" zoomScaleNormal="110" workbookViewId="0">
      <selection activeCell="F76" sqref="F7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2" t="str">
        <f>"ESTIMATED OPERATING EXPENSE PER PUPIL (OEPP)/PER CAPITA TUITION CHARGE (PCTC) COMPUTATIONS ("&amp;'AFR20'!E2-1&amp;" - "&amp;'AFR20'!E2&amp;")"</f>
        <v>ESTIMATED OPERATING EXPENSE PER PUPIL (OEPP)/PER CAPITA TUITION CHARGE (PCTC) COMPUTATIONS (2019 - 2020)</v>
      </c>
      <c r="B1" s="2363"/>
      <c r="C1" s="2363"/>
      <c r="D1" s="2363"/>
      <c r="E1" s="2363"/>
      <c r="F1" s="2364"/>
      <c r="G1" s="691"/>
      <c r="I1" s="701"/>
    </row>
    <row r="2" spans="1:9" ht="15" customHeight="1" thickBot="1" x14ac:dyDescent="0.25">
      <c r="A2" s="2365" t="s">
        <v>474</v>
      </c>
      <c r="B2" s="2366"/>
      <c r="C2" s="2366"/>
      <c r="D2" s="2366"/>
      <c r="E2" s="2366"/>
      <c r="F2" s="2367"/>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68"/>
      <c r="B5" s="2369"/>
      <c r="C5" s="2369"/>
      <c r="D5" s="2369"/>
      <c r="E5" s="2369"/>
      <c r="F5" s="2369"/>
    </row>
    <row r="6" spans="1:9" ht="13.5" customHeight="1" thickBot="1" x14ac:dyDescent="0.25">
      <c r="A6" s="2359" t="s">
        <v>1095</v>
      </c>
      <c r="B6" s="2360"/>
      <c r="C6" s="2360"/>
      <c r="D6" s="2360"/>
      <c r="E6" s="2360"/>
      <c r="F6" s="2361"/>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6140046</v>
      </c>
      <c r="G8" s="701"/>
    </row>
    <row r="9" spans="1:9" x14ac:dyDescent="0.2">
      <c r="A9" s="705" t="s">
        <v>457</v>
      </c>
      <c r="B9" s="706" t="s">
        <v>1848</v>
      </c>
      <c r="C9" s="707"/>
      <c r="D9" s="705" t="s">
        <v>498</v>
      </c>
      <c r="E9" s="704"/>
      <c r="F9" s="1775">
        <f>'Expenditures 15-22'!K151</f>
        <v>898605</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148498</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7187149</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0</v>
      </c>
      <c r="G53" s="701"/>
    </row>
    <row r="54" spans="1:7" x14ac:dyDescent="0.2">
      <c r="A54" s="705" t="s">
        <v>456</v>
      </c>
      <c r="B54" s="705" t="s">
        <v>1459</v>
      </c>
      <c r="C54" s="724" t="s">
        <v>975</v>
      </c>
      <c r="D54" s="720" t="s">
        <v>1086</v>
      </c>
      <c r="E54" s="704"/>
      <c r="F54" s="1782">
        <f>'Expenditures 15-22'!G114</f>
        <v>10572</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584395</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594967</v>
      </c>
      <c r="G77" s="701"/>
    </row>
    <row r="78" spans="1:9" s="728" customFormat="1" ht="12" customHeight="1" thickTop="1" thickBot="1" x14ac:dyDescent="0.25">
      <c r="A78" s="1450"/>
      <c r="B78" s="1448"/>
      <c r="C78" s="1445"/>
      <c r="D78" s="1449" t="s">
        <v>2012</v>
      </c>
      <c r="E78" s="1447"/>
      <c r="F78" s="1788">
        <f>(F14-F77)</f>
        <v>6592182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59" t="s">
        <v>1096</v>
      </c>
      <c r="B82" s="2360"/>
      <c r="C82" s="2360"/>
      <c r="D82" s="2360"/>
      <c r="E82" s="2360"/>
      <c r="F82" s="2361"/>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1000000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70327</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1070327</v>
      </c>
    </row>
    <row r="176" spans="1:7" ht="12" customHeight="1" x14ac:dyDescent="0.2">
      <c r="A176" s="1443"/>
      <c r="B176" s="1453"/>
      <c r="C176" s="1454"/>
      <c r="D176" s="1455" t="s">
        <v>2014</v>
      </c>
      <c r="E176" s="1456"/>
      <c r="F176" s="1793">
        <f>'PCTC-OEPP 27-28'!F78-F175</f>
        <v>5521855</v>
      </c>
    </row>
    <row r="177" spans="1:9" ht="12" customHeight="1" x14ac:dyDescent="0.2">
      <c r="A177" s="1443"/>
      <c r="B177" s="1453"/>
      <c r="C177" s="1454"/>
      <c r="D177" s="1455" t="s">
        <v>1794</v>
      </c>
      <c r="E177" s="1456"/>
      <c r="F177" s="1793">
        <f>'Cap Outlay Deprec 26'!I18</f>
        <v>0</v>
      </c>
    </row>
    <row r="178" spans="1:9" ht="12" customHeight="1" x14ac:dyDescent="0.2">
      <c r="A178" s="1443"/>
      <c r="B178" s="1453"/>
      <c r="C178" s="1454"/>
      <c r="D178" s="1455" t="s">
        <v>2015</v>
      </c>
      <c r="E178" s="1456"/>
      <c r="F178" s="1793">
        <f>F176+F177</f>
        <v>5521855</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19" sqref="A19"/>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3" t="s">
        <v>1795</v>
      </c>
      <c r="B4" s="2374"/>
      <c r="C4" s="2374"/>
      <c r="D4" s="2374"/>
      <c r="E4" s="2374"/>
      <c r="F4" s="2375"/>
    </row>
    <row r="5" spans="1:6" x14ac:dyDescent="0.25">
      <c r="A5" s="2376"/>
      <c r="B5" s="2377"/>
      <c r="C5" s="2377"/>
      <c r="D5" s="2377"/>
      <c r="E5" s="2377"/>
      <c r="F5" s="2378"/>
    </row>
    <row r="6" spans="1:6" ht="18.75" x14ac:dyDescent="0.25">
      <c r="A6" s="1867" t="s">
        <v>1796</v>
      </c>
      <c r="B6" s="1868"/>
      <c r="C6" s="1869"/>
      <c r="D6" s="1869"/>
      <c r="E6" s="1869"/>
      <c r="F6" s="1870"/>
    </row>
    <row r="7" spans="1:6" ht="47.25" customHeight="1" x14ac:dyDescent="0.25">
      <c r="A7" s="2379" t="s">
        <v>1985</v>
      </c>
      <c r="B7" s="2380"/>
      <c r="C7" s="2380"/>
      <c r="D7" s="2380"/>
      <c r="E7" s="2380"/>
      <c r="F7" s="2381"/>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2" t="s">
        <v>1981</v>
      </c>
      <c r="B10" s="2383"/>
      <c r="C10" s="2383"/>
      <c r="D10" s="2383"/>
      <c r="E10" s="2383"/>
      <c r="F10" s="2384"/>
    </row>
    <row r="11" spans="1:6" ht="33" customHeight="1" x14ac:dyDescent="0.25">
      <c r="A11" s="2379" t="s">
        <v>1986</v>
      </c>
      <c r="B11" s="2380"/>
      <c r="C11" s="2380"/>
      <c r="D11" s="2380"/>
      <c r="E11" s="2380"/>
      <c r="F11" s="2381"/>
    </row>
    <row r="12" spans="1:6" ht="15" customHeight="1" x14ac:dyDescent="0.25">
      <c r="A12" s="1873" t="s">
        <v>1982</v>
      </c>
      <c r="B12" s="1874"/>
      <c r="C12" s="1875"/>
      <c r="D12" s="1875"/>
      <c r="E12" s="1875"/>
      <c r="F12" s="1876"/>
    </row>
    <row r="13" spans="1:6" ht="17.25" customHeight="1" x14ac:dyDescent="0.25">
      <c r="A13" s="2379" t="s">
        <v>1983</v>
      </c>
      <c r="B13" s="2380"/>
      <c r="C13" s="2380"/>
      <c r="D13" s="2380"/>
      <c r="E13" s="2380"/>
      <c r="F13" s="2381"/>
    </row>
    <row r="14" spans="1:6" ht="15" customHeight="1" x14ac:dyDescent="0.25">
      <c r="A14" s="1873" t="s">
        <v>1800</v>
      </c>
      <c r="B14" s="1874"/>
      <c r="C14" s="1875"/>
      <c r="D14" s="1875"/>
      <c r="E14" s="1875"/>
      <c r="F14" s="1876"/>
    </row>
    <row r="15" spans="1:6" ht="32.25" customHeight="1" x14ac:dyDescent="0.25">
      <c r="A15" s="237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1"/>
      <c r="C15" s="2371"/>
      <c r="D15" s="2371"/>
      <c r="E15" s="2371"/>
      <c r="F15" s="2372"/>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2070</v>
      </c>
      <c r="B18" s="1908"/>
      <c r="C18" s="1914"/>
      <c r="D18" s="1886"/>
      <c r="E18" s="1906">
        <f t="shared" ref="E18:E81" si="0">IF(D18&lt;25000,D18,"25,000")</f>
        <v>0</v>
      </c>
      <c r="F18" s="1906" t="str">
        <f t="shared" ref="F18:F81" si="1">IF(D18&gt;=25000,(D18-E18),"0")</f>
        <v>0</v>
      </c>
      <c r="G18" s="1887"/>
    </row>
    <row r="19" spans="1:7" x14ac:dyDescent="0.25">
      <c r="A19" s="2036"/>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2"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5" t="s">
        <v>1660</v>
      </c>
      <c r="B5" s="2386"/>
      <c r="C5" s="2386"/>
      <c r="D5" s="2386"/>
      <c r="E5" s="2386"/>
      <c r="F5" s="2386"/>
      <c r="G5" s="2387"/>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1"/>
      <c r="C11" s="2391"/>
      <c r="D11" s="2392"/>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4719480</v>
      </c>
      <c r="F19" s="1802"/>
      <c r="G19" s="1804">
        <f>'Expenditures 15-22'!K33-SUM('Expenditures 15-22'!G33,'Expenditures 15-22'!I33)+'Expenditures 15-22'!D229</f>
        <v>4719480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1486973</v>
      </c>
      <c r="F21" s="1805"/>
      <c r="G21" s="1808">
        <f>'Expenditures 15-22'!K42-SUM('Expenditures 15-22'!G42,'Expenditures 15-22'!I42)+'Expenditures 15-22'!K120-SUM('Expenditures 15-22'!G120,'Expenditures 15-22'!I120)+'Expenditures 15-22'!K180-SUM('Expenditures 15-22'!G180,'Expenditures 15-22'!I180)+'Expenditures 15-22'!D238</f>
        <v>1486973</v>
      </c>
      <c r="H21" s="817"/>
      <c r="I21" s="157"/>
    </row>
    <row r="22" spans="1:9" s="542" customFormat="1" ht="12" customHeight="1" x14ac:dyDescent="0.2">
      <c r="A22" s="824" t="s">
        <v>560</v>
      </c>
      <c r="B22" s="825"/>
      <c r="C22" s="823">
        <v>2200</v>
      </c>
      <c r="D22" s="1805"/>
      <c r="E22" s="1807">
        <f>'Expenditures 15-22'!K47-SUM('Expenditures 15-22'!G47,'Expenditures 15-22'!I47)+'Expenditures 15-22'!D243</f>
        <v>2624</v>
      </c>
      <c r="F22" s="1805"/>
      <c r="G22" s="1808">
        <f>'Expenditures 15-22'!K47-SUM('Expenditures 15-22'!G47,'Expenditures 15-22'!I47)+'Expenditures 15-22'!D243</f>
        <v>2624</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0</v>
      </c>
      <c r="F23" s="1805"/>
      <c r="G23" s="1807">
        <f>'Expenditures 15-22'!K53-SUM('Expenditures 15-22'!G53,'Expenditures 15-22'!I53)+'Expenditures 15-22'!D257+'Expenditures 15-22'!K330-SUM('Expenditures 15-22'!G330,'Expenditures 15-22'!I330)</f>
        <v>0</v>
      </c>
      <c r="H23" s="817"/>
      <c r="I23" s="157"/>
    </row>
    <row r="24" spans="1:9" s="542" customFormat="1" ht="12" customHeight="1" x14ac:dyDescent="0.2">
      <c r="A24" s="824" t="s">
        <v>562</v>
      </c>
      <c r="B24" s="825"/>
      <c r="C24" s="823">
        <v>2400</v>
      </c>
      <c r="D24" s="1805"/>
      <c r="E24" s="1807">
        <f>'Expenditures 15-22'!K57-SUM('Expenditures 15-22'!G57,'Expenditures 15-22'!I57)+'Expenditures 15-22'!D261</f>
        <v>2110</v>
      </c>
      <c r="F24" s="1805"/>
      <c r="G24" s="1808">
        <f>'Expenditures 15-22'!K57-SUM('Expenditures 15-22'!G57,'Expenditures 15-22'!I57)+'Expenditures 15-22'!D261</f>
        <v>2110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863</v>
      </c>
      <c r="F26" s="1807">
        <f>'Expenditures 15-22'!K59-SUM('Expenditures 15-22'!G59,'Expenditures 15-22'!I59)+'Expenditures 15-22'!D263-E7</f>
        <v>0</v>
      </c>
      <c r="G26" s="1808">
        <f>'Expenditures 15-22'!K122-SUM('Expenditures 15-22'!G122,'Expenditures 15-22'!I122)+E7</f>
        <v>863</v>
      </c>
      <c r="H26" s="817"/>
      <c r="I26" s="157"/>
    </row>
    <row r="27" spans="1:9" s="542" customFormat="1" ht="12" customHeight="1" x14ac:dyDescent="0.2">
      <c r="A27" s="824" t="s">
        <v>460</v>
      </c>
      <c r="B27" s="827"/>
      <c r="C27" s="823">
        <v>2520</v>
      </c>
      <c r="D27" s="1807">
        <f>'Expenditures 15-22'!K60-SUM('Expenditures 15-22'!G60,'Expenditures 15-22'!I60)+'Expenditures 15-22'!D264-E8</f>
        <v>14400</v>
      </c>
      <c r="E27" s="1807">
        <f>E8</f>
        <v>0</v>
      </c>
      <c r="F27" s="1807">
        <f>'Expenditures 15-22'!K60-SUM('Expenditures 15-22'!G60,'Expenditures 15-22'!I60)+'Expenditures 15-22'!D264-E8</f>
        <v>14400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316135</v>
      </c>
      <c r="F28" s="1809">
        <f>'Expenditures 15-22'!K61-SUM('Expenditures 15-22'!G61,'Expenditures 15-22'!I61)+'Expenditures 15-22'!K124-SUM('Expenditures 15-22'!G124,'Expenditures 15-22'!I124)+'Expenditures 15-22'!D266-E9</f>
        <v>316135</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38375</v>
      </c>
      <c r="F30" s="1805"/>
      <c r="G30" s="1807">
        <f>'Expenditures 15-22'!K63-SUM('Expenditures 15-22'!G63,'Expenditures 15-22'!I63)+'Expenditures 15-22'!D268-E10</f>
        <v>38375</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1760</v>
      </c>
      <c r="E36" s="1807">
        <f>E13</f>
        <v>0</v>
      </c>
      <c r="F36" s="1807">
        <f>'Expenditures 15-22'!K70-SUM('Expenditures 15-22'!G70,'Expenditures 15-22'!I70)+'Expenditures 15-22'!D275-E13</f>
        <v>1760</v>
      </c>
      <c r="G36" s="1807">
        <f>E13</f>
        <v>0</v>
      </c>
    </row>
    <row r="37" spans="1:7" ht="12" customHeight="1" x14ac:dyDescent="0.2">
      <c r="A37" s="824" t="s">
        <v>401</v>
      </c>
      <c r="B37" s="827"/>
      <c r="C37" s="823">
        <v>2660</v>
      </c>
      <c r="D37" s="1807">
        <f>'Expenditures 15-22'!K71-SUM('Expenditures 15-22'!G71,'Expenditures 15-22'!I71)+'Expenditures 15-22'!D276-E14</f>
        <v>1881</v>
      </c>
      <c r="E37" s="1807">
        <f>E14</f>
        <v>0</v>
      </c>
      <c r="F37" s="1807">
        <f>'Expenditures 15-22'!K71-SUM('Expenditures 15-22'!G71,'Expenditures 15-22'!I71)+'Expenditures 15-22'!D276-E14</f>
        <v>1881</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18041</v>
      </c>
      <c r="E41" s="1809">
        <f>SUM(E19:E40)</f>
        <v>6566560</v>
      </c>
      <c r="F41" s="1809">
        <f>SUM(F19:F39)</f>
        <v>334176</v>
      </c>
      <c r="G41" s="1809">
        <f>SUM(G19:G40)</f>
        <v>6250425</v>
      </c>
    </row>
    <row r="42" spans="1:7" x14ac:dyDescent="0.2">
      <c r="A42" s="817"/>
      <c r="B42" s="157"/>
      <c r="C42" s="831"/>
      <c r="D42" s="2388" t="s">
        <v>519</v>
      </c>
      <c r="E42" s="2389"/>
      <c r="F42" s="832" t="s">
        <v>520</v>
      </c>
      <c r="G42" s="833"/>
    </row>
    <row r="43" spans="1:7" ht="12" customHeight="1" x14ac:dyDescent="0.2">
      <c r="A43" s="817"/>
      <c r="B43" s="157"/>
      <c r="C43" s="831"/>
      <c r="D43" s="1458" t="s">
        <v>470</v>
      </c>
      <c r="E43" s="1810">
        <f>D41</f>
        <v>18041</v>
      </c>
      <c r="F43" s="1458" t="s">
        <v>470</v>
      </c>
      <c r="G43" s="1810">
        <f>F41</f>
        <v>334176</v>
      </c>
    </row>
    <row r="44" spans="1:7" ht="12" customHeight="1" x14ac:dyDescent="0.2">
      <c r="A44" s="817"/>
      <c r="B44" s="157"/>
      <c r="C44" s="831"/>
      <c r="D44" s="1458" t="s">
        <v>471</v>
      </c>
      <c r="E44" s="1810">
        <f>E41</f>
        <v>6566560</v>
      </c>
      <c r="F44" s="1458" t="s">
        <v>471</v>
      </c>
      <c r="G44" s="1810">
        <f>G41</f>
        <v>6250425</v>
      </c>
    </row>
    <row r="45" spans="1:7" ht="12" customHeight="1" x14ac:dyDescent="0.2">
      <c r="A45" s="817"/>
      <c r="B45" s="157"/>
      <c r="C45" s="157"/>
      <c r="D45" s="1459" t="s">
        <v>999</v>
      </c>
      <c r="E45" s="1811">
        <f>(E43/E44)</f>
        <v>2.7474050339904E-3</v>
      </c>
      <c r="F45" s="1459" t="s">
        <v>999</v>
      </c>
      <c r="G45" s="1811">
        <f>(G43/G44)</f>
        <v>5.346452441233996E-2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C15" sqref="C15"/>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96" t="s">
        <v>1363</v>
      </c>
      <c r="B1" s="2396"/>
      <c r="C1" s="2396"/>
      <c r="D1" s="2396"/>
      <c r="E1" s="2396"/>
      <c r="F1" s="2396"/>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397" t="s">
        <v>1529</v>
      </c>
      <c r="B5" s="2398"/>
      <c r="C5" s="2399"/>
      <c r="D5" s="2399"/>
      <c r="E5" s="2399"/>
      <c r="F5" s="2399"/>
      <c r="G5" s="1507"/>
      <c r="L5" s="1507"/>
      <c r="M5" s="1855"/>
      <c r="N5" s="1855"/>
      <c r="O5" s="1855"/>
    </row>
    <row r="6" spans="1:15" ht="12" customHeight="1" x14ac:dyDescent="0.25">
      <c r="A6" s="1480"/>
      <c r="B6" s="1481"/>
      <c r="C6" s="2400" t="str">
        <f>COVER!A17</f>
        <v xml:space="preserve">  Hope Wall Joint Agreement</v>
      </c>
      <c r="D6" s="2400"/>
      <c r="E6" s="2400"/>
      <c r="F6" s="1482"/>
      <c r="G6" s="1507"/>
      <c r="L6" s="1507"/>
      <c r="M6" s="1855"/>
      <c r="N6" s="1855"/>
      <c r="O6" s="1855"/>
    </row>
    <row r="7" spans="1:15" ht="11.25" customHeight="1" thickBot="1" x14ac:dyDescent="0.3">
      <c r="A7" s="1480"/>
      <c r="B7" s="1481"/>
      <c r="C7" s="2401">
        <f>COVER!A13</f>
        <v>31045129061</v>
      </c>
      <c r="D7" s="2401"/>
      <c r="E7" s="2401"/>
      <c r="F7" s="1482"/>
      <c r="G7" s="1507"/>
      <c r="L7" s="1507"/>
      <c r="M7" s="1855"/>
      <c r="N7" s="1855"/>
      <c r="O7" s="1855"/>
    </row>
    <row r="8" spans="1:15" ht="25.5" customHeight="1" thickBot="1" x14ac:dyDescent="0.25">
      <c r="A8" s="1519" t="s">
        <v>1874</v>
      </c>
      <c r="B8" s="1483" t="s">
        <v>2051</v>
      </c>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02"/>
      <c r="D35" s="2402"/>
      <c r="E35" s="2402"/>
      <c r="F35" s="2403"/>
    </row>
    <row r="36" spans="1:15" ht="12" customHeight="1" x14ac:dyDescent="0.2">
      <c r="A36" s="2393"/>
      <c r="B36" s="2394"/>
      <c r="C36" s="2394"/>
      <c r="D36" s="2394"/>
      <c r="E36" s="2394"/>
      <c r="F36" s="2395"/>
    </row>
    <row r="37" spans="1:15" ht="12" customHeight="1" x14ac:dyDescent="0.2">
      <c r="A37" s="2393"/>
      <c r="B37" s="2394"/>
      <c r="C37" s="2394"/>
      <c r="D37" s="2394"/>
      <c r="E37" s="2394"/>
      <c r="F37" s="2395"/>
    </row>
    <row r="38" spans="1:15" ht="12" customHeight="1" x14ac:dyDescent="0.2">
      <c r="A38" s="2407"/>
      <c r="B38" s="2408"/>
      <c r="C38" s="2408"/>
      <c r="D38" s="2408"/>
      <c r="E38" s="2408"/>
      <c r="F38" s="2409"/>
    </row>
    <row r="39" spans="1:15" ht="4.5" hidden="1" customHeight="1" x14ac:dyDescent="0.2">
      <c r="A39" s="1502"/>
      <c r="B39" s="1502"/>
      <c r="C39" s="1502"/>
      <c r="D39" s="1502"/>
      <c r="E39" s="1502"/>
      <c r="F39" s="1502"/>
    </row>
    <row r="40" spans="1:15" s="1499" customFormat="1" ht="12" customHeight="1" x14ac:dyDescent="0.25">
      <c r="A40" s="1503" t="s">
        <v>1375</v>
      </c>
      <c r="B40" s="1504"/>
      <c r="C40" s="2410"/>
      <c r="D40" s="2410"/>
      <c r="E40" s="2410"/>
      <c r="F40" s="2411"/>
      <c r="H40" s="1508"/>
      <c r="I40" s="1508"/>
      <c r="J40" s="1508"/>
      <c r="K40" s="1508"/>
    </row>
    <row r="41" spans="1:15" s="1499" customFormat="1" ht="12" customHeight="1" x14ac:dyDescent="0.25">
      <c r="A41" s="2412"/>
      <c r="B41" s="2413"/>
      <c r="C41" s="2413"/>
      <c r="D41" s="2413"/>
      <c r="E41" s="2413"/>
      <c r="F41" s="2414"/>
      <c r="H41" s="1508"/>
      <c r="I41" s="1508"/>
      <c r="J41" s="1508"/>
      <c r="K41" s="1508"/>
    </row>
    <row r="42" spans="1:15" s="1499" customFormat="1" ht="12" customHeight="1" x14ac:dyDescent="0.25">
      <c r="A42" s="2412"/>
      <c r="B42" s="2413"/>
      <c r="C42" s="2413"/>
      <c r="D42" s="2413"/>
      <c r="E42" s="2413"/>
      <c r="F42" s="2414"/>
      <c r="H42" s="1508"/>
      <c r="I42" s="1508"/>
      <c r="J42" s="1508"/>
      <c r="K42" s="1508"/>
    </row>
    <row r="43" spans="1:15" s="1499" customFormat="1" ht="15" x14ac:dyDescent="0.25">
      <c r="A43" s="2404"/>
      <c r="B43" s="2405"/>
      <c r="C43" s="2405"/>
      <c r="D43" s="2405"/>
      <c r="E43" s="2405"/>
      <c r="F43" s="2406"/>
      <c r="H43" s="1508"/>
      <c r="I43" s="1508"/>
      <c r="J43" s="1508"/>
      <c r="K43" s="1508"/>
    </row>
    <row r="44" spans="1:15" s="1499" customFormat="1" ht="12" hidden="1" customHeight="1" x14ac:dyDescent="0.25">
      <c r="A44" s="2404"/>
      <c r="B44" s="2405"/>
      <c r="C44" s="2405"/>
      <c r="D44" s="2405"/>
      <c r="E44" s="2405"/>
      <c r="F44" s="2406"/>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16" t="str">
        <f>COVER!A17</f>
        <v xml:space="preserve">  Hope Wall Joint Agreement</v>
      </c>
      <c r="K6" s="2416"/>
      <c r="L6" s="2417"/>
      <c r="M6" s="838"/>
      <c r="N6" s="1999"/>
    </row>
    <row r="7" spans="1:14" x14ac:dyDescent="0.2">
      <c r="A7" s="2418" t="s">
        <v>864</v>
      </c>
      <c r="B7" s="2419"/>
      <c r="C7" s="2419"/>
      <c r="D7" s="2419"/>
      <c r="E7" s="2420"/>
      <c r="F7" s="839"/>
      <c r="G7" s="838"/>
      <c r="H7" s="838"/>
      <c r="I7" s="1925" t="s">
        <v>369</v>
      </c>
      <c r="J7" s="2421">
        <f>COVER!A13</f>
        <v>31045129061</v>
      </c>
      <c r="K7" s="2421"/>
      <c r="L7" s="2421"/>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2" t="s">
        <v>478</v>
      </c>
      <c r="B11" s="2423"/>
      <c r="C11" s="2424"/>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0</v>
      </c>
      <c r="F12" s="1943"/>
      <c r="G12" s="1969">
        <f>G68</f>
        <v>0</v>
      </c>
      <c r="H12" s="1945">
        <f t="shared" ref="H12:H18" si="0">SUM(E12:G12)</f>
        <v>0</v>
      </c>
      <c r="I12" s="1944"/>
      <c r="J12" s="1943"/>
      <c r="K12" s="1944"/>
      <c r="L12" s="1945">
        <f t="shared" ref="L12:L18" si="1">SUM(I12:K12)</f>
        <v>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863</v>
      </c>
      <c r="G15" s="1969">
        <f>J68</f>
        <v>0</v>
      </c>
      <c r="H15" s="1945">
        <f t="shared" si="0"/>
        <v>863</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25" t="s">
        <v>7</v>
      </c>
      <c r="C18" s="2426"/>
      <c r="D18" s="2427"/>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0</v>
      </c>
      <c r="F19" s="1951">
        <f t="shared" si="2"/>
        <v>863</v>
      </c>
      <c r="G19" s="1951">
        <f t="shared" ref="G19" si="3">SUM(G12:G17)-G18</f>
        <v>0</v>
      </c>
      <c r="H19" s="1951">
        <f t="shared" si="2"/>
        <v>863</v>
      </c>
      <c r="I19" s="1951">
        <f t="shared" si="2"/>
        <v>0</v>
      </c>
      <c r="J19" s="1951">
        <f t="shared" si="2"/>
        <v>0</v>
      </c>
      <c r="K19" s="1951">
        <f t="shared" si="2"/>
        <v>0</v>
      </c>
      <c r="L19" s="1951">
        <f t="shared" si="2"/>
        <v>0</v>
      </c>
      <c r="M19" s="838"/>
      <c r="N19" s="1999"/>
    </row>
    <row r="20" spans="1:14" ht="13.5" thickTop="1" x14ac:dyDescent="0.2">
      <c r="A20" s="2004">
        <v>9</v>
      </c>
      <c r="B20" s="2428" t="s">
        <v>2021</v>
      </c>
      <c r="C20" s="2428"/>
      <c r="D20" s="2429"/>
      <c r="E20" s="1952"/>
      <c r="F20" s="1952"/>
      <c r="G20" s="1952"/>
      <c r="H20" s="1952"/>
      <c r="I20" s="1952"/>
      <c r="J20" s="1952"/>
      <c r="K20" s="1952"/>
      <c r="L20" s="1953" t="str">
        <f>IF(AND(H19&gt;0,L19&gt;0),(((L19-H19)/H19)),"Enter Budget Data")</f>
        <v>Enter Budget Data</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0"/>
      <c r="D27" s="2430"/>
      <c r="E27" s="843"/>
      <c r="F27" s="2431"/>
      <c r="G27" s="2431"/>
      <c r="H27" s="2431"/>
      <c r="I27" s="838"/>
      <c r="J27" s="838"/>
      <c r="K27" s="838"/>
      <c r="L27" s="838"/>
      <c r="M27" s="838"/>
      <c r="N27" s="1999"/>
    </row>
    <row r="28" spans="1:14" x14ac:dyDescent="0.2">
      <c r="A28" s="1998"/>
      <c r="B28" s="2008"/>
      <c r="C28" s="1958" t="s">
        <v>1026</v>
      </c>
      <c r="D28" s="844"/>
      <c r="E28" s="1959"/>
      <c r="F28" s="2432" t="s">
        <v>1492</v>
      </c>
      <c r="G28" s="2432"/>
      <c r="H28" s="2432"/>
      <c r="I28" s="838"/>
      <c r="J28" s="838"/>
      <c r="K28" s="838"/>
      <c r="L28" s="838"/>
      <c r="M28" s="838"/>
      <c r="N28" s="1999"/>
    </row>
    <row r="29" spans="1:14" x14ac:dyDescent="0.2">
      <c r="A29" s="1998"/>
      <c r="B29" s="2008"/>
      <c r="C29" s="2433"/>
      <c r="D29" s="2433"/>
      <c r="E29" s="845"/>
      <c r="F29" s="2433"/>
      <c r="G29" s="2433"/>
      <c r="H29" s="2433"/>
      <c r="I29" s="838"/>
      <c r="J29" s="838"/>
      <c r="K29" s="838"/>
      <c r="L29" s="838"/>
      <c r="M29" s="838"/>
      <c r="N29" s="1999"/>
    </row>
    <row r="30" spans="1:14" x14ac:dyDescent="0.2">
      <c r="A30" s="1998"/>
      <c r="B30" s="2008"/>
      <c r="C30" s="1961" t="s">
        <v>1544</v>
      </c>
      <c r="D30" s="838"/>
      <c r="E30" s="1960"/>
      <c r="F30" s="2415" t="s">
        <v>1493</v>
      </c>
      <c r="G30" s="2415"/>
      <c r="H30" s="2415"/>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36" t="s">
        <v>2024</v>
      </c>
      <c r="D34" s="2437"/>
      <c r="E34" s="2437"/>
      <c r="F34" s="2437"/>
      <c r="G34" s="2437"/>
      <c r="H34" s="2437"/>
      <c r="I34" s="2437"/>
      <c r="J34" s="2437"/>
      <c r="K34" s="2017"/>
      <c r="L34" s="838"/>
      <c r="M34" s="838"/>
      <c r="N34" s="1999"/>
    </row>
    <row r="35" spans="1:14" x14ac:dyDescent="0.2">
      <c r="A35" s="1998"/>
      <c r="B35" s="838"/>
      <c r="C35" s="2437"/>
      <c r="D35" s="2437"/>
      <c r="E35" s="2437"/>
      <c r="F35" s="2437"/>
      <c r="G35" s="2437"/>
      <c r="H35" s="2437"/>
      <c r="I35" s="2437"/>
      <c r="J35" s="2437"/>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36" t="s">
        <v>2025</v>
      </c>
      <c r="D37" s="2437"/>
      <c r="E37" s="2437"/>
      <c r="F37" s="2437"/>
      <c r="G37" s="2437"/>
      <c r="H37" s="2437"/>
      <c r="I37" s="2437"/>
      <c r="J37" s="2437"/>
      <c r="K37" s="2017"/>
      <c r="L37" s="2019"/>
      <c r="M37" s="838"/>
      <c r="N37" s="1999"/>
    </row>
    <row r="38" spans="1:14" x14ac:dyDescent="0.2">
      <c r="A38" s="1998"/>
      <c r="B38" s="838"/>
      <c r="C38" s="2437"/>
      <c r="D38" s="2437"/>
      <c r="E38" s="2437"/>
      <c r="F38" s="2437"/>
      <c r="G38" s="2437"/>
      <c r="H38" s="2437"/>
      <c r="I38" s="2437"/>
      <c r="J38" s="2437"/>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38" t="s">
        <v>2026</v>
      </c>
      <c r="D40" s="2439"/>
      <c r="E40" s="2439"/>
      <c r="F40" s="2439"/>
      <c r="G40" s="2439"/>
      <c r="H40" s="2439"/>
      <c r="I40" s="2439"/>
      <c r="J40" s="2439"/>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0" t="s">
        <v>2027</v>
      </c>
      <c r="B43" s="2441"/>
      <c r="C43" s="2441"/>
      <c r="D43" s="2441"/>
      <c r="E43" s="2441"/>
      <c r="F43" s="2441"/>
      <c r="G43" s="2441"/>
      <c r="H43" s="2441"/>
      <c r="I43" s="2441"/>
      <c r="J43" s="2441"/>
      <c r="K43" s="2441"/>
      <c r="L43" s="2441"/>
      <c r="M43" s="2441"/>
      <c r="N43" s="2442"/>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43" t="s">
        <v>2029</v>
      </c>
      <c r="B46" s="2444"/>
      <c r="C46" s="2444"/>
      <c r="D46" s="2444"/>
      <c r="E46" s="2444"/>
      <c r="F46" s="2444"/>
      <c r="G46" s="2444"/>
      <c r="H46" s="2444"/>
      <c r="I46" s="2444"/>
      <c r="J46" s="2444"/>
      <c r="K46" s="2444"/>
      <c r="L46" s="2444"/>
      <c r="M46" s="2444"/>
      <c r="N46" s="2445"/>
    </row>
    <row r="47" spans="1:14" x14ac:dyDescent="0.2">
      <c r="A47" s="2443"/>
      <c r="B47" s="2444"/>
      <c r="C47" s="2444"/>
      <c r="D47" s="2444"/>
      <c r="E47" s="2444"/>
      <c r="F47" s="2444"/>
      <c r="G47" s="2444"/>
      <c r="H47" s="2444"/>
      <c r="I47" s="2444"/>
      <c r="J47" s="2444"/>
      <c r="K47" s="2444"/>
      <c r="L47" s="2444"/>
      <c r="M47" s="2444"/>
      <c r="N47" s="2445"/>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16" t="str">
        <f>J6</f>
        <v xml:space="preserve">  Hope Wall Joint Agreement</v>
      </c>
      <c r="M52" s="2416"/>
      <c r="N52" s="2446"/>
    </row>
    <row r="53" spans="1:14" x14ac:dyDescent="0.2">
      <c r="A53" s="1983"/>
      <c r="B53" s="1984"/>
      <c r="C53" s="1984"/>
      <c r="D53" s="1984"/>
      <c r="E53" s="1984"/>
      <c r="F53" s="1984"/>
      <c r="G53" s="1984"/>
      <c r="H53" s="1984"/>
      <c r="I53" s="1984"/>
      <c r="J53" s="1984"/>
      <c r="K53" s="1925" t="s">
        <v>369</v>
      </c>
      <c r="L53" s="2421">
        <f>J7</f>
        <v>31045129061</v>
      </c>
      <c r="M53" s="2421"/>
      <c r="N53" s="2447"/>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8"/>
      <c r="B55" s="2449"/>
      <c r="C55" s="2449"/>
      <c r="D55" s="1971"/>
      <c r="E55" s="1971"/>
      <c r="F55" s="1971"/>
      <c r="G55" s="2450" t="s">
        <v>2030</v>
      </c>
      <c r="H55" s="2450"/>
      <c r="I55" s="2450"/>
      <c r="J55" s="2450"/>
      <c r="K55" s="2450"/>
      <c r="L55" s="2450"/>
      <c r="M55" s="2450"/>
      <c r="N55" s="2451"/>
    </row>
    <row r="56" spans="1:14" ht="63.75" x14ac:dyDescent="0.2">
      <c r="A56" s="2452" t="s">
        <v>2031</v>
      </c>
      <c r="B56" s="2453"/>
      <c r="C56" s="2454"/>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55" t="s">
        <v>296</v>
      </c>
      <c r="B57" s="2456"/>
      <c r="C57" s="2456"/>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34" t="s">
        <v>2041</v>
      </c>
      <c r="B58" s="2435"/>
      <c r="C58" s="2435"/>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57" t="s">
        <v>297</v>
      </c>
      <c r="B59" s="2458"/>
      <c r="C59" s="2458"/>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57" t="s">
        <v>236</v>
      </c>
      <c r="B60" s="2458"/>
      <c r="C60" s="2458"/>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57" t="s">
        <v>697</v>
      </c>
      <c r="B61" s="2458"/>
      <c r="C61" s="2458"/>
      <c r="D61" s="1968">
        <v>2365</v>
      </c>
      <c r="E61" s="1978">
        <f>'Expenditures 15-22'!K323</f>
        <v>0</v>
      </c>
      <c r="F61" s="1973"/>
      <c r="G61" s="2032"/>
      <c r="H61" s="2033"/>
      <c r="I61" s="2033"/>
      <c r="J61" s="2033"/>
      <c r="K61" s="2033"/>
      <c r="L61" s="2033"/>
      <c r="M61" s="2033"/>
      <c r="N61" s="1976">
        <f t="shared" si="4"/>
        <v>0</v>
      </c>
    </row>
    <row r="62" spans="1:14" ht="24" customHeight="1" x14ac:dyDescent="0.2">
      <c r="A62" s="2457" t="s">
        <v>237</v>
      </c>
      <c r="B62" s="2458"/>
      <c r="C62" s="2458"/>
      <c r="D62" s="1968">
        <v>2366</v>
      </c>
      <c r="E62" s="1978">
        <f>'Expenditures 15-22'!K324</f>
        <v>0</v>
      </c>
      <c r="F62" s="1973"/>
      <c r="G62" s="2032"/>
      <c r="H62" s="2033"/>
      <c r="I62" s="2033"/>
      <c r="J62" s="2033"/>
      <c r="K62" s="2033"/>
      <c r="L62" s="2033"/>
      <c r="M62" s="2033"/>
      <c r="N62" s="1976">
        <f t="shared" si="4"/>
        <v>0</v>
      </c>
    </row>
    <row r="63" spans="1:14" ht="24" customHeight="1" x14ac:dyDescent="0.2">
      <c r="A63" s="2434" t="s">
        <v>1022</v>
      </c>
      <c r="B63" s="2435"/>
      <c r="C63" s="2435"/>
      <c r="D63" s="1968">
        <v>2367</v>
      </c>
      <c r="E63" s="1978">
        <f>'Expenditures 15-22'!K325</f>
        <v>0</v>
      </c>
      <c r="F63" s="1973"/>
      <c r="G63" s="2032"/>
      <c r="H63" s="2033"/>
      <c r="I63" s="2033"/>
      <c r="J63" s="2033"/>
      <c r="K63" s="2033"/>
      <c r="L63" s="2033"/>
      <c r="M63" s="2033"/>
      <c r="N63" s="1976">
        <f t="shared" si="4"/>
        <v>0</v>
      </c>
    </row>
    <row r="64" spans="1:14" ht="24" customHeight="1" x14ac:dyDescent="0.2">
      <c r="A64" s="2457" t="s">
        <v>1023</v>
      </c>
      <c r="B64" s="2458"/>
      <c r="C64" s="2458"/>
      <c r="D64" s="1968">
        <v>2368</v>
      </c>
      <c r="E64" s="1978">
        <f>'Expenditures 15-22'!K326</f>
        <v>0</v>
      </c>
      <c r="F64" s="1973"/>
      <c r="G64" s="2032"/>
      <c r="H64" s="2033"/>
      <c r="I64" s="2033"/>
      <c r="J64" s="2033"/>
      <c r="K64" s="2033"/>
      <c r="L64" s="2033"/>
      <c r="M64" s="2033"/>
      <c r="N64" s="1976">
        <f t="shared" si="4"/>
        <v>0</v>
      </c>
    </row>
    <row r="65" spans="1:14" ht="24" customHeight="1" x14ac:dyDescent="0.2">
      <c r="A65" s="2457" t="s">
        <v>965</v>
      </c>
      <c r="B65" s="2458"/>
      <c r="C65" s="2458"/>
      <c r="D65" s="1968">
        <v>2369</v>
      </c>
      <c r="E65" s="1978">
        <f>'Expenditures 15-22'!K327</f>
        <v>0</v>
      </c>
      <c r="F65" s="1973"/>
      <c r="G65" s="2032"/>
      <c r="H65" s="2033"/>
      <c r="I65" s="2033"/>
      <c r="J65" s="2033"/>
      <c r="K65" s="2033"/>
      <c r="L65" s="2033"/>
      <c r="M65" s="2033"/>
      <c r="N65" s="1976">
        <f t="shared" si="4"/>
        <v>0</v>
      </c>
    </row>
    <row r="66" spans="1:14" ht="24" customHeight="1" x14ac:dyDescent="0.2">
      <c r="A66" s="2457" t="s">
        <v>469</v>
      </c>
      <c r="B66" s="2458"/>
      <c r="C66" s="2458"/>
      <c r="D66" s="1968">
        <v>2371</v>
      </c>
      <c r="E66" s="1978">
        <f>'Expenditures 15-22'!K328</f>
        <v>0</v>
      </c>
      <c r="F66" s="1973"/>
      <c r="G66" s="2032"/>
      <c r="H66" s="2033"/>
      <c r="I66" s="2033"/>
      <c r="J66" s="2033"/>
      <c r="K66" s="2033"/>
      <c r="L66" s="2033"/>
      <c r="M66" s="2033"/>
      <c r="N66" s="1976">
        <f t="shared" si="4"/>
        <v>0</v>
      </c>
    </row>
    <row r="67" spans="1:14" ht="24.75" customHeight="1" x14ac:dyDescent="0.2">
      <c r="A67" s="2459" t="s">
        <v>2042</v>
      </c>
      <c r="B67" s="2460"/>
      <c r="C67" s="2460"/>
      <c r="D67" s="1970">
        <v>2372</v>
      </c>
      <c r="E67" s="1979">
        <f>'Expenditures 15-22'!K329</f>
        <v>0</v>
      </c>
      <c r="F67" s="1973"/>
      <c r="G67" s="2034"/>
      <c r="H67" s="2035"/>
      <c r="I67" s="2035"/>
      <c r="J67" s="2035"/>
      <c r="K67" s="2035"/>
      <c r="L67" s="2035"/>
      <c r="M67" s="2035"/>
      <c r="N67" s="1976">
        <f t="shared" si="4"/>
        <v>0</v>
      </c>
    </row>
    <row r="68" spans="1:14" x14ac:dyDescent="0.2">
      <c r="A68" s="2461" t="s">
        <v>1151</v>
      </c>
      <c r="B68" s="2462"/>
      <c r="C68" s="2462"/>
      <c r="D68" s="1971"/>
      <c r="E68" s="1975">
        <f>SUM(E57:E67)</f>
        <v>0</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7" sqref="B7"/>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2068</v>
      </c>
    </row>
    <row r="6" spans="1:2" x14ac:dyDescent="0.2">
      <c r="A6" s="847">
        <v>2</v>
      </c>
      <c r="B6" s="307" t="s">
        <v>2069</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Hope Wall Joint Agreement</v>
      </c>
    </row>
    <row r="65" spans="2:2" x14ac:dyDescent="0.2">
      <c r="B65" s="849">
        <f>COVER!A13</f>
        <v>31045129061</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67"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49" t="s">
        <v>1056</v>
      </c>
      <c r="B35" s="2149"/>
      <c r="C35" s="2149"/>
      <c r="D35" s="2149"/>
      <c r="E35" s="214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6" t="s">
        <v>686</v>
      </c>
      <c r="B40" s="2146"/>
      <c r="C40" s="2146"/>
      <c r="D40" s="2146"/>
      <c r="E40" s="2146"/>
    </row>
    <row r="41" spans="1:5" x14ac:dyDescent="0.2">
      <c r="A41" s="2147" t="s">
        <v>1591</v>
      </c>
      <c r="B41" s="2147"/>
      <c r="C41" s="2147"/>
      <c r="D41" s="2147"/>
      <c r="E41" s="2147"/>
    </row>
    <row r="42" spans="1:5" ht="12.75" customHeight="1" x14ac:dyDescent="0.2">
      <c r="A42" s="2148" t="s">
        <v>1015</v>
      </c>
      <c r="B42" s="2148"/>
      <c r="C42" s="2148"/>
      <c r="D42" s="2148"/>
      <c r="E42" s="2148"/>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1" sqref="C1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3" t="s">
        <v>1665</v>
      </c>
      <c r="B18" s="2463"/>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1028700</xdr:colOff>
                <xdr:row>1</xdr:row>
                <xdr:rowOff>0</xdr:rowOff>
              </from>
              <to>
                <xdr:col>1</xdr:col>
                <xdr:colOff>1943100</xdr:colOff>
                <xdr:row>5</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552450</xdr:colOff>
                <xdr:row>5</xdr:row>
                <xdr:rowOff>57150</xdr:rowOff>
              </from>
              <to>
                <xdr:col>1</xdr:col>
                <xdr:colOff>1466850</xdr:colOff>
                <xdr:row>9</xdr:row>
                <xdr:rowOff>95250</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4" t="s">
        <v>1669</v>
      </c>
      <c r="B1" s="2465"/>
      <c r="C1" s="2465"/>
      <c r="D1" s="2465"/>
      <c r="E1" s="2465"/>
      <c r="F1" s="2466"/>
    </row>
    <row r="2" spans="1:8" ht="45" customHeight="1" x14ac:dyDescent="0.2">
      <c r="A2" s="247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5"/>
      <c r="C2" s="2475"/>
      <c r="D2" s="2475"/>
      <c r="E2" s="2475"/>
      <c r="F2" s="2476"/>
      <c r="G2" s="853"/>
      <c r="H2" s="853"/>
    </row>
    <row r="3" spans="1:8" ht="57" customHeight="1" x14ac:dyDescent="0.2">
      <c r="A3" s="2477" t="s">
        <v>1972</v>
      </c>
      <c r="B3" s="2478"/>
      <c r="C3" s="2478"/>
      <c r="D3" s="2478"/>
      <c r="E3" s="2478"/>
      <c r="F3" s="2479"/>
      <c r="G3" s="853"/>
      <c r="H3" s="853"/>
    </row>
    <row r="4" spans="1:8" ht="14.25" customHeight="1" x14ac:dyDescent="0.2">
      <c r="A4" s="248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4"/>
      <c r="C4" s="2484"/>
      <c r="D4" s="2484"/>
      <c r="E4" s="2484"/>
      <c r="F4" s="2485"/>
      <c r="G4" s="853"/>
      <c r="H4" s="853"/>
    </row>
    <row r="5" spans="1:8" ht="14.25" customHeight="1" x14ac:dyDescent="0.2">
      <c r="A5" s="248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7"/>
      <c r="C5" s="2487"/>
      <c r="D5" s="2487"/>
      <c r="E5" s="2487"/>
      <c r="F5" s="2488"/>
      <c r="G5" s="853"/>
      <c r="H5" s="853"/>
    </row>
    <row r="6" spans="1:8" s="854" customFormat="1" ht="41.25" customHeight="1" x14ac:dyDescent="0.2">
      <c r="A6" s="2480" t="s">
        <v>1670</v>
      </c>
      <c r="B6" s="2481"/>
      <c r="C6" s="2481"/>
      <c r="D6" s="2481"/>
      <c r="E6" s="2481"/>
      <c r="F6" s="2482"/>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6187149</v>
      </c>
      <c r="C8" s="1813">
        <f>'Acct Summary 7-8'!D8</f>
        <v>1000000</v>
      </c>
      <c r="D8" s="1813">
        <f>'Acct Summary 7-8'!F8</f>
        <v>0</v>
      </c>
      <c r="E8" s="1813">
        <f>'Acct Summary 7-8'!I8</f>
        <v>0</v>
      </c>
      <c r="F8" s="1813">
        <f>SUM(B8:E8)</f>
        <v>7187149</v>
      </c>
    </row>
    <row r="9" spans="1:8" s="858" customFormat="1" ht="14.25" customHeight="1" thickBot="1" x14ac:dyDescent="0.25">
      <c r="A9" s="857" t="s">
        <v>1353</v>
      </c>
      <c r="B9" s="1814">
        <f>'Acct Summary 7-8'!C17</f>
        <v>6140046</v>
      </c>
      <c r="C9" s="1814">
        <f>'Acct Summary 7-8'!D17</f>
        <v>898605</v>
      </c>
      <c r="D9" s="1814">
        <f>'Acct Summary 7-8'!F17</f>
        <v>0</v>
      </c>
      <c r="E9" s="1813"/>
      <c r="F9" s="1813">
        <f>SUM(B9:E9)</f>
        <v>7038651</v>
      </c>
    </row>
    <row r="10" spans="1:8" s="858" customFormat="1" ht="14.25" thickTop="1" thickBot="1" x14ac:dyDescent="0.25">
      <c r="A10" s="859" t="s">
        <v>1354</v>
      </c>
      <c r="B10" s="1815">
        <f>(B8-B9)</f>
        <v>47103</v>
      </c>
      <c r="C10" s="1815">
        <f>(C8-C9)</f>
        <v>101395</v>
      </c>
      <c r="D10" s="1815">
        <f>(D8-D9)</f>
        <v>0</v>
      </c>
      <c r="E10" s="1814">
        <f>(E8-E9)</f>
        <v>0</v>
      </c>
      <c r="F10" s="1816">
        <f>SUM(F8-F9)</f>
        <v>148498</v>
      </c>
    </row>
    <row r="11" spans="1:8" s="858" customFormat="1" ht="14.25" thickTop="1" thickBot="1" x14ac:dyDescent="0.25">
      <c r="A11" s="860" t="s">
        <v>1903</v>
      </c>
      <c r="B11" s="1817">
        <f>'Acct Summary 7-8'!C81</f>
        <v>458018</v>
      </c>
      <c r="C11" s="1817">
        <f>'Acct Summary 7-8'!D81</f>
        <v>-473616</v>
      </c>
      <c r="D11" s="1817">
        <f>'Acct Summary 7-8'!F81</f>
        <v>0</v>
      </c>
      <c r="E11" s="1817">
        <f>'Acct Summary 7-8'!I81</f>
        <v>0</v>
      </c>
      <c r="F11" s="1818">
        <f>SUM(B11:E11)</f>
        <v>-15598</v>
      </c>
    </row>
    <row r="12" spans="1:8" ht="16.5" customHeight="1" thickTop="1" x14ac:dyDescent="0.2">
      <c r="A12" s="861"/>
      <c r="B12" s="862"/>
      <c r="C12" s="2468" t="str">
        <f>IF(AND(F10&lt;0,F11&gt;=0,ABS(F10*3)&gt;ABS(F11)),A16,IF(AND(F10&lt;0,F11&gt;0,ABS(F10*3)&lt;=ABS(F11)),A17,IF(AND(F10&lt;0,F11&lt;0),A16,IF(F11=0,A19,A18))))</f>
        <v>Balanced - no deficit reduction plan is required.</v>
      </c>
      <c r="D12" s="2469"/>
      <c r="E12" s="2469"/>
      <c r="F12" s="2470"/>
    </row>
    <row r="13" spans="1:8" ht="19.5" customHeight="1" x14ac:dyDescent="0.2">
      <c r="A13" s="863"/>
      <c r="B13" s="864"/>
      <c r="C13" s="2468"/>
      <c r="D13" s="2469"/>
      <c r="E13" s="2469"/>
      <c r="F13" s="2470"/>
      <c r="H13" s="853"/>
    </row>
    <row r="14" spans="1:8" ht="19.5" customHeight="1" x14ac:dyDescent="0.2">
      <c r="A14" s="863"/>
      <c r="B14" s="864"/>
      <c r="C14" s="2468"/>
      <c r="D14" s="2469"/>
      <c r="E14" s="2469"/>
      <c r="F14" s="2470"/>
      <c r="H14" s="853"/>
    </row>
    <row r="15" spans="1:8" ht="17.25" customHeight="1" x14ac:dyDescent="0.2">
      <c r="A15" s="863"/>
      <c r="B15" s="864"/>
      <c r="C15" s="2471"/>
      <c r="D15" s="2472"/>
      <c r="E15" s="2472"/>
      <c r="F15" s="2473"/>
      <c r="H15" s="853"/>
    </row>
    <row r="16" spans="1:8" s="288" customFormat="1" ht="51.75" hidden="1" customHeight="1" x14ac:dyDescent="0.2">
      <c r="A16" s="2467" t="s">
        <v>1666</v>
      </c>
      <c r="B16" s="2467"/>
      <c r="C16" s="2467"/>
      <c r="D16" s="2467"/>
      <c r="E16" s="2467"/>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82" sqref="D8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89" t="s">
        <v>660</v>
      </c>
      <c r="B3" s="2490"/>
      <c r="C3" s="2490"/>
      <c r="D3" s="2491"/>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0" t="s">
        <v>1487</v>
      </c>
      <c r="D7" s="2501"/>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2" t="s">
        <v>1001</v>
      </c>
      <c r="B15" s="2493"/>
      <c r="C15" s="2493"/>
      <c r="D15" s="2494"/>
    </row>
    <row r="16" spans="1:4" s="542" customFormat="1" ht="24" customHeight="1" x14ac:dyDescent="0.2">
      <c r="A16" s="2495" t="s">
        <v>658</v>
      </c>
      <c r="B16" s="2496"/>
      <c r="C16" s="2496"/>
      <c r="D16" s="2497"/>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4" t="s">
        <v>311</v>
      </c>
      <c r="D21" s="2505"/>
    </row>
    <row r="22" spans="1:10" ht="12.75" x14ac:dyDescent="0.2">
      <c r="A22" s="918"/>
      <c r="B22" s="919">
        <v>2</v>
      </c>
      <c r="C22" s="2502" t="s">
        <v>1507</v>
      </c>
      <c r="D22" s="2503"/>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ENTER ACCOUNTING INFO</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06" t="s">
        <v>533</v>
      </c>
      <c r="D43" s="2507"/>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498" t="s">
        <v>779</v>
      </c>
      <c r="D56" s="2499"/>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498" t="s">
        <v>1674</v>
      </c>
      <c r="D70" s="2499"/>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ENTRY IS REQUIRED!</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31045129061</v>
      </c>
      <c r="E2" s="1542">
        <v>2020</v>
      </c>
      <c r="F2" s="1542">
        <v>1</v>
      </c>
      <c r="G2" s="1899">
        <v>101000300</v>
      </c>
    </row>
    <row r="3" spans="1:7" ht="15" x14ac:dyDescent="0.25">
      <c r="A3" t="s">
        <v>950</v>
      </c>
      <c r="B3" s="135" t="str">
        <f>COVER!A15</f>
        <v>Kane</v>
      </c>
      <c r="E3" s="1830" t="s">
        <v>1971</v>
      </c>
      <c r="F3" s="1830" t="s">
        <v>1970</v>
      </c>
      <c r="G3" s="1899">
        <v>101000400</v>
      </c>
    </row>
    <row r="4" spans="1:7" ht="15" x14ac:dyDescent="0.25">
      <c r="A4" t="s">
        <v>1000</v>
      </c>
      <c r="B4" s="135" t="str">
        <f>COVER!A17</f>
        <v xml:space="preserve">  Hope Wall Joint Agreement</v>
      </c>
      <c r="E4" s="1828">
        <v>44119</v>
      </c>
      <c r="F4" s="1829">
        <v>44151</v>
      </c>
      <c r="G4" s="1899">
        <v>101000600</v>
      </c>
    </row>
    <row r="5" spans="1:7" ht="15" x14ac:dyDescent="0.25">
      <c r="A5" t="s">
        <v>699</v>
      </c>
      <c r="B5" s="135" t="str">
        <f>COVER!A38</f>
        <v>Dr. Jeff Craig</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 xml:space="preserve">ACCRUAL </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066-004207</v>
      </c>
      <c r="G15" s="1899">
        <v>402100400</v>
      </c>
    </row>
    <row r="16" spans="1:7" ht="15" x14ac:dyDescent="0.25">
      <c r="A16" t="s">
        <v>419</v>
      </c>
      <c r="B16" s="135" t="str">
        <f>COVER!T13</f>
        <v>Crowe LLP</v>
      </c>
      <c r="G16" s="1899">
        <v>402100600</v>
      </c>
    </row>
    <row r="17" spans="1:7" ht="15" x14ac:dyDescent="0.25">
      <c r="A17" t="s">
        <v>878</v>
      </c>
      <c r="B17" s="135" t="str">
        <f>COVER!T15</f>
        <v>Christine Torres</v>
      </c>
      <c r="G17" s="1899">
        <v>402100800</v>
      </c>
    </row>
    <row r="18" spans="1:7" ht="15" x14ac:dyDescent="0.25">
      <c r="A18" t="s">
        <v>1140</v>
      </c>
      <c r="B18" s="135" t="str">
        <f>COVER!T17</f>
        <v>One Mid America Plaza</v>
      </c>
      <c r="G18" s="1899">
        <v>102200300</v>
      </c>
    </row>
    <row r="19" spans="1:7" ht="15" x14ac:dyDescent="0.25">
      <c r="A19" t="s">
        <v>880</v>
      </c>
      <c r="B19" s="135" t="str">
        <f>COVER!T25</f>
        <v>christine.torres@crowe.com</v>
      </c>
      <c r="G19" s="1899">
        <v>102200400</v>
      </c>
    </row>
    <row r="20" spans="1:7" ht="15" x14ac:dyDescent="0.25">
      <c r="A20" t="s">
        <v>881</v>
      </c>
      <c r="B20" s="135" t="str">
        <f>COVER!T19</f>
        <v>Oak Brook</v>
      </c>
      <c r="G20" s="1899">
        <v>102200600</v>
      </c>
    </row>
    <row r="21" spans="1:7" ht="15" x14ac:dyDescent="0.25">
      <c r="A21" t="s">
        <v>476</v>
      </c>
      <c r="B21" s="135" t="str">
        <f>COVER!X19</f>
        <v>IL</v>
      </c>
      <c r="G21" s="1899">
        <v>102200800</v>
      </c>
    </row>
    <row r="22" spans="1:7" ht="15" x14ac:dyDescent="0.25">
      <c r="A22" t="s">
        <v>882</v>
      </c>
      <c r="B22" s="135">
        <f>COVER!Z19</f>
        <v>60522</v>
      </c>
      <c r="G22" s="1899">
        <v>102300300</v>
      </c>
    </row>
    <row r="23" spans="1:7" ht="15" x14ac:dyDescent="0.25">
      <c r="A23" t="s">
        <v>1142</v>
      </c>
      <c r="B23" s="135" t="str">
        <f>COVER!T21</f>
        <v>630-706-2074</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Yes</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1401040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4659080</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283215</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4201062</v>
      </c>
      <c r="C91" s="2" t="s">
        <v>569</v>
      </c>
      <c r="D91" s="2" t="str">
        <f t="shared" si="0"/>
        <v>Error?</v>
      </c>
      <c r="G91" s="1899">
        <v>102640400</v>
      </c>
    </row>
    <row r="92" spans="1:7" ht="15" x14ac:dyDescent="0.25">
      <c r="A92" s="5">
        <v>31</v>
      </c>
      <c r="B92" s="1832">
        <f>'Assets-Liab 5-6'!C39</f>
        <v>458018</v>
      </c>
      <c r="D92" s="2" t="str">
        <f t="shared" si="0"/>
        <v>Error?</v>
      </c>
      <c r="G92" s="1899">
        <v>102640600</v>
      </c>
    </row>
    <row r="93" spans="1:7" ht="15" x14ac:dyDescent="0.25">
      <c r="A93" s="5">
        <v>32</v>
      </c>
      <c r="B93" s="1832">
        <f>'Assets-Liab 5-6'!C41</f>
        <v>4659080</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981310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981310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1454926</v>
      </c>
      <c r="C122" s="2" t="s">
        <v>569</v>
      </c>
      <c r="D122" s="2" t="str">
        <f t="shared" si="0"/>
        <v>Error?</v>
      </c>
      <c r="G122" s="1899">
        <v>203000300</v>
      </c>
    </row>
    <row r="123" spans="1:7" ht="15" x14ac:dyDescent="0.25">
      <c r="A123" s="5">
        <v>62</v>
      </c>
      <c r="B123" s="1832">
        <f>'Assets-Liab 5-6'!D39</f>
        <v>-473616</v>
      </c>
      <c r="D123" s="2" t="str">
        <f t="shared" si="0"/>
        <v>Error?</v>
      </c>
      <c r="G123" s="1899">
        <v>203000400</v>
      </c>
    </row>
    <row r="124" spans="1:7" ht="15" x14ac:dyDescent="0.25">
      <c r="A124" s="5">
        <v>63</v>
      </c>
      <c r="B124" s="1832">
        <f>'Assets-Liab 5-6'!D41</f>
        <v>981310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49458</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49458</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49458</v>
      </c>
      <c r="D189" s="2" t="str">
        <f t="shared" si="1"/>
        <v>Error?</v>
      </c>
    </row>
    <row r="190" spans="1:4" x14ac:dyDescent="0.2">
      <c r="A190" s="5">
        <v>129</v>
      </c>
      <c r="B190" s="1832">
        <f>'Assets-Liab 5-6'!G41</f>
        <v>49458</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0</v>
      </c>
      <c r="C279" s="2" t="s">
        <v>569</v>
      </c>
      <c r="D279" s="2" t="str">
        <f t="shared" si="3"/>
        <v>Error?</v>
      </c>
    </row>
    <row r="280" spans="1:4" x14ac:dyDescent="0.2">
      <c r="A280" s="5">
        <v>219</v>
      </c>
      <c r="B280" s="1832">
        <f>'Assets-Liab 5-6'!M40</f>
        <v>0</v>
      </c>
      <c r="D280" s="2" t="str">
        <f t="shared" si="3"/>
        <v>Error?</v>
      </c>
    </row>
    <row r="281" spans="1:4" x14ac:dyDescent="0.2">
      <c r="A281" s="5">
        <v>220</v>
      </c>
      <c r="B281" s="1832">
        <f>'Assets-Liab 5-6'!M41</f>
        <v>0</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24719</v>
      </c>
      <c r="D717" s="2" t="str">
        <f t="shared" si="10"/>
        <v>Error?</v>
      </c>
    </row>
    <row r="718" spans="1:4" x14ac:dyDescent="0.2">
      <c r="A718" s="5">
        <v>657</v>
      </c>
      <c r="B718" s="1832">
        <f>'Expenditures 15-22'!C14</f>
        <v>29027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3470890</v>
      </c>
      <c r="C720" s="2" t="s">
        <v>569</v>
      </c>
      <c r="D720" s="2" t="str">
        <f t="shared" si="10"/>
        <v>Error?</v>
      </c>
    </row>
    <row r="721" spans="1:4" x14ac:dyDescent="0.2">
      <c r="A721" s="5">
        <v>660</v>
      </c>
      <c r="B721" s="1832">
        <f>'Expenditures 15-22'!C36</f>
        <v>81763</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118998</v>
      </c>
      <c r="D723" s="2" t="str">
        <f t="shared" si="10"/>
        <v>Error?</v>
      </c>
    </row>
    <row r="724" spans="1:4" x14ac:dyDescent="0.2">
      <c r="A724" s="5">
        <v>663</v>
      </c>
      <c r="B724" s="1832">
        <f>'Expenditures 15-22'!C39</f>
        <v>38281</v>
      </c>
      <c r="D724" s="2" t="str">
        <f t="shared" si="10"/>
        <v>Error?</v>
      </c>
    </row>
    <row r="725" spans="1:4" x14ac:dyDescent="0.2">
      <c r="A725" s="5">
        <v>664</v>
      </c>
      <c r="B725" s="1832">
        <f>'Expenditures 15-22'!C40</f>
        <v>245201</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484243</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0</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484243</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3955133</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8941</v>
      </c>
      <c r="D775" s="2" t="str">
        <f t="shared" si="11"/>
        <v>Error?</v>
      </c>
    </row>
    <row r="776" spans="1:4" x14ac:dyDescent="0.2">
      <c r="A776" s="5">
        <v>715</v>
      </c>
      <c r="B776" s="1832">
        <f>'Expenditures 15-22'!D14</f>
        <v>3745</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1011090</v>
      </c>
      <c r="C778" s="2" t="s">
        <v>569</v>
      </c>
      <c r="D778" s="2" t="str">
        <f t="shared" si="11"/>
        <v>Error?</v>
      </c>
    </row>
    <row r="779" spans="1:4" x14ac:dyDescent="0.2">
      <c r="A779" s="5">
        <v>718</v>
      </c>
      <c r="B779" s="1832">
        <f>'Expenditures 15-22'!D36</f>
        <v>18322</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28245</v>
      </c>
      <c r="D781" s="2" t="str">
        <f t="shared" si="11"/>
        <v>Error?</v>
      </c>
    </row>
    <row r="782" spans="1:4" x14ac:dyDescent="0.2">
      <c r="A782" s="5">
        <v>721</v>
      </c>
      <c r="B782" s="1832">
        <f>'Expenditures 15-22'!D39</f>
        <v>8826</v>
      </c>
      <c r="D782" s="2" t="str">
        <f t="shared" si="11"/>
        <v>Error?</v>
      </c>
    </row>
    <row r="783" spans="1:4" x14ac:dyDescent="0.2">
      <c r="A783" s="5">
        <v>722</v>
      </c>
      <c r="B783" s="1832">
        <f>'Expenditures 15-22'!D40</f>
        <v>59231</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114624</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0</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1760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1760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116384</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1127474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47156</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884744</v>
      </c>
      <c r="D842" s="2" t="str">
        <f t="shared" si="12"/>
        <v>Error?</v>
      </c>
    </row>
    <row r="843" spans="1:4" x14ac:dyDescent="0.2">
      <c r="A843" s="5">
        <v>782</v>
      </c>
      <c r="B843" s="1832">
        <f>'Expenditures 15-22'!E42</f>
        <v>884744</v>
      </c>
      <c r="C843" s="2" t="s">
        <v>569</v>
      </c>
      <c r="D843" s="2" t="str">
        <f t="shared" si="12"/>
        <v>Error?</v>
      </c>
    </row>
    <row r="844" spans="1:4" x14ac:dyDescent="0.2">
      <c r="A844" s="5">
        <v>783</v>
      </c>
      <c r="B844" s="1832">
        <f>'Expenditures 15-22'!E44</f>
        <v>730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730</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0</v>
      </c>
      <c r="C850" s="2" t="s">
        <v>569</v>
      </c>
      <c r="D850" s="2" t="str">
        <f t="shared" si="12"/>
        <v>Error?</v>
      </c>
    </row>
    <row r="851" spans="1:4" x14ac:dyDescent="0.2">
      <c r="A851" s="5">
        <v>790</v>
      </c>
      <c r="B851" s="1832">
        <f>'Expenditures 15-22'!E55</f>
        <v>1212</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1212</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14400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32189</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46589</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933275</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980431</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55577</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1894</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1894</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0</v>
      </c>
      <c r="C908" s="2" t="s">
        <v>569</v>
      </c>
      <c r="D908" s="2" t="str">
        <f t="shared" si="13"/>
        <v>Error?</v>
      </c>
    </row>
    <row r="909" spans="1:4" x14ac:dyDescent="0.2">
      <c r="A909" s="5">
        <v>848</v>
      </c>
      <c r="B909" s="1832">
        <f>'Expenditures 15-22'!F55</f>
        <v>898</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898</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6186</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6186</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1881</v>
      </c>
      <c r="D925" s="2" t="str">
        <f t="shared" si="13"/>
        <v>Error?</v>
      </c>
    </row>
    <row r="926" spans="1:4" x14ac:dyDescent="0.2">
      <c r="A926" s="10">
        <v>865</v>
      </c>
      <c r="B926" s="1832"/>
      <c r="D926" s="2" t="str">
        <f t="shared" si="13"/>
        <v>OK</v>
      </c>
    </row>
    <row r="927" spans="1:4" x14ac:dyDescent="0.2">
      <c r="A927" s="5">
        <v>866</v>
      </c>
      <c r="B927" s="1832">
        <f>'Expenditures 15-22'!F72</f>
        <v>1881</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10859</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66436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10572</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10572</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33660</v>
      </c>
      <c r="C1105" s="2" t="s">
        <v>569</v>
      </c>
      <c r="D1105" s="2" t="str">
        <f t="shared" si="16"/>
        <v>Error?</v>
      </c>
    </row>
    <row r="1106" spans="1:4" x14ac:dyDescent="0.2">
      <c r="A1106" s="5">
        <v>1045</v>
      </c>
      <c r="B1106" s="1832">
        <f>'Expenditures 15-22'!K14</f>
        <v>32772</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4595285</v>
      </c>
      <c r="C1108" s="2" t="s">
        <v>569</v>
      </c>
      <c r="D1108" s="2" t="str">
        <f t="shared" si="16"/>
        <v>Error?</v>
      </c>
    </row>
    <row r="1109" spans="1:4" x14ac:dyDescent="0.2">
      <c r="A1109" s="5">
        <v>1048</v>
      </c>
      <c r="B1109" s="1832">
        <f>'Expenditures 15-22'!K36</f>
        <v>100085</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147243</v>
      </c>
      <c r="C1111" s="2" t="s">
        <v>569</v>
      </c>
      <c r="D1111" s="2" t="str">
        <f t="shared" si="16"/>
        <v>Error?</v>
      </c>
    </row>
    <row r="1112" spans="1:4" x14ac:dyDescent="0.2">
      <c r="A1112" s="5">
        <v>1051</v>
      </c>
      <c r="B1112" s="1832">
        <f>'Expenditures 15-22'!K39</f>
        <v>47107</v>
      </c>
      <c r="C1112" s="2" t="s">
        <v>569</v>
      </c>
      <c r="D1112" s="2" t="str">
        <f t="shared" si="16"/>
        <v>Error?</v>
      </c>
    </row>
    <row r="1113" spans="1:4" x14ac:dyDescent="0.2">
      <c r="A1113" s="5">
        <v>1052</v>
      </c>
      <c r="B1113" s="1832">
        <f>'Expenditures 15-22'!K40</f>
        <v>304432</v>
      </c>
      <c r="C1113" s="2" t="s">
        <v>569</v>
      </c>
      <c r="D1113" s="2" t="str">
        <f t="shared" si="16"/>
        <v>Error?</v>
      </c>
    </row>
    <row r="1114" spans="1:4" x14ac:dyDescent="0.2">
      <c r="A1114" s="5">
        <v>1053</v>
      </c>
      <c r="B1114" s="1832">
        <f>'Expenditures 15-22'!K41</f>
        <v>884744</v>
      </c>
      <c r="C1114" s="2" t="s">
        <v>569</v>
      </c>
      <c r="D1114" s="2" t="str">
        <f t="shared" si="16"/>
        <v>Error?</v>
      </c>
    </row>
    <row r="1115" spans="1:4" x14ac:dyDescent="0.2">
      <c r="A1115" s="5">
        <v>1054</v>
      </c>
      <c r="B1115" s="1832">
        <f>'Expenditures 15-22'!K42</f>
        <v>1483611</v>
      </c>
      <c r="C1115" s="2" t="s">
        <v>569</v>
      </c>
      <c r="D1115" s="2" t="str">
        <f t="shared" si="16"/>
        <v>Error?</v>
      </c>
    </row>
    <row r="1116" spans="1:4" x14ac:dyDescent="0.2">
      <c r="A1116" s="5">
        <v>1055</v>
      </c>
      <c r="B1116" s="1832">
        <f>'Expenditures 15-22'!K44</f>
        <v>2624</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2624</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0</v>
      </c>
      <c r="C1122" s="2" t="s">
        <v>569</v>
      </c>
      <c r="D1122" s="2" t="str">
        <f t="shared" si="16"/>
        <v>Error?</v>
      </c>
    </row>
    <row r="1123" spans="1:4" x14ac:dyDescent="0.2">
      <c r="A1123" s="5">
        <v>1062</v>
      </c>
      <c r="B1123" s="1832">
        <f>'Expenditures 15-22'!K55</f>
        <v>2110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2110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14400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38375</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52775</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1760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1881</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3641</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1544761</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6140046</v>
      </c>
      <c r="C1152" s="2" t="s">
        <v>569</v>
      </c>
      <c r="D1152" s="2" t="str">
        <f t="shared" si="17"/>
        <v>Error?</v>
      </c>
    </row>
    <row r="1153" spans="1:4" x14ac:dyDescent="0.2">
      <c r="A1153" s="5">
        <v>1092</v>
      </c>
      <c r="B1153" s="1832">
        <f>'Expenditures 15-22'!K115</f>
        <v>47103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110150</v>
      </c>
      <c r="D1221" s="2" t="str">
        <f t="shared" si="18"/>
        <v>Error?</v>
      </c>
    </row>
    <row r="1222" spans="1:4" x14ac:dyDescent="0.2">
      <c r="A1222" s="10">
        <v>1161</v>
      </c>
      <c r="B1222" s="1832"/>
      <c r="D1222" s="2" t="str">
        <f t="shared" si="18"/>
        <v>OK</v>
      </c>
    </row>
    <row r="1223" spans="1:4" x14ac:dyDescent="0.2">
      <c r="A1223" s="5">
        <v>1162</v>
      </c>
      <c r="B1223" s="1832">
        <f>'Expenditures 15-22'!C127</f>
        <v>110150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110150</v>
      </c>
      <c r="C1225" s="2" t="s">
        <v>569</v>
      </c>
      <c r="D1225" s="2" t="str">
        <f t="shared" si="18"/>
        <v>Error?</v>
      </c>
    </row>
    <row r="1226" spans="1:4" x14ac:dyDescent="0.2">
      <c r="A1226" s="5">
        <v>1165</v>
      </c>
      <c r="B1226" s="1832">
        <f>'Expenditures 15-22'!C151</f>
        <v>110150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28787</v>
      </c>
      <c r="D1229" s="2" t="str">
        <f t="shared" si="18"/>
        <v>Error?</v>
      </c>
    </row>
    <row r="1230" spans="1:4" x14ac:dyDescent="0.2">
      <c r="A1230" s="10">
        <v>1169</v>
      </c>
      <c r="B1230" s="1832"/>
      <c r="D1230" s="2" t="str">
        <f t="shared" si="18"/>
        <v>OK</v>
      </c>
    </row>
    <row r="1231" spans="1:4" x14ac:dyDescent="0.2">
      <c r="A1231" s="5">
        <v>1170</v>
      </c>
      <c r="B1231" s="1832">
        <f>'Expenditures 15-22'!D127</f>
        <v>28787</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28787</v>
      </c>
      <c r="C1233" s="2" t="s">
        <v>569</v>
      </c>
      <c r="D1233" s="2" t="str">
        <f t="shared" si="18"/>
        <v>Error?</v>
      </c>
    </row>
    <row r="1234" spans="1:4" x14ac:dyDescent="0.2">
      <c r="A1234" s="5">
        <v>1173</v>
      </c>
      <c r="B1234" s="1832">
        <f>'Expenditures 15-22'!D151</f>
        <v>28787</v>
      </c>
      <c r="C1234" s="2" t="s">
        <v>569</v>
      </c>
      <c r="D1234" s="2" t="str">
        <f t="shared" si="18"/>
        <v>Error?</v>
      </c>
    </row>
    <row r="1235" spans="1:4" x14ac:dyDescent="0.2">
      <c r="A1235" s="5">
        <v>1174</v>
      </c>
      <c r="B1235" s="1832">
        <f>'Expenditures 15-22'!E122</f>
        <v>863</v>
      </c>
      <c r="D1235" s="2" t="str">
        <f t="shared" si="18"/>
        <v>Error?</v>
      </c>
    </row>
    <row r="1236" spans="1:4" x14ac:dyDescent="0.2">
      <c r="A1236" s="5">
        <v>1175</v>
      </c>
      <c r="B1236" s="1832">
        <f>'Expenditures 15-22'!E123</f>
        <v>7581</v>
      </c>
      <c r="D1236" s="2" t="str">
        <f t="shared" si="18"/>
        <v>Error?</v>
      </c>
    </row>
    <row r="1237" spans="1:4" x14ac:dyDescent="0.2">
      <c r="A1237" s="5">
        <v>1176</v>
      </c>
      <c r="B1237" s="1832">
        <f>'Expenditures 15-22'!E124</f>
        <v>97403</v>
      </c>
      <c r="D1237" s="2" t="str">
        <f t="shared" si="18"/>
        <v>Error?</v>
      </c>
    </row>
    <row r="1238" spans="1:4" x14ac:dyDescent="0.2">
      <c r="A1238" s="10">
        <v>1177</v>
      </c>
      <c r="B1238" s="1832"/>
      <c r="D1238" s="2" t="str">
        <f t="shared" si="18"/>
        <v>OK</v>
      </c>
    </row>
    <row r="1239" spans="1:4" x14ac:dyDescent="0.2">
      <c r="A1239" s="5">
        <v>1178</v>
      </c>
      <c r="B1239" s="1832">
        <f>'Expenditures 15-22'!E127</f>
        <v>105847</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105847</v>
      </c>
      <c r="C1241" s="2" t="s">
        <v>569</v>
      </c>
      <c r="D1241" s="2" t="str">
        <f t="shared" si="18"/>
        <v>Error?</v>
      </c>
    </row>
    <row r="1242" spans="1:4" x14ac:dyDescent="0.2">
      <c r="A1242" s="5">
        <v>1181</v>
      </c>
      <c r="B1242" s="1832">
        <f>'Expenditures 15-22'!E151</f>
        <v>105847</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69426</v>
      </c>
      <c r="D1245" s="2" t="str">
        <f t="shared" si="18"/>
        <v>Error?</v>
      </c>
    </row>
    <row r="1246" spans="1:4" x14ac:dyDescent="0.2">
      <c r="A1246" s="10">
        <v>1185</v>
      </c>
      <c r="B1246" s="1832"/>
      <c r="D1246" s="2" t="str">
        <f t="shared" si="18"/>
        <v>OK</v>
      </c>
    </row>
    <row r="1247" spans="1:4" x14ac:dyDescent="0.2">
      <c r="A1247" s="5">
        <v>1186</v>
      </c>
      <c r="B1247" s="1832">
        <f>'Expenditures 15-22'!F127</f>
        <v>69426</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69426</v>
      </c>
      <c r="C1249" s="2" t="s">
        <v>569</v>
      </c>
      <c r="D1249" s="2" t="str">
        <f t="shared" si="18"/>
        <v>Error?</v>
      </c>
    </row>
    <row r="1250" spans="1:4" x14ac:dyDescent="0.2">
      <c r="A1250" s="5">
        <v>1189</v>
      </c>
      <c r="B1250" s="1832">
        <f>'Expenditures 15-22'!F151</f>
        <v>69426</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584395</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584395</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584395</v>
      </c>
      <c r="C1258" s="2" t="s">
        <v>569</v>
      </c>
      <c r="D1258" s="2" t="str">
        <f t="shared" si="18"/>
        <v>Error?</v>
      </c>
    </row>
    <row r="1259" spans="1:4" x14ac:dyDescent="0.2">
      <c r="A1259" s="5">
        <v>1198</v>
      </c>
      <c r="B1259" s="1832">
        <f>'Expenditures 15-22'!G151</f>
        <v>584395</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863</v>
      </c>
      <c r="C1274" s="2" t="s">
        <v>569</v>
      </c>
      <c r="D1274" s="2" t="str">
        <f t="shared" si="18"/>
        <v>Error?</v>
      </c>
    </row>
    <row r="1275" spans="1:4" x14ac:dyDescent="0.2">
      <c r="A1275" s="5">
        <v>1214</v>
      </c>
      <c r="B1275" s="1832">
        <f>'Expenditures 15-22'!K123</f>
        <v>591976</v>
      </c>
      <c r="C1275" s="2" t="s">
        <v>569</v>
      </c>
      <c r="D1275" s="2" t="str">
        <f t="shared" si="18"/>
        <v>Error?</v>
      </c>
    </row>
    <row r="1276" spans="1:4" x14ac:dyDescent="0.2">
      <c r="A1276" s="5">
        <v>1215</v>
      </c>
      <c r="B1276" s="1832">
        <f>'Expenditures 15-22'!K124</f>
        <v>305766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898605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898605</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898605</v>
      </c>
      <c r="C1288" s="2" t="s">
        <v>569</v>
      </c>
      <c r="D1288" s="2" t="str">
        <f t="shared" si="19"/>
        <v>Error?</v>
      </c>
    </row>
    <row r="1289" spans="1:4" x14ac:dyDescent="0.2">
      <c r="A1289" s="5">
        <v>1228</v>
      </c>
      <c r="B1289" s="1832">
        <f>'Expenditures 15-22'!K152</f>
        <v>101395</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2519</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134767</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3362</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3362</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10369</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10369</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13731</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148498</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2519</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134767</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3362</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3362</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10369</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10369</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13731</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148498</v>
      </c>
      <c r="C1517" s="2" t="s">
        <v>569</v>
      </c>
      <c r="D1517" s="2" t="str">
        <f t="shared" si="22"/>
        <v>Error?</v>
      </c>
    </row>
    <row r="1518" spans="1:4" x14ac:dyDescent="0.2">
      <c r="A1518" s="5">
        <v>1457</v>
      </c>
      <c r="B1518" s="1832">
        <f>'Expenditures 15-22'!K296</f>
        <v>-148498</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410915</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458018</v>
      </c>
      <c r="C1630" s="2" t="s">
        <v>569</v>
      </c>
      <c r="D1630" s="2" t="str">
        <f t="shared" si="24"/>
        <v>Error?</v>
      </c>
    </row>
    <row r="1631" spans="1:4" x14ac:dyDescent="0.2">
      <c r="A1631" s="5">
        <v>1570</v>
      </c>
      <c r="B1631" s="1832">
        <f>'Acct Summary 7-8'!D79</f>
        <v>-575011</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-473616</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197956</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49458</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0</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0</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0</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0</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0</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0</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0</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6044845</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0</v>
      </c>
      <c r="C2553" s="2" t="s">
        <v>569</v>
      </c>
      <c r="D2553" s="2" t="str">
        <f t="shared" si="38"/>
        <v>Error?</v>
      </c>
    </row>
    <row r="2554" spans="1:4" x14ac:dyDescent="0.2">
      <c r="A2554" s="5">
        <v>2493</v>
      </c>
      <c r="B2554" s="1832">
        <f>'Acct Summary 7-8'!C7</f>
        <v>142304</v>
      </c>
      <c r="C2554" s="2" t="s">
        <v>569</v>
      </c>
      <c r="D2554" s="2" t="str">
        <f t="shared" si="38"/>
        <v>Error?</v>
      </c>
    </row>
    <row r="2555" spans="1:4" x14ac:dyDescent="0.2">
      <c r="A2555" s="5">
        <v>2494</v>
      </c>
      <c r="B2555" s="1832">
        <f>'Acct Summary 7-8'!C8</f>
        <v>6187149</v>
      </c>
      <c r="C2555" s="2" t="s">
        <v>569</v>
      </c>
      <c r="D2555" s="2" t="str">
        <f t="shared" si="38"/>
        <v>Error?</v>
      </c>
    </row>
    <row r="2556" spans="1:4" x14ac:dyDescent="0.2">
      <c r="A2556" s="5">
        <v>2495</v>
      </c>
      <c r="B2556" s="1832">
        <f>'Acct Summary 7-8'!C12</f>
        <v>4595285</v>
      </c>
      <c r="C2556" s="2" t="s">
        <v>569</v>
      </c>
      <c r="D2556" s="2" t="str">
        <f t="shared" si="38"/>
        <v>Error?</v>
      </c>
    </row>
    <row r="2557" spans="1:4" x14ac:dyDescent="0.2">
      <c r="A2557" s="5">
        <v>2496</v>
      </c>
      <c r="B2557" s="1832">
        <f>'Acct Summary 7-8'!C13</f>
        <v>1544761</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6140046</v>
      </c>
      <c r="C2561" s="2" t="s">
        <v>569</v>
      </c>
      <c r="D2561" s="2" t="str">
        <f t="shared" si="39"/>
        <v>Error?</v>
      </c>
    </row>
    <row r="2562" spans="1:4" x14ac:dyDescent="0.2">
      <c r="A2562" s="5">
        <v>2501</v>
      </c>
      <c r="B2562" s="1832">
        <f>'Acct Summary 7-8'!C20</f>
        <v>47103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1000000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1000000</v>
      </c>
      <c r="C2568" s="2" t="s">
        <v>569</v>
      </c>
      <c r="D2568" s="2" t="str">
        <f t="shared" si="39"/>
        <v>Error?</v>
      </c>
    </row>
    <row r="2569" spans="1:4" x14ac:dyDescent="0.2">
      <c r="A2569" s="5">
        <v>2508</v>
      </c>
      <c r="B2569" s="1832">
        <f>'Acct Summary 7-8'!D13</f>
        <v>898605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898605</v>
      </c>
      <c r="C2573" s="2" t="s">
        <v>569</v>
      </c>
      <c r="D2573" s="2" t="str">
        <f t="shared" si="39"/>
        <v>Error?</v>
      </c>
    </row>
    <row r="2574" spans="1:4" x14ac:dyDescent="0.2">
      <c r="A2574" s="5">
        <v>2513</v>
      </c>
      <c r="B2574" s="1832">
        <f>'Acct Summary 7-8'!D20</f>
        <v>101395</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134767</v>
      </c>
      <c r="C2607" s="2" t="s">
        <v>569</v>
      </c>
      <c r="D2607" s="2" t="str">
        <f t="shared" si="39"/>
        <v>Error?</v>
      </c>
    </row>
    <row r="2608" spans="1:4" x14ac:dyDescent="0.2">
      <c r="A2608" s="5">
        <v>2547</v>
      </c>
      <c r="B2608" s="1832">
        <f>'Acct Summary 7-8'!G13</f>
        <v>13731</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148498</v>
      </c>
      <c r="C2612" s="2" t="s">
        <v>569</v>
      </c>
      <c r="D2612" s="2" t="str">
        <f t="shared" si="39"/>
        <v>Error?</v>
      </c>
    </row>
    <row r="2613" spans="1:4" x14ac:dyDescent="0.2">
      <c r="A2613" s="5">
        <v>2552</v>
      </c>
      <c r="B2613" s="1832">
        <f>'Acct Summary 7-8'!G20</f>
        <v>-148498</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47103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101395</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-148498</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3417144</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998404</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47156</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55577</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10572</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4528853</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132248</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132248</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2020898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6187149</v>
      </c>
      <c r="C4122" s="2" t="s">
        <v>569</v>
      </c>
      <c r="D4122" s="2" t="str">
        <f t="shared" si="63"/>
        <v>Error?</v>
      </c>
    </row>
    <row r="4123" spans="1:4" x14ac:dyDescent="0.2">
      <c r="A4123" s="5">
        <v>4062</v>
      </c>
      <c r="B4123" s="1832">
        <f>'Acct Summary 7-8'!D10</f>
        <v>1000000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6140046</v>
      </c>
      <c r="C4136" s="2" t="s">
        <v>569</v>
      </c>
      <c r="D4136" s="2" t="str">
        <f t="shared" si="63"/>
        <v>Error?</v>
      </c>
    </row>
    <row r="4137" spans="1:4" x14ac:dyDescent="0.2">
      <c r="A4137" s="5">
        <v>4076</v>
      </c>
      <c r="B4137" s="1832">
        <f>'Acct Summary 7-8'!D19</f>
        <v>898605</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148498</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-15598</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70327</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6044845</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6044845</v>
      </c>
      <c r="C5087" s="2" t="s">
        <v>569</v>
      </c>
      <c r="D5087" s="2" t="str">
        <f t="shared" si="78"/>
        <v>Error?</v>
      </c>
    </row>
    <row r="5088" spans="1:4" x14ac:dyDescent="0.2">
      <c r="A5088" s="5">
        <v>5027</v>
      </c>
      <c r="B5088" s="1832">
        <f>'Revenues 9-14'!C65</f>
        <v>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0</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0</v>
      </c>
      <c r="C5120" s="2" t="s">
        <v>569</v>
      </c>
      <c r="D5120" s="2" t="str">
        <f t="shared" si="79"/>
        <v>Error?</v>
      </c>
    </row>
    <row r="5121" spans="1:4" x14ac:dyDescent="0.2">
      <c r="A5121" s="5">
        <v>5060</v>
      </c>
      <c r="B5121" s="1832">
        <f>'Revenues 9-14'!C109</f>
        <v>6044845</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0</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71977</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71977</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142304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142304</v>
      </c>
      <c r="C5326" s="2" t="s">
        <v>569</v>
      </c>
      <c r="D5326" s="2" t="str">
        <f t="shared" si="82"/>
        <v>Error?</v>
      </c>
    </row>
    <row r="5327" spans="1:5" x14ac:dyDescent="0.2">
      <c r="A5327" s="5">
        <v>5266</v>
      </c>
      <c r="B5327" s="1832">
        <f>'Revenues 9-14'!C268</f>
        <v>6187149</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1000000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1000000</v>
      </c>
      <c r="C5355" s="2" t="s">
        <v>569</v>
      </c>
      <c r="D5355" s="2" t="str">
        <f t="shared" si="82"/>
        <v>Error?</v>
      </c>
    </row>
    <row r="5356" spans="1:4" x14ac:dyDescent="0.2">
      <c r="A5356" s="5">
        <v>5295</v>
      </c>
      <c r="B5356" s="1832">
        <f>'Revenues 9-14'!D109</f>
        <v>1000000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1000000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1237142</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1237142</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233299</v>
      </c>
      <c r="D6133" s="2" t="str">
        <f t="shared" si="94"/>
        <v>Error?</v>
      </c>
      <c r="E6133" s="2" t="s">
        <v>189</v>
      </c>
    </row>
    <row r="6134" spans="1:5" x14ac:dyDescent="0.2">
      <c r="A6134">
        <v>6073</v>
      </c>
      <c r="B6134" s="1832">
        <f>'Assets-Liab 5-6'!D26</f>
        <v>217784</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3105800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578748</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47103</v>
      </c>
      <c r="D6267" s="2" t="str">
        <f t="shared" si="96"/>
        <v>Error?</v>
      </c>
      <c r="E6267" s="2" t="s">
        <v>189</v>
      </c>
    </row>
    <row r="6268" spans="1:5" x14ac:dyDescent="0.2">
      <c r="A6268">
        <v>6207</v>
      </c>
      <c r="B6268" s="1832">
        <f>'Acct Summary 7-8'!D82</f>
        <v>101395</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-148498</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0.10284093638241291</v>
      </c>
      <c r="D6276" s="2" t="str">
        <f t="shared" si="97"/>
        <v>Error?</v>
      </c>
      <c r="E6276" s="2" t="s">
        <v>189</v>
      </c>
    </row>
    <row r="6277" spans="1:5" x14ac:dyDescent="0.2">
      <c r="A6277">
        <v>6216</v>
      </c>
      <c r="B6277" s="1832">
        <f>'Acct Summary 7-8'!D83</f>
        <v>-0.21408693963041789</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f>'Acct Summary 7-8'!G83</f>
        <v>-3.0025071778074324</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7187149</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594967</v>
      </c>
      <c r="D7834" s="2" t="str">
        <f t="shared" si="129"/>
        <v>Error?</v>
      </c>
      <c r="E7834" s="4" t="s">
        <v>1998</v>
      </c>
    </row>
    <row r="7835" spans="1:5" x14ac:dyDescent="0.2">
      <c r="A7835">
        <v>7774</v>
      </c>
      <c r="B7835" s="1832">
        <f>'PCTC-OEPP 27-28'!F78</f>
        <v>6592182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1000000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70327</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1070327</v>
      </c>
      <c r="D7877" s="2" t="str">
        <f t="shared" si="129"/>
        <v>Error?</v>
      </c>
      <c r="E7877" s="4" t="s">
        <v>1998</v>
      </c>
    </row>
    <row r="7878" spans="1:5" x14ac:dyDescent="0.2">
      <c r="A7878">
        <v>7817</v>
      </c>
      <c r="B7878" s="1832">
        <f>'PCTC-OEPP 27-28'!F176</f>
        <v>5521855</v>
      </c>
      <c r="D7878" s="2" t="str">
        <f t="shared" si="129"/>
        <v>Error?</v>
      </c>
      <c r="E7878" s="4" t="s">
        <v>1998</v>
      </c>
    </row>
    <row r="7879" spans="1:5" x14ac:dyDescent="0.2">
      <c r="A7879">
        <v>7818</v>
      </c>
      <c r="B7879" s="1832">
        <f>'PCTC-OEPP 27-28'!F178</f>
        <v>5521855</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08" t="s">
        <v>1181</v>
      </c>
      <c r="B2" s="2508"/>
      <c r="C2" s="2508"/>
      <c r="D2" s="2508"/>
      <c r="E2" s="2508"/>
      <c r="F2" s="2508"/>
      <c r="G2" s="2508"/>
      <c r="H2" s="2508"/>
      <c r="I2" s="2508"/>
      <c r="J2" s="2508"/>
      <c r="K2" s="2508"/>
      <c r="L2" s="2508"/>
    </row>
    <row r="3" spans="1:29" ht="13.5" customHeight="1" x14ac:dyDescent="0.2">
      <c r="A3" s="2540" t="s">
        <v>1180</v>
      </c>
      <c r="B3" s="2540"/>
      <c r="C3" s="2540"/>
      <c r="D3" s="2540"/>
      <c r="E3" s="2540"/>
      <c r="F3" s="2540"/>
      <c r="G3" s="2540"/>
      <c r="H3" s="2540"/>
      <c r="I3" s="2540"/>
      <c r="J3" s="2540"/>
      <c r="K3" s="2540"/>
      <c r="L3" s="2540"/>
    </row>
    <row r="4" spans="1:29" ht="13.5" customHeight="1" x14ac:dyDescent="0.2">
      <c r="A4" s="2529" t="str">
        <f>"Year Ending June 30, "&amp;'AFR20'!E2</f>
        <v>Year Ending June 30, 2020</v>
      </c>
      <c r="B4" s="2530"/>
      <c r="C4" s="2530"/>
      <c r="D4" s="2530"/>
      <c r="E4" s="2530"/>
      <c r="F4" s="2530"/>
      <c r="G4" s="2530"/>
      <c r="H4" s="2530"/>
      <c r="I4" s="2530"/>
      <c r="J4" s="2530"/>
      <c r="K4" s="2530"/>
      <c r="L4" s="2530"/>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1" t="str">
        <f>COVER!A17</f>
        <v xml:space="preserve">  Hope Wall Joint Agreement</v>
      </c>
      <c r="B7" s="2532"/>
      <c r="C7" s="2532"/>
      <c r="D7" s="2533"/>
      <c r="E7" s="2534">
        <f>COVER!A13</f>
        <v>31045129061</v>
      </c>
      <c r="F7" s="2535"/>
      <c r="G7" s="2541" t="str">
        <f>COVER!T23</f>
        <v>066-004207</v>
      </c>
      <c r="H7" s="2542"/>
      <c r="I7" s="2542"/>
      <c r="J7" s="2542"/>
      <c r="K7" s="2542"/>
      <c r="L7" s="2543"/>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4"/>
      <c r="B9" s="2545"/>
      <c r="C9" s="2545"/>
      <c r="D9" s="2545"/>
      <c r="E9" s="2545"/>
      <c r="F9" s="2546"/>
      <c r="G9" s="2514" t="str">
        <f>COVER!T13</f>
        <v>Crowe LLP</v>
      </c>
      <c r="H9" s="2547"/>
      <c r="I9" s="2547"/>
      <c r="J9" s="2547"/>
      <c r="K9" s="2547"/>
      <c r="L9" s="2548"/>
    </row>
    <row r="10" spans="1:29" ht="13.5" customHeight="1" x14ac:dyDescent="0.2">
      <c r="A10" s="2520" t="str">
        <f>COVER!A38</f>
        <v>Dr. Jeff Craig</v>
      </c>
      <c r="B10" s="2521"/>
      <c r="C10" s="2521"/>
      <c r="D10" s="2521"/>
      <c r="E10" s="2521"/>
      <c r="F10" s="2522"/>
      <c r="G10" s="2514" t="str">
        <f>COVER!T17</f>
        <v>One Mid America Plaza</v>
      </c>
      <c r="H10" s="2515"/>
      <c r="I10" s="2515"/>
      <c r="J10" s="2515"/>
      <c r="K10" s="2515"/>
      <c r="L10" s="2516"/>
    </row>
    <row r="11" spans="1:29" ht="13.5" customHeight="1" x14ac:dyDescent="0.2">
      <c r="A11" s="963" t="s">
        <v>1502</v>
      </c>
      <c r="B11" s="964"/>
      <c r="C11" s="965"/>
      <c r="D11" s="970"/>
      <c r="E11" s="965"/>
      <c r="F11" s="969"/>
      <c r="G11" s="2514" t="str">
        <f>COVER!T19</f>
        <v>Oak Brook</v>
      </c>
      <c r="H11" s="2515"/>
      <c r="I11" s="2515"/>
      <c r="J11" s="2515"/>
      <c r="K11" s="2515"/>
      <c r="L11" s="2516"/>
    </row>
    <row r="12" spans="1:29" ht="13.5" customHeight="1" x14ac:dyDescent="0.2">
      <c r="A12" s="2523" t="s">
        <v>1501</v>
      </c>
      <c r="B12" s="2524"/>
      <c r="C12" s="2524"/>
      <c r="D12" s="2524"/>
      <c r="E12" s="2524"/>
      <c r="F12" s="2525"/>
      <c r="G12" s="2517"/>
      <c r="H12" s="2518"/>
      <c r="I12" s="2518"/>
      <c r="J12" s="2518"/>
      <c r="K12" s="2518"/>
      <c r="L12" s="2519"/>
    </row>
    <row r="13" spans="1:29" ht="13.5" customHeight="1" x14ac:dyDescent="0.2">
      <c r="A13" s="2514"/>
      <c r="B13" s="2515"/>
      <c r="C13" s="2515"/>
      <c r="D13" s="2515"/>
      <c r="E13" s="2515"/>
      <c r="F13" s="2516"/>
      <c r="G13" s="2509" t="s">
        <v>1503</v>
      </c>
      <c r="H13" s="2510"/>
      <c r="I13" s="2526" t="str">
        <f>COVER!T25</f>
        <v>christine.torres@crowe.com</v>
      </c>
      <c r="J13" s="2527"/>
      <c r="K13" s="2527"/>
      <c r="L13" s="2528"/>
    </row>
    <row r="14" spans="1:29" ht="13.5" customHeight="1" x14ac:dyDescent="0.2">
      <c r="A14" s="2514" t="str">
        <f>COVER!A19</f>
        <v>1877 Downers Place</v>
      </c>
      <c r="B14" s="2515"/>
      <c r="C14" s="2515"/>
      <c r="D14" s="2515"/>
      <c r="E14" s="2515"/>
      <c r="F14" s="2516"/>
      <c r="G14" s="974" t="s">
        <v>1175</v>
      </c>
      <c r="H14" s="972"/>
      <c r="I14" s="972"/>
      <c r="J14" s="972"/>
      <c r="K14" s="972"/>
      <c r="L14" s="973"/>
    </row>
    <row r="15" spans="1:29" ht="13.5" customHeight="1" x14ac:dyDescent="0.2">
      <c r="A15" s="2514" t="str">
        <f>COVER!A21</f>
        <v>Aurora</v>
      </c>
      <c r="B15" s="2515"/>
      <c r="C15" s="2515"/>
      <c r="D15" s="2515"/>
      <c r="E15" s="2515"/>
      <c r="F15" s="2516"/>
      <c r="G15" s="2511" t="str">
        <f>COVER!T15</f>
        <v>Christine Torres</v>
      </c>
      <c r="H15" s="2512"/>
      <c r="I15" s="2512"/>
      <c r="J15" s="2512"/>
      <c r="K15" s="2512"/>
      <c r="L15" s="2513"/>
    </row>
    <row r="16" spans="1:29" ht="12.2" customHeight="1" x14ac:dyDescent="0.2">
      <c r="A16" s="2537">
        <f>COVER!A25</f>
        <v>60506</v>
      </c>
      <c r="B16" s="2538"/>
      <c r="C16" s="2538"/>
      <c r="D16" s="2538"/>
      <c r="E16" s="2538"/>
      <c r="F16" s="2539"/>
      <c r="G16" s="2549"/>
      <c r="H16" s="2550"/>
      <c r="I16" s="2550"/>
      <c r="J16" s="2550"/>
      <c r="K16" s="2550"/>
      <c r="L16" s="2551"/>
    </row>
    <row r="17" spans="1:13" ht="12.2" customHeight="1" x14ac:dyDescent="0.2">
      <c r="A17" s="2552"/>
      <c r="B17" s="2538"/>
      <c r="C17" s="2538"/>
      <c r="D17" s="2538"/>
      <c r="E17" s="2538"/>
      <c r="F17" s="2539"/>
      <c r="G17" s="974" t="s">
        <v>1174</v>
      </c>
      <c r="H17" s="972"/>
      <c r="I17" s="972"/>
      <c r="J17" s="972"/>
      <c r="K17" s="976" t="s">
        <v>1173</v>
      </c>
      <c r="L17" s="969"/>
      <c r="M17" s="962"/>
    </row>
    <row r="18" spans="1:13" ht="12.2" customHeight="1" x14ac:dyDescent="0.2">
      <c r="A18" s="2520"/>
      <c r="B18" s="2521"/>
      <c r="C18" s="2521"/>
      <c r="D18" s="2521"/>
      <c r="E18" s="2521"/>
      <c r="F18" s="2522"/>
      <c r="G18" s="2531" t="str">
        <f>COVER!T21</f>
        <v>630-706-2074</v>
      </c>
      <c r="H18" s="2532"/>
      <c r="I18" s="2532"/>
      <c r="J18" s="2532"/>
      <c r="K18" s="2531" t="str">
        <f>COVER!X21</f>
        <v>630-574-1608</v>
      </c>
      <c r="L18" s="253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09"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3" t="str">
        <f>'Single Audit Cover'!A7</f>
        <v xml:space="preserve">  Hope Wall Joint Agreement</v>
      </c>
      <c r="B1" s="2554"/>
      <c r="C1" s="2554"/>
      <c r="D1" s="2554"/>
    </row>
    <row r="2" spans="1:11" s="991" customFormat="1" ht="12.75" x14ac:dyDescent="0.2">
      <c r="A2" s="2555">
        <f>'Single Audit Cover'!E7</f>
        <v>31045129061</v>
      </c>
      <c r="B2" s="2556"/>
      <c r="C2" s="2556"/>
      <c r="D2" s="2556"/>
    </row>
    <row r="3" spans="1:11" s="991" customFormat="1" ht="12.75" x14ac:dyDescent="0.2">
      <c r="A3" s="2553" t="s">
        <v>1496</v>
      </c>
      <c r="B3" s="2554"/>
      <c r="C3" s="2554"/>
      <c r="D3" s="2554"/>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58" t="str">
        <f>'Single Audit Cover'!A7</f>
        <v xml:space="preserve">  Hope Wall Joint Agreement</v>
      </c>
      <c r="B1" s="2558"/>
      <c r="C1" s="2558"/>
      <c r="D1" s="2558"/>
      <c r="E1" s="2558"/>
    </row>
    <row r="2" spans="1:5" x14ac:dyDescent="0.2">
      <c r="A2" s="2559">
        <f>'Single Audit Cover'!E7</f>
        <v>31045129061</v>
      </c>
      <c r="B2" s="2559"/>
      <c r="C2" s="2559"/>
      <c r="D2" s="2559"/>
      <c r="E2" s="2559"/>
    </row>
    <row r="3" spans="1:5" ht="4.5" customHeight="1" x14ac:dyDescent="0.2"/>
    <row r="4" spans="1:5" x14ac:dyDescent="0.2">
      <c r="A4" s="2558" t="s">
        <v>1234</v>
      </c>
      <c r="B4" s="2558"/>
      <c r="C4" s="2558"/>
      <c r="D4" s="2558"/>
      <c r="E4" s="2558"/>
    </row>
    <row r="5" spans="1:5" x14ac:dyDescent="0.2">
      <c r="A5" s="2561" t="str">
        <f>'Single Audit Cover'!A4</f>
        <v>Year Ending June 30, 2020</v>
      </c>
      <c r="B5" s="2561"/>
      <c r="C5" s="2561"/>
      <c r="D5" s="2561"/>
      <c r="E5" s="2561"/>
    </row>
    <row r="6" spans="1:5" x14ac:dyDescent="0.2">
      <c r="A6" s="2558" t="s">
        <v>1233</v>
      </c>
      <c r="B6" s="2558"/>
      <c r="C6" s="2558"/>
      <c r="D6" s="2558"/>
      <c r="E6" s="2558"/>
    </row>
    <row r="8" spans="1:5" x14ac:dyDescent="0.2">
      <c r="A8" s="1036" t="s">
        <v>1232</v>
      </c>
    </row>
    <row r="10" spans="1:5" x14ac:dyDescent="0.2">
      <c r="A10" s="1037" t="s">
        <v>1231</v>
      </c>
      <c r="B10" s="1038" t="s">
        <v>1230</v>
      </c>
      <c r="C10" s="1038"/>
      <c r="D10" s="1039">
        <f>SUM('Acct Summary 7-8'!C7:K7)</f>
        <v>142304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142304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0"/>
      <c r="B24" s="2560"/>
      <c r="D24" s="1044"/>
    </row>
    <row r="25" spans="1:4" x14ac:dyDescent="0.2">
      <c r="A25" s="2557"/>
      <c r="B25" s="2557"/>
      <c r="D25" s="1044"/>
    </row>
    <row r="26" spans="1:4" x14ac:dyDescent="0.2">
      <c r="A26" s="2557"/>
      <c r="B26" s="2557"/>
      <c r="D26" s="1044"/>
    </row>
    <row r="27" spans="1:4" x14ac:dyDescent="0.2">
      <c r="A27" s="2557"/>
      <c r="B27" s="2557"/>
      <c r="D27" s="1044"/>
    </row>
    <row r="28" spans="1:4" x14ac:dyDescent="0.2">
      <c r="A28" s="2557"/>
      <c r="B28" s="2557"/>
      <c r="D28" s="1044"/>
    </row>
    <row r="29" spans="1:4" x14ac:dyDescent="0.2">
      <c r="A29" s="2557"/>
      <c r="B29" s="2557"/>
      <c r="D29" s="1044"/>
    </row>
    <row r="30" spans="1:4" x14ac:dyDescent="0.2">
      <c r="A30" s="2557"/>
      <c r="B30" s="2557"/>
      <c r="D30" s="1044"/>
    </row>
    <row r="32" spans="1:4" x14ac:dyDescent="0.2">
      <c r="A32" s="1036" t="s">
        <v>1222</v>
      </c>
      <c r="D32" s="1039">
        <f>SUM(D19:D30)</f>
        <v>142304</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57"/>
      <c r="B40" s="2557"/>
      <c r="D40" s="1044"/>
    </row>
    <row r="41" spans="1:4" x14ac:dyDescent="0.2">
      <c r="A41" s="2557"/>
      <c r="B41" s="2557"/>
      <c r="D41" s="1047"/>
    </row>
    <row r="42" spans="1:4" x14ac:dyDescent="0.2">
      <c r="A42" s="2557"/>
      <c r="B42" s="2557"/>
      <c r="D42" s="1047"/>
    </row>
    <row r="43" spans="1:4" x14ac:dyDescent="0.2">
      <c r="A43" s="2557"/>
      <c r="B43" s="2557"/>
      <c r="D43" s="1047"/>
    </row>
    <row r="44" spans="1:4" x14ac:dyDescent="0.2">
      <c r="A44" s="2557"/>
      <c r="B44" s="2557"/>
      <c r="D44" s="1047"/>
    </row>
    <row r="45" spans="1:4" x14ac:dyDescent="0.2">
      <c r="A45" s="2557"/>
      <c r="B45" s="2557"/>
      <c r="D45" s="1047"/>
    </row>
    <row r="47" spans="1:4" x14ac:dyDescent="0.2">
      <c r="B47" s="1048" t="s">
        <v>1216</v>
      </c>
      <c r="C47" s="1048"/>
      <c r="D47" s="1049">
        <f>SUM(D35:D45)</f>
        <v>0</v>
      </c>
    </row>
    <row r="49" spans="2:4" x14ac:dyDescent="0.2">
      <c r="B49" s="1048" t="s">
        <v>1215</v>
      </c>
      <c r="C49" s="1048"/>
      <c r="D49" s="1049">
        <f>D32-D47</f>
        <v>142304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0" t="str">
        <f>'Single Audit Cover'!A7</f>
        <v xml:space="preserve">  Hope Wall Joint Agreement</v>
      </c>
      <c r="C1" s="2562"/>
      <c r="D1" s="2562"/>
      <c r="E1" s="2562"/>
      <c r="F1" s="2562"/>
      <c r="G1" s="2562"/>
      <c r="H1" s="2562"/>
      <c r="I1" s="2562"/>
      <c r="J1" s="2562"/>
      <c r="K1" s="2562"/>
      <c r="L1" s="2562"/>
      <c r="M1" s="2562"/>
    </row>
    <row r="2" spans="2:14" ht="15" x14ac:dyDescent="0.2">
      <c r="B2" s="2563">
        <f>'Single Audit Cover'!E7</f>
        <v>31045129061</v>
      </c>
      <c r="C2" s="2563"/>
      <c r="D2" s="2563"/>
      <c r="E2" s="2563"/>
      <c r="F2" s="2563"/>
      <c r="G2" s="2563"/>
      <c r="H2" s="2563"/>
      <c r="I2" s="2563"/>
      <c r="J2" s="2563"/>
      <c r="K2" s="2563"/>
      <c r="L2" s="2563"/>
      <c r="M2" s="2563"/>
      <c r="N2" s="1078"/>
    </row>
    <row r="3" spans="2:14" ht="15" x14ac:dyDescent="0.2">
      <c r="B3" s="2564" t="s">
        <v>1208</v>
      </c>
      <c r="C3" s="2564"/>
      <c r="D3" s="2564"/>
      <c r="E3" s="2564"/>
      <c r="F3" s="2564"/>
      <c r="G3" s="2564"/>
      <c r="H3" s="2564"/>
      <c r="I3" s="2564"/>
      <c r="J3" s="2564"/>
      <c r="K3" s="2564"/>
      <c r="L3" s="2564"/>
      <c r="M3" s="2564"/>
      <c r="N3" s="1078"/>
    </row>
    <row r="4" spans="2:14" ht="15" x14ac:dyDescent="0.2">
      <c r="B4" s="2565" t="str">
        <f>'Single Audit Cover'!A4</f>
        <v>Year Ending June 30, 2020</v>
      </c>
      <c r="C4" s="2565"/>
      <c r="D4" s="2565"/>
      <c r="E4" s="2565"/>
      <c r="F4" s="2565"/>
      <c r="G4" s="2565"/>
      <c r="H4" s="2565"/>
      <c r="I4" s="2565"/>
      <c r="J4" s="2565"/>
      <c r="K4" s="2565"/>
      <c r="L4" s="2565"/>
      <c r="M4" s="2565"/>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5" t="str">
        <f>'Single Audit Cover'!A7</f>
        <v xml:space="preserve">  Hope Wall Joint Agreement</v>
      </c>
      <c r="B1" s="2575"/>
      <c r="C1" s="2575"/>
      <c r="D1" s="2575"/>
      <c r="E1" s="2575"/>
      <c r="F1" s="2575"/>
    </row>
    <row r="2" spans="1:7" ht="13.5" customHeight="1" x14ac:dyDescent="0.2">
      <c r="A2" s="2563">
        <f>'Single Audit Cover'!E7</f>
        <v>31045129061</v>
      </c>
      <c r="B2" s="2563"/>
      <c r="C2" s="2563"/>
      <c r="D2" s="2563"/>
      <c r="E2" s="2563"/>
      <c r="F2" s="2563"/>
      <c r="G2" s="1051"/>
    </row>
    <row r="3" spans="1:7" ht="15.75" customHeight="1" x14ac:dyDescent="0.2">
      <c r="A3" s="2576" t="s">
        <v>1260</v>
      </c>
      <c r="B3" s="2576"/>
      <c r="C3" s="2576"/>
      <c r="D3" s="2576"/>
      <c r="E3" s="2576"/>
      <c r="F3" s="2576"/>
    </row>
    <row r="4" spans="1:7" ht="13.5" customHeight="1" x14ac:dyDescent="0.2">
      <c r="A4" s="2577" t="str">
        <f>'Single Audit Cover'!A4</f>
        <v>Year Ending June 30, 2020</v>
      </c>
      <c r="B4" s="2577"/>
      <c r="C4" s="2577"/>
      <c r="D4" s="2577"/>
      <c r="E4" s="2577"/>
      <c r="F4" s="2577"/>
    </row>
    <row r="5" spans="1:7" ht="8.25" customHeight="1" x14ac:dyDescent="0.2">
      <c r="C5" s="295"/>
      <c r="D5" s="295"/>
    </row>
    <row r="6" spans="1:7" ht="13.5" customHeight="1" x14ac:dyDescent="0.2">
      <c r="A6" s="1052" t="s">
        <v>1705</v>
      </c>
      <c r="C6" s="295"/>
      <c r="D6" s="295"/>
    </row>
    <row r="7" spans="1:7" ht="60.95" customHeight="1" x14ac:dyDescent="0.2">
      <c r="A7" s="2574" t="s">
        <v>1706</v>
      </c>
      <c r="B7" s="2574"/>
      <c r="C7" s="2574"/>
      <c r="D7" s="2574"/>
      <c r="E7" s="2574"/>
      <c r="F7" s="2574"/>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4" t="s">
        <v>1708</v>
      </c>
      <c r="B13" s="2574"/>
      <c r="C13" s="2574"/>
      <c r="D13" s="2574"/>
      <c r="E13" s="2574"/>
      <c r="F13" s="2574"/>
    </row>
    <row r="14" spans="1:7" ht="9.75" customHeight="1" x14ac:dyDescent="0.2">
      <c r="C14" s="1036"/>
      <c r="D14" s="1036"/>
    </row>
    <row r="15" spans="1:7" ht="13.5" customHeight="1" x14ac:dyDescent="0.2">
      <c r="C15" s="1476" t="s">
        <v>1259</v>
      </c>
      <c r="D15" s="2572" t="s">
        <v>1258</v>
      </c>
      <c r="E15" s="2572"/>
      <c r="F15" s="2572"/>
    </row>
    <row r="16" spans="1:7" ht="13.5" customHeight="1" x14ac:dyDescent="0.2">
      <c r="A16" s="1058"/>
      <c r="B16" s="1052" t="s">
        <v>1257</v>
      </c>
      <c r="C16" s="1476" t="s">
        <v>1256</v>
      </c>
      <c r="D16" s="2573" t="s">
        <v>1571</v>
      </c>
      <c r="E16" s="2573"/>
      <c r="F16" s="2573"/>
    </row>
    <row r="17" spans="1:6" ht="20.45" customHeight="1" x14ac:dyDescent="0.2">
      <c r="A17" s="1059"/>
      <c r="B17" s="1060"/>
      <c r="C17" s="1061"/>
      <c r="D17" s="2567"/>
      <c r="E17" s="2567"/>
      <c r="F17" s="2567"/>
    </row>
    <row r="18" spans="1:6" ht="20.65" customHeight="1" x14ac:dyDescent="0.2">
      <c r="A18" s="1059"/>
      <c r="B18" s="1060"/>
      <c r="C18" s="1061"/>
      <c r="D18" s="2567"/>
      <c r="E18" s="2567"/>
      <c r="F18" s="2567"/>
    </row>
    <row r="19" spans="1:6" ht="20.65" customHeight="1" x14ac:dyDescent="0.2">
      <c r="A19" s="1059"/>
      <c r="B19" s="1060"/>
      <c r="C19" s="1061"/>
      <c r="D19" s="2567"/>
      <c r="E19" s="2567"/>
      <c r="F19" s="2567"/>
    </row>
    <row r="20" spans="1:6" ht="20.65" customHeight="1" x14ac:dyDescent="0.2">
      <c r="A20" s="1059"/>
      <c r="B20" s="1060"/>
      <c r="C20" s="1061"/>
      <c r="D20" s="2567"/>
      <c r="E20" s="2567"/>
      <c r="F20" s="2567"/>
    </row>
    <row r="21" spans="1:6" ht="20.65" customHeight="1" x14ac:dyDescent="0.2">
      <c r="A21" s="1059"/>
      <c r="B21" s="1060"/>
      <c r="C21" s="1061"/>
      <c r="D21" s="2567"/>
      <c r="E21" s="2567"/>
      <c r="F21" s="2567"/>
    </row>
    <row r="22" spans="1:6" ht="20.65" customHeight="1" x14ac:dyDescent="0.2">
      <c r="A22" s="1059"/>
      <c r="B22" s="1060"/>
      <c r="C22" s="1061"/>
      <c r="D22" s="2567"/>
      <c r="E22" s="2567"/>
      <c r="F22" s="2567"/>
    </row>
    <row r="23" spans="1:6" ht="20.65" customHeight="1" x14ac:dyDescent="0.2">
      <c r="A23" s="1059"/>
      <c r="B23" s="1060"/>
      <c r="C23" s="1061"/>
      <c r="D23" s="2567"/>
      <c r="E23" s="2567"/>
      <c r="F23" s="2567"/>
    </row>
    <row r="24" spans="1:6" ht="20.65" customHeight="1" x14ac:dyDescent="0.2">
      <c r="A24" s="1059"/>
      <c r="B24" s="1060"/>
      <c r="C24" s="1061"/>
      <c r="D24" s="2567"/>
      <c r="E24" s="2567"/>
      <c r="F24" s="2567"/>
    </row>
    <row r="25" spans="1:6" ht="20.65" customHeight="1" x14ac:dyDescent="0.2">
      <c r="A25" s="1059"/>
      <c r="B25" s="1060"/>
      <c r="C25" s="1061"/>
      <c r="D25" s="2567"/>
      <c r="E25" s="2567"/>
      <c r="F25" s="2567"/>
    </row>
    <row r="26" spans="1:6" ht="20.65" customHeight="1" x14ac:dyDescent="0.2">
      <c r="A26" s="1059"/>
      <c r="B26" s="1060"/>
      <c r="C26" s="1061"/>
      <c r="D26" s="2567"/>
      <c r="E26" s="2567"/>
      <c r="F26" s="2567"/>
    </row>
    <row r="27" spans="1:6" ht="20.65" customHeight="1" x14ac:dyDescent="0.2">
      <c r="A27" s="1059"/>
      <c r="B27" s="1060"/>
      <c r="C27" s="1061"/>
      <c r="D27" s="2567"/>
      <c r="E27" s="2567"/>
      <c r="F27" s="2567"/>
    </row>
    <row r="28" spans="1:6" ht="20.65" customHeight="1" x14ac:dyDescent="0.2">
      <c r="A28" s="1059"/>
      <c r="B28" s="1060"/>
      <c r="C28" s="1061"/>
      <c r="D28" s="2567"/>
      <c r="E28" s="2567"/>
      <c r="F28" s="2567"/>
    </row>
    <row r="29" spans="1:6" ht="20.65" customHeight="1" x14ac:dyDescent="0.2">
      <c r="A29" s="1059"/>
      <c r="B29" s="1060"/>
      <c r="C29" s="1061"/>
      <c r="D29" s="2567"/>
      <c r="E29" s="2567"/>
      <c r="F29" s="2567"/>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68" t="s">
        <v>1709</v>
      </c>
      <c r="B32" s="2568"/>
      <c r="C32" s="2568"/>
      <c r="D32" s="2568"/>
      <c r="E32" s="2568"/>
      <c r="F32" s="256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69">
        <f>+C33+C34</f>
        <v>0</v>
      </c>
      <c r="F34" s="257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1" t="s">
        <v>1573</v>
      </c>
      <c r="C49" s="2571"/>
      <c r="D49" s="2571"/>
      <c r="E49" s="1168"/>
    </row>
    <row r="50" spans="1:5" s="1076" customFormat="1" ht="3.75" customHeight="1" x14ac:dyDescent="0.2">
      <c r="A50" s="1075"/>
      <c r="B50" s="1475"/>
      <c r="C50" s="1475"/>
      <c r="D50" s="1475"/>
      <c r="E50" s="1168"/>
    </row>
    <row r="51" spans="1:5" s="1076" customFormat="1" ht="20.25" customHeight="1" x14ac:dyDescent="0.2">
      <c r="A51" s="1077">
        <v>6</v>
      </c>
      <c r="B51" s="2566" t="s">
        <v>1534</v>
      </c>
      <c r="C51" s="2566"/>
      <c r="D51" s="2566"/>
    </row>
    <row r="52" spans="1:5" ht="14.25" customHeight="1" x14ac:dyDescent="0.2">
      <c r="A52" s="1077"/>
      <c r="B52" s="2566"/>
      <c r="C52" s="2566"/>
      <c r="D52" s="256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8" colorId="8" zoomScaleNormal="100" workbookViewId="0">
      <selection activeCell="D119" sqref="D1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0" t="s">
        <v>1158</v>
      </c>
      <c r="B2" s="2150"/>
      <c r="C2" s="2150"/>
      <c r="D2" s="2150"/>
      <c r="E2" s="2150"/>
      <c r="F2" s="2150"/>
      <c r="G2" s="2150"/>
      <c r="H2" s="2150"/>
      <c r="I2" s="2150"/>
      <c r="J2" s="2150"/>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t="s">
        <v>2051</v>
      </c>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4" t="s">
        <v>1616</v>
      </c>
      <c r="B35" s="2165"/>
      <c r="C35" s="2165"/>
      <c r="D35" s="2165"/>
      <c r="E35" s="2166"/>
      <c r="F35" s="2166"/>
      <c r="G35" s="2166"/>
      <c r="H35" s="2166"/>
      <c r="I35" s="216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4" t="s">
        <v>310</v>
      </c>
      <c r="B47" s="2167"/>
      <c r="C47" s="2167"/>
      <c r="D47" s="2167"/>
      <c r="E47" s="2168"/>
      <c r="F47" s="2168"/>
      <c r="G47" s="2168"/>
      <c r="H47" s="2168"/>
      <c r="I47" s="216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1"/>
      <c r="C57" s="2172"/>
      <c r="D57" s="2172"/>
      <c r="E57" s="2172"/>
      <c r="F57" s="2172"/>
      <c r="G57" s="2172"/>
      <c r="H57" s="2172"/>
      <c r="I57" s="2172"/>
      <c r="J57" s="2173"/>
    </row>
    <row r="58" spans="1:10" s="176" customFormat="1" x14ac:dyDescent="0.2">
      <c r="A58" s="248"/>
      <c r="B58" s="2174"/>
      <c r="C58" s="2175"/>
      <c r="D58" s="2175"/>
      <c r="E58" s="2175"/>
      <c r="F58" s="2175"/>
      <c r="G58" s="2175"/>
      <c r="H58" s="2175"/>
      <c r="I58" s="2175"/>
      <c r="J58" s="2176"/>
    </row>
    <row r="59" spans="1:10" s="176" customFormat="1" x14ac:dyDescent="0.2">
      <c r="A59" s="248"/>
      <c r="B59" s="2174"/>
      <c r="C59" s="2175"/>
      <c r="D59" s="2175"/>
      <c r="E59" s="2175"/>
      <c r="F59" s="2175"/>
      <c r="G59" s="2175"/>
      <c r="H59" s="2175"/>
      <c r="I59" s="2175"/>
      <c r="J59" s="2176"/>
    </row>
    <row r="60" spans="1:10" s="176" customFormat="1" x14ac:dyDescent="0.2">
      <c r="A60" s="248"/>
      <c r="B60" s="2174"/>
      <c r="C60" s="2175"/>
      <c r="D60" s="2175"/>
      <c r="E60" s="2175"/>
      <c r="F60" s="2175"/>
      <c r="G60" s="2175"/>
      <c r="H60" s="2175"/>
      <c r="I60" s="2175"/>
      <c r="J60" s="2176"/>
    </row>
    <row r="61" spans="1:10" s="176" customFormat="1" x14ac:dyDescent="0.2">
      <c r="A61" s="248"/>
      <c r="B61" s="2174"/>
      <c r="C61" s="2175"/>
      <c r="D61" s="2175"/>
      <c r="E61" s="2175"/>
      <c r="F61" s="2175"/>
      <c r="G61" s="2175"/>
      <c r="H61" s="2175"/>
      <c r="I61" s="2175"/>
      <c r="J61" s="2176"/>
    </row>
    <row r="62" spans="1:10" s="176" customFormat="1" x14ac:dyDescent="0.2">
      <c r="A62" s="248"/>
      <c r="B62" s="2174"/>
      <c r="C62" s="2175"/>
      <c r="D62" s="2175"/>
      <c r="E62" s="2175"/>
      <c r="F62" s="2175"/>
      <c r="G62" s="2175"/>
      <c r="H62" s="2175"/>
      <c r="I62" s="2175"/>
      <c r="J62" s="2176"/>
    </row>
    <row r="63" spans="1:10" s="176" customFormat="1" x14ac:dyDescent="0.2">
      <c r="A63" s="248"/>
      <c r="B63" s="2174"/>
      <c r="C63" s="2175"/>
      <c r="D63" s="2175"/>
      <c r="E63" s="2175"/>
      <c r="F63" s="2175"/>
      <c r="G63" s="2175"/>
      <c r="H63" s="2175"/>
      <c r="I63" s="2175"/>
      <c r="J63" s="2176"/>
    </row>
    <row r="64" spans="1:10" s="176" customFormat="1" x14ac:dyDescent="0.2">
      <c r="A64" s="248"/>
      <c r="B64" s="2174"/>
      <c r="C64" s="2175"/>
      <c r="D64" s="2175"/>
      <c r="E64" s="2175"/>
      <c r="F64" s="2175"/>
      <c r="G64" s="2175"/>
      <c r="H64" s="2175"/>
      <c r="I64" s="2175"/>
      <c r="J64" s="2176"/>
    </row>
    <row r="65" spans="1:11" s="176" customFormat="1" x14ac:dyDescent="0.2">
      <c r="A65" s="248"/>
      <c r="B65" s="2174"/>
      <c r="C65" s="2175"/>
      <c r="D65" s="2175"/>
      <c r="E65" s="2175"/>
      <c r="F65" s="2175"/>
      <c r="G65" s="2175"/>
      <c r="H65" s="2175"/>
      <c r="I65" s="2175"/>
      <c r="J65" s="2176"/>
    </row>
    <row r="66" spans="1:11" s="176" customFormat="1" x14ac:dyDescent="0.2">
      <c r="A66" s="248"/>
      <c r="B66" s="2174"/>
      <c r="C66" s="2175"/>
      <c r="D66" s="2175"/>
      <c r="E66" s="2175"/>
      <c r="F66" s="2175"/>
      <c r="G66" s="2175"/>
      <c r="H66" s="2175"/>
      <c r="I66" s="2175"/>
      <c r="J66" s="2176"/>
    </row>
    <row r="67" spans="1:11" s="176" customFormat="1" ht="9" customHeight="1" x14ac:dyDescent="0.2">
      <c r="A67" s="249"/>
      <c r="B67" s="2177"/>
      <c r="C67" s="2178"/>
      <c r="D67" s="2178"/>
      <c r="E67" s="2178"/>
      <c r="F67" s="2178"/>
      <c r="G67" s="2178"/>
      <c r="H67" s="2178"/>
      <c r="I67" s="2178"/>
      <c r="J67" s="217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4" t="s">
        <v>1312</v>
      </c>
      <c r="B70" s="2167"/>
      <c r="C70" s="2167"/>
      <c r="D70" s="2167"/>
      <c r="E70" s="2168"/>
      <c r="F70" s="2168"/>
      <c r="G70" s="2168"/>
      <c r="H70" s="2168"/>
      <c r="I70" s="2168"/>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9" t="s">
        <v>1309</v>
      </c>
      <c r="B83" s="2169"/>
      <c r="C83" s="2169"/>
      <c r="D83" s="2170"/>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0" t="s">
        <v>1989</v>
      </c>
      <c r="B85" s="2180"/>
      <c r="C85" s="2180"/>
      <c r="D85" s="2181"/>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2" t="s">
        <v>1989</v>
      </c>
      <c r="B88" s="2183"/>
      <c r="C88" s="2183"/>
      <c r="D88" s="2184"/>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1"/>
      <c r="C102" s="2152"/>
      <c r="D102" s="2152"/>
      <c r="E102" s="2152"/>
      <c r="F102" s="2152"/>
      <c r="G102" s="2152"/>
      <c r="H102" s="2152"/>
      <c r="I102" s="2153"/>
    </row>
    <row r="103" spans="1:9" s="176" customFormat="1" ht="11.25" customHeight="1" x14ac:dyDescent="0.2">
      <c r="A103" s="294"/>
      <c r="B103" s="2154"/>
      <c r="C103" s="2155"/>
      <c r="D103" s="2155"/>
      <c r="E103" s="2155"/>
      <c r="F103" s="2155"/>
      <c r="G103" s="2155"/>
      <c r="H103" s="2155"/>
      <c r="I103" s="2156"/>
    </row>
    <row r="104" spans="1:9" s="176" customFormat="1" ht="11.25" customHeight="1" x14ac:dyDescent="0.2">
      <c r="A104" s="294"/>
      <c r="B104" s="2154"/>
      <c r="C104" s="2155"/>
      <c r="D104" s="2155"/>
      <c r="E104" s="2155"/>
      <c r="F104" s="2155"/>
      <c r="G104" s="2155"/>
      <c r="H104" s="2155"/>
      <c r="I104" s="2156"/>
    </row>
    <row r="105" spans="1:9" s="176" customFormat="1" x14ac:dyDescent="0.2">
      <c r="A105" s="294"/>
      <c r="B105" s="2154"/>
      <c r="C105" s="2155"/>
      <c r="D105" s="2155"/>
      <c r="E105" s="2155"/>
      <c r="F105" s="2155"/>
      <c r="G105" s="2155"/>
      <c r="H105" s="2155"/>
      <c r="I105" s="2156"/>
    </row>
    <row r="106" spans="1:9" s="176" customFormat="1" ht="11.25" customHeight="1" x14ac:dyDescent="0.2">
      <c r="A106" s="294"/>
      <c r="B106" s="2154"/>
      <c r="C106" s="2155"/>
      <c r="D106" s="2155"/>
      <c r="E106" s="2155"/>
      <c r="F106" s="2155"/>
      <c r="G106" s="2155"/>
      <c r="H106" s="2155"/>
      <c r="I106" s="2156"/>
    </row>
    <row r="107" spans="1:9" s="176" customFormat="1" ht="11.25" customHeight="1" x14ac:dyDescent="0.2">
      <c r="A107" s="294"/>
      <c r="B107" s="2154"/>
      <c r="C107" s="2155"/>
      <c r="D107" s="2155"/>
      <c r="E107" s="2155"/>
      <c r="F107" s="2155"/>
      <c r="G107" s="2155"/>
      <c r="H107" s="2155"/>
      <c r="I107" s="2156"/>
    </row>
    <row r="108" spans="1:9" s="176" customFormat="1" ht="11.25" customHeight="1" x14ac:dyDescent="0.2">
      <c r="A108" s="294"/>
      <c r="B108" s="2154"/>
      <c r="C108" s="2155"/>
      <c r="D108" s="2155"/>
      <c r="E108" s="2155"/>
      <c r="F108" s="2155"/>
      <c r="G108" s="2155"/>
      <c r="H108" s="2155"/>
      <c r="I108" s="2156"/>
    </row>
    <row r="109" spans="1:9" s="176" customFormat="1" ht="11.25" customHeight="1" x14ac:dyDescent="0.2">
      <c r="A109" s="294"/>
      <c r="B109" s="2154"/>
      <c r="C109" s="2155"/>
      <c r="D109" s="2155"/>
      <c r="E109" s="2155"/>
      <c r="F109" s="2155"/>
      <c r="G109" s="2155"/>
      <c r="H109" s="2155"/>
      <c r="I109" s="2156"/>
    </row>
    <row r="110" spans="1:9" s="176" customFormat="1" ht="11.25" customHeight="1" x14ac:dyDescent="0.2">
      <c r="A110" s="294"/>
      <c r="B110" s="2154"/>
      <c r="C110" s="2155"/>
      <c r="D110" s="2155"/>
      <c r="E110" s="2155"/>
      <c r="F110" s="2155"/>
      <c r="G110" s="2155"/>
      <c r="H110" s="2155"/>
      <c r="I110" s="2156"/>
    </row>
    <row r="111" spans="1:9" s="176" customFormat="1" ht="11.25" customHeight="1" x14ac:dyDescent="0.2">
      <c r="A111" s="294"/>
      <c r="B111" s="2154"/>
      <c r="C111" s="2155"/>
      <c r="D111" s="2155"/>
      <c r="E111" s="2155"/>
      <c r="F111" s="2155"/>
      <c r="G111" s="2155"/>
      <c r="H111" s="2155"/>
      <c r="I111" s="2156"/>
    </row>
    <row r="112" spans="1:9" s="176" customFormat="1" ht="11.25" customHeight="1" x14ac:dyDescent="0.2">
      <c r="A112" s="294"/>
      <c r="B112" s="2157"/>
      <c r="C112" s="2158"/>
      <c r="D112" s="2158"/>
      <c r="E112" s="2158"/>
      <c r="F112" s="2158"/>
      <c r="G112" s="2158"/>
      <c r="H112" s="2158"/>
      <c r="I112" s="215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0" t="s">
        <v>2059</v>
      </c>
      <c r="D114" s="2160"/>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1" t="s">
        <v>1319</v>
      </c>
      <c r="D117" s="2162"/>
      <c r="E117" s="2163"/>
      <c r="F117" s="2163"/>
      <c r="G117" s="2163"/>
      <c r="H117" s="2163"/>
      <c r="I117" s="282"/>
    </row>
    <row r="118" spans="1:9" s="176" customFormat="1" ht="24" customHeight="1" x14ac:dyDescent="0.2">
      <c r="A118" s="294"/>
      <c r="B118" s="294"/>
      <c r="C118" s="294"/>
      <c r="D118" s="301" t="s">
        <v>2071</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49"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9" t="str">
        <f>'Single Audit Cover'!A7</f>
        <v xml:space="preserve">  Hope Wall Joint Agreement</v>
      </c>
      <c r="C1" s="2590"/>
      <c r="D1" s="2590"/>
      <c r="E1" s="2590"/>
      <c r="F1" s="2590"/>
      <c r="G1" s="2590"/>
      <c r="H1" s="2590"/>
      <c r="I1" s="2590"/>
      <c r="J1" s="1178"/>
    </row>
    <row r="2" spans="2:10" s="295" customFormat="1" ht="12.75" customHeight="1" x14ac:dyDescent="0.2">
      <c r="B2" s="2591">
        <f>'Single Audit Cover'!E7</f>
        <v>31045129061</v>
      </c>
      <c r="C2" s="2592"/>
      <c r="D2" s="2592"/>
      <c r="E2" s="2592"/>
      <c r="F2" s="2592"/>
      <c r="G2" s="2592"/>
      <c r="H2" s="2592"/>
      <c r="I2" s="2592"/>
      <c r="J2" s="1178"/>
    </row>
    <row r="3" spans="2:10" s="295" customFormat="1" ht="12.75" customHeight="1" x14ac:dyDescent="0.2">
      <c r="B3" s="2593" t="s">
        <v>1274</v>
      </c>
      <c r="C3" s="2594"/>
      <c r="D3" s="2594"/>
      <c r="E3" s="2594"/>
      <c r="F3" s="2594"/>
      <c r="G3" s="2594"/>
      <c r="H3" s="2594"/>
      <c r="I3" s="2594"/>
      <c r="J3" s="1179"/>
    </row>
    <row r="4" spans="2:10" s="295" customFormat="1" ht="12.75" customHeight="1" x14ac:dyDescent="0.2">
      <c r="B4" s="2593" t="str">
        <f>'Single Audit Cover'!A4</f>
        <v>Year Ending June 30, 2020</v>
      </c>
      <c r="C4" s="2594"/>
      <c r="D4" s="2594"/>
      <c r="E4" s="2594"/>
      <c r="F4" s="2594"/>
      <c r="G4" s="2594"/>
      <c r="H4" s="2594"/>
      <c r="I4" s="2594"/>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3" t="s">
        <v>1273</v>
      </c>
      <c r="C7" s="2594"/>
      <c r="D7" s="2594"/>
      <c r="E7" s="2594"/>
      <c r="F7" s="2594"/>
      <c r="G7" s="2594"/>
      <c r="H7" s="2594"/>
      <c r="I7" s="2594"/>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5"/>
      <c r="D11" s="2595"/>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6"/>
      <c r="E29" s="2596"/>
      <c r="F29" s="2596"/>
      <c r="G29" s="2596"/>
      <c r="H29" s="2596"/>
      <c r="I29" s="2596"/>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7" t="s">
        <v>1728</v>
      </c>
      <c r="D37" s="2598"/>
      <c r="E37" s="2598"/>
      <c r="F37" s="2599"/>
      <c r="G37" s="2597" t="s">
        <v>1575</v>
      </c>
      <c r="H37" s="2598"/>
      <c r="I37" s="2599"/>
    </row>
    <row r="38" spans="2:9" ht="16.5" customHeight="1" x14ac:dyDescent="0.2">
      <c r="B38" s="1200"/>
      <c r="C38" s="2585"/>
      <c r="D38" s="2586"/>
      <c r="E38" s="2586"/>
      <c r="F38" s="2587"/>
      <c r="G38" s="2600"/>
      <c r="H38" s="2601"/>
      <c r="I38" s="2602"/>
    </row>
    <row r="39" spans="2:9" ht="16.5" customHeight="1" x14ac:dyDescent="0.2">
      <c r="B39" s="1200"/>
      <c r="C39" s="2585"/>
      <c r="D39" s="2586"/>
      <c r="E39" s="2586"/>
      <c r="F39" s="2587"/>
      <c r="G39" s="2588"/>
      <c r="H39" s="2588"/>
      <c r="I39" s="2588"/>
    </row>
    <row r="40" spans="2:9" ht="16.5" customHeight="1" x14ac:dyDescent="0.2">
      <c r="B40" s="1200"/>
      <c r="C40" s="2585"/>
      <c r="D40" s="2586"/>
      <c r="E40" s="2586"/>
      <c r="F40" s="2587"/>
      <c r="G40" s="2588"/>
      <c r="H40" s="2588"/>
      <c r="I40" s="2588"/>
    </row>
    <row r="41" spans="2:9" ht="16.5" customHeight="1" x14ac:dyDescent="0.2">
      <c r="B41" s="1200"/>
      <c r="C41" s="2585"/>
      <c r="D41" s="2586"/>
      <c r="E41" s="2586"/>
      <c r="F41" s="2587"/>
      <c r="G41" s="2588"/>
      <c r="H41" s="2588"/>
      <c r="I41" s="2588"/>
    </row>
    <row r="42" spans="2:9" ht="16.5" customHeight="1" x14ac:dyDescent="0.2">
      <c r="B42" s="1200"/>
      <c r="C42" s="2585"/>
      <c r="D42" s="2586"/>
      <c r="E42" s="2586"/>
      <c r="F42" s="2587"/>
      <c r="G42" s="2588"/>
      <c r="H42" s="2588"/>
      <c r="I42" s="2588"/>
    </row>
    <row r="43" spans="2:9" ht="16.5" customHeight="1" x14ac:dyDescent="0.2">
      <c r="B43" s="1200"/>
      <c r="C43" s="2578" t="s">
        <v>1576</v>
      </c>
      <c r="D43" s="2579"/>
      <c r="E43" s="2579"/>
      <c r="F43" s="2580"/>
      <c r="G43" s="2581">
        <f>SUM(G38:I42)</f>
        <v>0</v>
      </c>
      <c r="H43" s="2581"/>
      <c r="I43" s="2581"/>
    </row>
    <row r="44" spans="2:9" ht="12.75" customHeight="1" x14ac:dyDescent="0.2"/>
    <row r="45" spans="2:9" ht="12.75" customHeight="1" x14ac:dyDescent="0.2">
      <c r="B45" s="1918" t="str">
        <f>"Total Federal Expenditures for 7/1/"&amp;MID('AFR20'!E2,3,2)-1&amp;"-6/30/"&amp;MID('AFR20'!E2,3,2)</f>
        <v>Total Federal Expenditures for 7/1/19-6/30/20</v>
      </c>
      <c r="C45" s="1919"/>
      <c r="D45" s="2582">
        <v>0</v>
      </c>
      <c r="E45" s="2583"/>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4"/>
      <c r="F49" s="2584"/>
      <c r="G49" s="2584"/>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9" t="str">
        <f>'Single Audit Cover'!A7</f>
        <v xml:space="preserve">  Hope Wall Joint Agreement</v>
      </c>
      <c r="C1" s="2589"/>
      <c r="D1" s="2589"/>
      <c r="E1" s="2589"/>
      <c r="F1" s="2589"/>
      <c r="G1" s="2589"/>
      <c r="H1" s="2589"/>
      <c r="I1" s="2589"/>
      <c r="J1" s="2589"/>
      <c r="K1" s="2589"/>
      <c r="L1" s="1144"/>
      <c r="M1" s="1144"/>
    </row>
    <row r="2" spans="1:13" ht="12" customHeight="1" x14ac:dyDescent="0.2">
      <c r="B2" s="2591">
        <f>'Single Audit Cover'!E7</f>
        <v>31045129061</v>
      </c>
      <c r="C2" s="2591"/>
      <c r="D2" s="2591"/>
      <c r="E2" s="2591"/>
      <c r="F2" s="2591"/>
      <c r="G2" s="2591"/>
      <c r="H2" s="2591"/>
      <c r="I2" s="2591"/>
      <c r="J2" s="2591"/>
      <c r="K2" s="2591"/>
      <c r="L2" s="1145"/>
      <c r="M2" s="1146"/>
    </row>
    <row r="3" spans="1:13" ht="10.35" customHeight="1" x14ac:dyDescent="0.2">
      <c r="B3" s="2605" t="s">
        <v>1274</v>
      </c>
      <c r="C3" s="2605"/>
      <c r="D3" s="2605"/>
      <c r="E3" s="2605"/>
      <c r="F3" s="2605"/>
      <c r="G3" s="2605"/>
      <c r="H3" s="2605"/>
      <c r="I3" s="2605"/>
      <c r="J3" s="2605"/>
      <c r="K3" s="2605"/>
      <c r="L3" s="1147"/>
      <c r="M3" s="1147"/>
    </row>
    <row r="4" spans="1:13" ht="14.25" customHeight="1" x14ac:dyDescent="0.2">
      <c r="B4" s="2606" t="str">
        <f>'Single Audit Cover'!A4</f>
        <v>Year Ending June 30, 2020</v>
      </c>
      <c r="C4" s="2606"/>
      <c r="D4" s="2606"/>
      <c r="E4" s="2606"/>
      <c r="F4" s="2606"/>
      <c r="G4" s="2606"/>
      <c r="H4" s="2606"/>
      <c r="I4" s="2606"/>
      <c r="J4" s="2606"/>
      <c r="K4" s="2606"/>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6" t="s">
        <v>1285</v>
      </c>
      <c r="C7" s="2606"/>
      <c r="D7" s="2607"/>
      <c r="E7" s="2607"/>
      <c r="F7" s="2607"/>
      <c r="G7" s="2607"/>
      <c r="H7" s="2607"/>
      <c r="I7" s="2607"/>
      <c r="J7" s="2607"/>
      <c r="K7" s="2607"/>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4"/>
      <c r="C14" s="2604"/>
      <c r="D14" s="2604"/>
      <c r="E14" s="2604"/>
      <c r="F14" s="2604"/>
      <c r="G14" s="2604"/>
      <c r="H14" s="2604"/>
      <c r="I14" s="2604"/>
      <c r="J14" s="2604"/>
      <c r="K14" s="2604"/>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4"/>
      <c r="C17" s="2604"/>
      <c r="D17" s="2604"/>
      <c r="E17" s="2604"/>
      <c r="F17" s="2604"/>
      <c r="G17" s="2604"/>
      <c r="H17" s="2604"/>
      <c r="I17" s="2604"/>
      <c r="J17" s="2604"/>
      <c r="K17" s="2604"/>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08"/>
      <c r="C20" s="2608"/>
      <c r="D20" s="2604"/>
      <c r="E20" s="2604"/>
      <c r="F20" s="2604"/>
      <c r="G20" s="2604"/>
      <c r="H20" s="2604"/>
      <c r="I20" s="2604"/>
      <c r="J20" s="2604"/>
      <c r="K20" s="2604"/>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4"/>
      <c r="C23" s="2604"/>
      <c r="D23" s="2604"/>
      <c r="E23" s="2604"/>
      <c r="F23" s="2604"/>
      <c r="G23" s="2604"/>
      <c r="H23" s="2604"/>
      <c r="I23" s="2604"/>
      <c r="J23" s="2604"/>
      <c r="K23" s="2604"/>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4"/>
      <c r="C26" s="2604"/>
      <c r="D26" s="2604"/>
      <c r="E26" s="2604"/>
      <c r="F26" s="2604"/>
      <c r="G26" s="2604"/>
      <c r="H26" s="2604"/>
      <c r="I26" s="2604"/>
      <c r="J26" s="2604"/>
      <c r="K26" s="2604"/>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3"/>
      <c r="C29" s="2603"/>
      <c r="D29" s="2604"/>
      <c r="E29" s="2604"/>
      <c r="F29" s="2604"/>
      <c r="G29" s="2604"/>
      <c r="H29" s="2604"/>
      <c r="I29" s="2604"/>
      <c r="J29" s="2604"/>
      <c r="K29" s="2604"/>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3"/>
      <c r="C32" s="2603"/>
      <c r="D32" s="2604"/>
      <c r="E32" s="2604"/>
      <c r="F32" s="2604"/>
      <c r="G32" s="2604"/>
      <c r="H32" s="2604"/>
      <c r="I32" s="2604"/>
      <c r="J32" s="2604"/>
      <c r="K32" s="2604"/>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2" t="str">
        <f>'Single Audit Cover'!A7</f>
        <v xml:space="preserve">  Hope Wall Joint Agreement</v>
      </c>
      <c r="C1" s="2612"/>
      <c r="D1" s="2612"/>
      <c r="E1" s="2612"/>
      <c r="F1" s="2612"/>
      <c r="G1" s="2612"/>
      <c r="H1" s="2612"/>
      <c r="I1" s="2612"/>
      <c r="J1" s="2612"/>
      <c r="K1" s="2612"/>
      <c r="L1" s="1221"/>
    </row>
    <row r="2" spans="1:12" ht="12.75" customHeight="1" x14ac:dyDescent="0.2">
      <c r="B2" s="2613">
        <f>'Single Audit Cover'!E7</f>
        <v>31045129061</v>
      </c>
      <c r="C2" s="2613"/>
      <c r="D2" s="2613"/>
      <c r="E2" s="2613"/>
      <c r="F2" s="2613"/>
      <c r="G2" s="2613"/>
      <c r="H2" s="2613"/>
      <c r="I2" s="2613"/>
      <c r="J2" s="2613"/>
      <c r="K2" s="2613"/>
      <c r="L2" s="1222"/>
    </row>
    <row r="3" spans="1:12" ht="12.75" customHeight="1" x14ac:dyDescent="0.2">
      <c r="B3" s="2605" t="s">
        <v>1274</v>
      </c>
      <c r="C3" s="2605"/>
      <c r="D3" s="2605"/>
      <c r="E3" s="2605"/>
      <c r="F3" s="2605"/>
      <c r="G3" s="2605"/>
      <c r="H3" s="2605"/>
      <c r="I3" s="2605"/>
      <c r="J3" s="2605"/>
      <c r="K3" s="2605"/>
      <c r="L3" s="1147"/>
    </row>
    <row r="4" spans="1:12" ht="12.75" customHeight="1" x14ac:dyDescent="0.2">
      <c r="B4" s="2605" t="str">
        <f>'Single Audit Cover'!A4</f>
        <v>Year Ending June 30, 2020</v>
      </c>
      <c r="C4" s="2605"/>
      <c r="D4" s="2605"/>
      <c r="E4" s="2605"/>
      <c r="F4" s="2605"/>
      <c r="G4" s="2605"/>
      <c r="H4" s="2605"/>
      <c r="I4" s="2605"/>
      <c r="J4" s="2605"/>
      <c r="K4" s="2605"/>
      <c r="L4" s="1147"/>
    </row>
    <row r="5" spans="1:12" ht="5.25" customHeight="1" x14ac:dyDescent="0.2">
      <c r="B5" s="1036" t="s">
        <v>1159</v>
      </c>
      <c r="C5" s="1036"/>
      <c r="L5" s="300"/>
    </row>
    <row r="6" spans="1:12" ht="30.75" customHeight="1" x14ac:dyDescent="0.2">
      <c r="A6" s="300"/>
      <c r="B6" s="2614" t="s">
        <v>1297</v>
      </c>
      <c r="C6" s="2614"/>
      <c r="D6" s="2614"/>
      <c r="E6" s="2614"/>
      <c r="F6" s="2614"/>
      <c r="G6" s="2614"/>
      <c r="H6" s="2614"/>
      <c r="I6" s="2614"/>
      <c r="J6" s="2614"/>
      <c r="K6" s="2614"/>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6"/>
      <c r="G12" s="2596"/>
      <c r="H12" s="2596"/>
      <c r="I12" s="2596"/>
      <c r="J12" s="2596"/>
      <c r="K12" s="259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09"/>
      <c r="E14" s="2609"/>
      <c r="F14" s="2609"/>
      <c r="H14" s="1230" t="s">
        <v>1292</v>
      </c>
      <c r="I14" s="2610"/>
      <c r="J14" s="2610"/>
      <c r="K14" s="261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0"/>
      <c r="E16" s="2610"/>
      <c r="F16" s="2610"/>
      <c r="G16" s="2610"/>
      <c r="H16" s="2610"/>
      <c r="I16" s="2610"/>
      <c r="J16" s="2610"/>
      <c r="K16" s="2610"/>
      <c r="L16" s="300"/>
    </row>
    <row r="17" spans="2:12" ht="13.5" customHeight="1" x14ac:dyDescent="0.2">
      <c r="B17" s="1156" t="s">
        <v>1290</v>
      </c>
      <c r="C17" s="1156"/>
      <c r="D17" s="2611"/>
      <c r="E17" s="2611"/>
      <c r="F17" s="2611"/>
      <c r="G17" s="2611"/>
      <c r="H17" s="2611"/>
      <c r="I17" s="2611"/>
      <c r="J17" s="2611"/>
      <c r="K17" s="261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4"/>
      <c r="C20" s="2604"/>
      <c r="D20" s="2604"/>
      <c r="E20" s="2604"/>
      <c r="F20" s="2604"/>
      <c r="G20" s="2604"/>
      <c r="H20" s="2604"/>
      <c r="I20" s="2604"/>
      <c r="J20" s="2604"/>
      <c r="K20" s="2604"/>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4"/>
      <c r="C23" s="2604"/>
      <c r="D23" s="2604"/>
      <c r="E23" s="2604"/>
      <c r="F23" s="2604"/>
      <c r="G23" s="2604"/>
      <c r="H23" s="2604"/>
      <c r="I23" s="2604"/>
      <c r="J23" s="2604"/>
      <c r="K23" s="2604"/>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4"/>
      <c r="C26" s="2604"/>
      <c r="D26" s="2604"/>
      <c r="E26" s="2604"/>
      <c r="F26" s="2604"/>
      <c r="G26" s="2604"/>
      <c r="H26" s="2604"/>
      <c r="I26" s="2604"/>
      <c r="J26" s="2604"/>
      <c r="K26" s="2604"/>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4"/>
      <c r="C29" s="2604"/>
      <c r="D29" s="2604"/>
      <c r="E29" s="2604"/>
      <c r="F29" s="2604"/>
      <c r="G29" s="2604"/>
      <c r="H29" s="2604"/>
      <c r="I29" s="2604"/>
      <c r="J29" s="2604"/>
      <c r="K29" s="2604"/>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4"/>
      <c r="C32" s="2604"/>
      <c r="D32" s="2604"/>
      <c r="E32" s="2604"/>
      <c r="F32" s="2604"/>
      <c r="G32" s="2604"/>
      <c r="H32" s="2604"/>
      <c r="I32" s="2604"/>
      <c r="J32" s="2604"/>
      <c r="K32" s="2604"/>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4"/>
      <c r="C35" s="2604"/>
      <c r="D35" s="2604"/>
      <c r="E35" s="2604"/>
      <c r="F35" s="2604"/>
      <c r="G35" s="2604"/>
      <c r="H35" s="2604"/>
      <c r="I35" s="2604"/>
      <c r="J35" s="2604"/>
      <c r="K35" s="2604"/>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4"/>
      <c r="C38" s="2604"/>
      <c r="D38" s="2604"/>
      <c r="E38" s="2604"/>
      <c r="F38" s="2604"/>
      <c r="G38" s="2604"/>
      <c r="H38" s="2604"/>
      <c r="I38" s="2604"/>
      <c r="J38" s="2604"/>
      <c r="K38" s="2604"/>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4"/>
      <c r="C41" s="2604"/>
      <c r="D41" s="2604"/>
      <c r="E41" s="2604"/>
      <c r="F41" s="2604"/>
      <c r="G41" s="2604"/>
      <c r="H41" s="2604"/>
      <c r="I41" s="2604"/>
      <c r="J41" s="2604"/>
      <c r="K41" s="2604"/>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9" t="str">
        <f>'Single Audit Cover'!A7</f>
        <v xml:space="preserve">  Hope Wall Joint Agreement</v>
      </c>
      <c r="C1" s="2589"/>
      <c r="D1" s="2589"/>
      <c r="E1" s="1240"/>
    </row>
    <row r="2" spans="2:5" s="1058" customFormat="1" ht="12.75" customHeight="1" x14ac:dyDescent="0.2">
      <c r="B2" s="2591">
        <f>'Single Audit Cover'!E7</f>
        <v>31045129061</v>
      </c>
      <c r="C2" s="2591"/>
      <c r="D2" s="2591"/>
      <c r="E2" s="1241"/>
    </row>
    <row r="3" spans="2:5" ht="12.75" customHeight="1" x14ac:dyDescent="0.2">
      <c r="B3" s="2605" t="s">
        <v>1743</v>
      </c>
      <c r="C3" s="2605"/>
      <c r="D3" s="2605"/>
      <c r="E3" s="1050"/>
    </row>
    <row r="4" spans="2:5" s="1058" customFormat="1" ht="12.75" customHeight="1" x14ac:dyDescent="0.2">
      <c r="B4" s="2615" t="str">
        <f>'Single Audit Cover'!A4</f>
        <v>Year Ending June 30, 2020</v>
      </c>
      <c r="C4" s="2615"/>
      <c r="D4" s="2615"/>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5" colorId="8" zoomScale="110" zoomScaleNormal="110" workbookViewId="0">
      <selection activeCell="L21" sqref="L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5" t="s">
        <v>383</v>
      </c>
      <c r="B1" s="2185"/>
      <c r="C1" s="2185"/>
      <c r="D1" s="2185"/>
      <c r="E1" s="2185"/>
      <c r="F1" s="2185"/>
      <c r="G1" s="2185"/>
      <c r="H1" s="2185"/>
      <c r="I1" s="2185"/>
      <c r="J1" s="2185"/>
      <c r="K1" s="2185"/>
      <c r="L1" s="2185"/>
      <c r="M1" s="2185"/>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195" t="str">
        <f>IF(SUM(J10)&lt;=0.0999999,"","Enter the Tax Rates by moving the decimal two places to the left.")</f>
        <v/>
      </c>
      <c r="E11" s="2196"/>
      <c r="F11" s="2196"/>
      <c r="G11" s="2196"/>
      <c r="H11" s="2196"/>
      <c r="I11" s="2196"/>
      <c r="J11" s="219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7187149</v>
      </c>
      <c r="E16" s="1547"/>
      <c r="F16" s="1546">
        <f>SUM('Acct Summary 7-8'!C17,'Acct Summary 7-8'!D17,'Acct Summary 7-8'!F17)</f>
        <v>7038651</v>
      </c>
      <c r="G16" s="1547"/>
      <c r="H16" s="1546">
        <f>SUM(D16-F16)</f>
        <v>148498</v>
      </c>
      <c r="I16" s="1548"/>
      <c r="J16" s="1546">
        <f>SUM('Acct Summary 7-8'!C81,'Acct Summary 7-8'!D81,'Acct Summary 7-8'!F81,'Acct Summary 7-8'!I81)</f>
        <v>-15598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6"/>
      <c r="C54" s="2187"/>
      <c r="D54" s="2187"/>
      <c r="E54" s="2187"/>
      <c r="F54" s="2187"/>
      <c r="G54" s="2187"/>
      <c r="H54" s="2187"/>
      <c r="I54" s="2187"/>
      <c r="J54" s="2187"/>
      <c r="K54" s="2187"/>
      <c r="L54" s="2188"/>
      <c r="M54" s="357"/>
    </row>
    <row r="55" spans="1:13" ht="12.75" customHeight="1" x14ac:dyDescent="0.2">
      <c r="B55" s="2189"/>
      <c r="C55" s="2190"/>
      <c r="D55" s="2190"/>
      <c r="E55" s="2190"/>
      <c r="F55" s="2190"/>
      <c r="G55" s="2190"/>
      <c r="H55" s="2190"/>
      <c r="I55" s="2190"/>
      <c r="J55" s="2190"/>
      <c r="K55" s="2190"/>
      <c r="L55" s="2191"/>
      <c r="M55" s="357"/>
    </row>
    <row r="56" spans="1:13" ht="12.75" customHeight="1" x14ac:dyDescent="0.2">
      <c r="B56" s="2189"/>
      <c r="C56" s="2190"/>
      <c r="D56" s="2190"/>
      <c r="E56" s="2190"/>
      <c r="F56" s="2190"/>
      <c r="G56" s="2190"/>
      <c r="H56" s="2190"/>
      <c r="I56" s="2190"/>
      <c r="J56" s="2190"/>
      <c r="K56" s="2190"/>
      <c r="L56" s="2191"/>
      <c r="M56" s="217"/>
    </row>
    <row r="57" spans="1:13" ht="12.75" customHeight="1" x14ac:dyDescent="0.2">
      <c r="B57" s="2189"/>
      <c r="C57" s="2190"/>
      <c r="D57" s="2190"/>
      <c r="E57" s="2190"/>
      <c r="F57" s="2190"/>
      <c r="G57" s="2190"/>
      <c r="H57" s="2190"/>
      <c r="I57" s="2190"/>
      <c r="J57" s="2190"/>
      <c r="K57" s="2190"/>
      <c r="L57" s="2191"/>
      <c r="M57" s="217"/>
    </row>
    <row r="58" spans="1:13" x14ac:dyDescent="0.2">
      <c r="B58" s="2192"/>
      <c r="C58" s="2193"/>
      <c r="D58" s="2193"/>
      <c r="E58" s="2193"/>
      <c r="F58" s="2193"/>
      <c r="G58" s="2193"/>
      <c r="H58" s="2193"/>
      <c r="I58" s="2193"/>
      <c r="J58" s="2193"/>
      <c r="K58" s="2193"/>
      <c r="L58" s="219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7"/>
      <c r="D61" s="219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0"/>
      <c r="B1" s="2201"/>
      <c r="C1" s="2201"/>
      <c r="D1" s="361"/>
      <c r="E1" s="361"/>
      <c r="F1" s="361"/>
      <c r="G1" s="361"/>
      <c r="H1" s="361"/>
      <c r="I1" s="361"/>
      <c r="J1" s="361"/>
      <c r="K1" s="361"/>
      <c r="L1" s="361"/>
      <c r="M1" s="361"/>
      <c r="N1" s="361"/>
      <c r="O1" s="2200"/>
      <c r="P1" s="2201"/>
      <c r="Q1" s="2201"/>
    </row>
    <row r="2" spans="1:18" ht="15" x14ac:dyDescent="0.2">
      <c r="A2" s="2204" t="s">
        <v>552</v>
      </c>
      <c r="B2" s="2204"/>
      <c r="C2" s="2204"/>
      <c r="D2" s="2204"/>
      <c r="E2" s="2204"/>
      <c r="F2" s="2204"/>
      <c r="G2" s="2204"/>
      <c r="H2" s="2204"/>
      <c r="I2" s="2204"/>
      <c r="J2" s="2204"/>
      <c r="K2" s="2204"/>
      <c r="L2" s="2204"/>
      <c r="M2" s="2204"/>
      <c r="N2" s="2204"/>
      <c r="O2" s="2204"/>
      <c r="P2" s="2204"/>
      <c r="Q2" s="2204"/>
      <c r="R2" s="2204"/>
    </row>
    <row r="3" spans="1:18" ht="12.75" x14ac:dyDescent="0.2">
      <c r="A3" s="2205" t="s">
        <v>1396</v>
      </c>
      <c r="B3" s="2205"/>
      <c r="C3" s="2205"/>
      <c r="D3" s="2205"/>
      <c r="E3" s="2205"/>
      <c r="F3" s="2205"/>
      <c r="G3" s="2205"/>
      <c r="H3" s="2205"/>
      <c r="I3" s="2205"/>
      <c r="J3" s="2205"/>
      <c r="K3" s="2205"/>
      <c r="L3" s="2205"/>
      <c r="M3" s="2205"/>
      <c r="N3" s="2205"/>
      <c r="O3" s="2205"/>
      <c r="P3" s="2205"/>
      <c r="Q3" s="2205"/>
      <c r="R3" s="2205"/>
    </row>
    <row r="4" spans="1:18" x14ac:dyDescent="0.2">
      <c r="A4" s="2206" t="s">
        <v>1537</v>
      </c>
      <c r="B4" s="2206"/>
      <c r="C4" s="2206"/>
      <c r="D4" s="2206"/>
      <c r="E4" s="2206"/>
      <c r="F4" s="2206"/>
      <c r="G4" s="2206"/>
      <c r="H4" s="2206"/>
      <c r="I4" s="2206"/>
      <c r="J4" s="2206"/>
      <c r="K4" s="2206"/>
      <c r="L4" s="2206"/>
      <c r="M4" s="2206"/>
      <c r="N4" s="2206"/>
      <c r="O4" s="2206"/>
      <c r="P4" s="2206"/>
      <c r="Q4" s="2206"/>
      <c r="R4" s="220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Hope Wall Joint Agreement</v>
      </c>
      <c r="E7" s="368"/>
      <c r="G7" s="247"/>
      <c r="H7" s="364"/>
      <c r="I7" s="364"/>
      <c r="J7" s="364"/>
      <c r="K7" s="364"/>
      <c r="L7" s="307"/>
      <c r="M7" s="307"/>
      <c r="N7" s="307"/>
      <c r="O7" s="307"/>
      <c r="P7" s="307"/>
    </row>
    <row r="8" spans="1:18" ht="12.75" x14ac:dyDescent="0.2">
      <c r="A8" s="307"/>
      <c r="B8" s="307"/>
      <c r="C8" s="366" t="s">
        <v>1115</v>
      </c>
      <c r="D8" s="369">
        <f>COVER!A13</f>
        <v>31045129061</v>
      </c>
      <c r="E8" s="370"/>
      <c r="G8" s="307"/>
      <c r="H8" s="307"/>
      <c r="I8" s="307"/>
      <c r="J8" s="307"/>
      <c r="K8" s="307"/>
      <c r="L8" s="307"/>
      <c r="M8" s="307"/>
      <c r="N8" s="307"/>
      <c r="O8" s="307"/>
      <c r="P8" s="307"/>
    </row>
    <row r="9" spans="1:18" ht="12.75" x14ac:dyDescent="0.2">
      <c r="A9" s="307"/>
      <c r="B9" s="307"/>
      <c r="C9" s="366" t="s">
        <v>708</v>
      </c>
      <c r="D9" s="371" t="str">
        <f>COVER!A15</f>
        <v>Kane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f>IF(K12&gt;0.24999,"4",IF(K12&gt;0.09999,"3",IF(K12&gt;=0,"2",1)))</f>
        <v>1</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-15598</v>
      </c>
      <c r="I12" s="380"/>
      <c r="J12" s="380"/>
      <c r="K12" s="1559">
        <f>TRUNC((H12/H13*100000),5)/100000</f>
        <v>-2.1702625000000002E-3</v>
      </c>
      <c r="L12" s="381"/>
      <c r="M12" s="337" t="s">
        <v>1134</v>
      </c>
      <c r="N12" s="337"/>
      <c r="O12" s="1562">
        <v>0.35</v>
      </c>
      <c r="P12" s="213"/>
      <c r="Q12" s="213"/>
    </row>
    <row r="13" spans="1:18" s="382" customFormat="1" ht="12.75" x14ac:dyDescent="0.2">
      <c r="A13" s="213"/>
      <c r="B13" s="377"/>
      <c r="C13" s="2202" t="s">
        <v>1313</v>
      </c>
      <c r="D13" s="2203"/>
      <c r="E13" s="213"/>
      <c r="F13" s="383" t="s">
        <v>788</v>
      </c>
      <c r="G13" s="378"/>
      <c r="H13" s="1551">
        <f>SUM('Acct Summary 7-8'!C8+'Acct Summary 7-8'!D8+'Acct Summary 7-8'!F8+'Acct Summary 7-8'!I8)+H14</f>
        <v>7187149</v>
      </c>
      <c r="I13" s="380"/>
      <c r="J13" s="380"/>
      <c r="K13" s="1558"/>
      <c r="L13" s="213"/>
      <c r="M13" s="337" t="s">
        <v>1135</v>
      </c>
      <c r="N13" s="337"/>
      <c r="O13" s="1563">
        <f>(O11*O12)</f>
        <v>0.35</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7038651</v>
      </c>
      <c r="I17" s="380"/>
      <c r="J17" s="389"/>
      <c r="K17" s="1559">
        <f>TRUNC((H17/H18*100000),5)/100000</f>
        <v>0.97933839960000002</v>
      </c>
      <c r="L17" s="381"/>
      <c r="M17" s="390" t="s">
        <v>1161</v>
      </c>
      <c r="O17" s="1565" t="str">
        <f>IF(AND(O16="2", J20 &gt; 2),"1",IF(AND(O16 = "1", J20 &gt; 2),"2",IF(AND(O16="1", J20 &gt;1),"1","0")))</f>
        <v>0</v>
      </c>
      <c r="P17" s="213"/>
    </row>
    <row r="18" spans="1:18" s="382" customFormat="1" ht="11.25" x14ac:dyDescent="0.2">
      <c r="A18" s="213"/>
      <c r="B18" s="377"/>
      <c r="C18" s="2202" t="s">
        <v>1306</v>
      </c>
      <c r="D18" s="2203"/>
      <c r="E18" s="213"/>
      <c r="F18" s="391" t="s">
        <v>789</v>
      </c>
      <c r="G18" s="378"/>
      <c r="H18" s="1551">
        <f>SUM('Acct Summary 7-8'!C8+'Acct Summary 7-8'!D8+'Acct Summary 7-8'!F8+'Acct Summary 7-8'!I8)+H19</f>
        <v>7187149</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199" t="s">
        <v>1395</v>
      </c>
      <c r="D24" s="2199"/>
      <c r="E24" s="213"/>
      <c r="F24" s="213" t="s">
        <v>442</v>
      </c>
      <c r="G24" s="378"/>
      <c r="H24" s="1551">
        <f>SUM('Assets-Liab 5-6'!C4+'Assets-Liab 5-6'!D4+'Assets-Liab 5-6'!F4+'Assets-Liab 5-6'!I4+'Assets-Liab 5-6'!C5+'Assets-Liab 5-6'!D5+'Assets-Liab 5-6'!F5+'Assets-Liab 5-6'!I5)</f>
        <v>4403248</v>
      </c>
      <c r="I24" s="394"/>
      <c r="J24" s="394"/>
      <c r="K24" s="1555">
        <f>TRUNC(((H24/H25*100000)/100000),2)</f>
        <v>225.2</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19551.80833</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24" activePane="bottomLeft" state="frozen"/>
      <selection pane="bottomLeft" activeCell="G40" sqref="G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7"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8"/>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9" t="s">
        <v>967</v>
      </c>
      <c r="B3" s="2210"/>
      <c r="C3" s="1306"/>
      <c r="D3" s="1307"/>
      <c r="E3" s="1307"/>
      <c r="F3" s="1307"/>
      <c r="G3" s="1307"/>
      <c r="H3" s="1307"/>
      <c r="I3" s="1307"/>
      <c r="J3" s="1307"/>
      <c r="K3" s="1307"/>
      <c r="L3" s="1307"/>
      <c r="M3" s="1308"/>
      <c r="N3" s="1309"/>
    </row>
    <row r="4" spans="1:14" ht="13.5" customHeight="1" x14ac:dyDescent="0.2">
      <c r="A4" s="427" t="s">
        <v>1632</v>
      </c>
      <c r="B4" s="428"/>
      <c r="C4" s="1572">
        <v>2020898</v>
      </c>
      <c r="D4" s="1573"/>
      <c r="E4" s="1573"/>
      <c r="F4" s="1573"/>
      <c r="G4" s="1573"/>
      <c r="H4" s="1573"/>
      <c r="I4" s="1573"/>
      <c r="J4" s="1574"/>
      <c r="K4" s="1573"/>
      <c r="L4" s="1573"/>
      <c r="M4" s="1575"/>
      <c r="N4" s="1576"/>
    </row>
    <row r="5" spans="1:14" x14ac:dyDescent="0.2">
      <c r="A5" s="427" t="s">
        <v>985</v>
      </c>
      <c r="B5" s="429">
        <v>120</v>
      </c>
      <c r="C5" s="1572">
        <v>1401040</v>
      </c>
      <c r="D5" s="1573">
        <v>981310</v>
      </c>
      <c r="E5" s="1573"/>
      <c r="F5" s="1573"/>
      <c r="G5" s="1573">
        <v>49458</v>
      </c>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v>1237142</v>
      </c>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4659080</v>
      </c>
      <c r="D13" s="1587">
        <f t="shared" ref="D13:L13" si="0">SUM(D4:D12)</f>
        <v>981310</v>
      </c>
      <c r="E13" s="1587">
        <f t="shared" si="0"/>
        <v>0</v>
      </c>
      <c r="F13" s="1587">
        <f t="shared" si="0"/>
        <v>0</v>
      </c>
      <c r="G13" s="1587">
        <f t="shared" si="0"/>
        <v>49458</v>
      </c>
      <c r="H13" s="1587">
        <f t="shared" si="0"/>
        <v>0</v>
      </c>
      <c r="I13" s="1587">
        <f t="shared" si="0"/>
        <v>0</v>
      </c>
      <c r="J13" s="1587">
        <f t="shared" si="0"/>
        <v>0</v>
      </c>
      <c r="K13" s="1587">
        <f t="shared" si="0"/>
        <v>0</v>
      </c>
      <c r="L13" s="1587">
        <f t="shared" si="0"/>
        <v>0</v>
      </c>
      <c r="M13" s="1575"/>
      <c r="N13" s="1576"/>
    </row>
    <row r="14" spans="1:14" ht="18" customHeight="1" thickTop="1" x14ac:dyDescent="0.2">
      <c r="A14" s="2211" t="s">
        <v>146</v>
      </c>
      <c r="B14" s="2212"/>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0</v>
      </c>
      <c r="N23" s="1594">
        <f>SUM(N21:N22)</f>
        <v>0</v>
      </c>
    </row>
    <row r="24" spans="1:14" ht="18" customHeight="1" thickTop="1" x14ac:dyDescent="0.2">
      <c r="A24" s="2213" t="s">
        <v>594</v>
      </c>
      <c r="B24" s="2214"/>
      <c r="C24" s="1595"/>
      <c r="D24" s="1590"/>
      <c r="E24" s="1590"/>
      <c r="F24" s="1590"/>
      <c r="G24" s="1590"/>
      <c r="H24" s="1590"/>
      <c r="I24" s="1590"/>
      <c r="J24" s="1590"/>
      <c r="K24" s="1590"/>
      <c r="L24" s="1590"/>
      <c r="M24" s="1589"/>
      <c r="N24" s="1596"/>
    </row>
    <row r="25" spans="1:14" x14ac:dyDescent="0.2">
      <c r="A25" s="430" t="s">
        <v>640</v>
      </c>
      <c r="B25" s="429">
        <v>410</v>
      </c>
      <c r="C25" s="1583"/>
      <c r="D25" s="1583">
        <v>1237142</v>
      </c>
      <c r="E25" s="1583"/>
      <c r="F25" s="1583"/>
      <c r="G25" s="1583"/>
      <c r="H25" s="1584"/>
      <c r="I25" s="1575"/>
      <c r="J25" s="1583"/>
      <c r="K25" s="1583"/>
      <c r="L25" s="1575"/>
      <c r="M25" s="1575"/>
      <c r="N25" s="1575"/>
    </row>
    <row r="26" spans="1:14" x14ac:dyDescent="0.2">
      <c r="A26" s="430" t="s">
        <v>641</v>
      </c>
      <c r="B26" s="429">
        <v>420</v>
      </c>
      <c r="C26" s="1574">
        <v>233299</v>
      </c>
      <c r="D26" s="1574">
        <v>217784</v>
      </c>
      <c r="E26" s="1574"/>
      <c r="F26" s="1574"/>
      <c r="G26" s="1574"/>
      <c r="H26" s="1574"/>
      <c r="I26" s="1574"/>
      <c r="J26" s="1579"/>
      <c r="K26" s="1574"/>
      <c r="L26" s="1575"/>
      <c r="M26" s="1575"/>
      <c r="N26" s="1575"/>
    </row>
    <row r="27" spans="1:14" ht="13.5" customHeight="1" x14ac:dyDescent="0.2">
      <c r="A27" s="430" t="s">
        <v>642</v>
      </c>
      <c r="B27" s="429">
        <v>430</v>
      </c>
      <c r="C27" s="1574">
        <v>3105800</v>
      </c>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578748</v>
      </c>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v>283215</v>
      </c>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4201062</v>
      </c>
      <c r="D34" s="1600">
        <f t="shared" ref="D34:K34" si="1">SUM(D25:D33)</f>
        <v>1454926</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15" t="s">
        <v>526</v>
      </c>
      <c r="B35" s="2216"/>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458018</v>
      </c>
      <c r="D39" s="1573">
        <v>-473616</v>
      </c>
      <c r="E39" s="1573"/>
      <c r="F39" s="1573"/>
      <c r="G39" s="1573">
        <v>49458</v>
      </c>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c r="N40" s="1604"/>
    </row>
    <row r="41" spans="1:14" ht="13.5" customHeight="1" thickBot="1" x14ac:dyDescent="0.25">
      <c r="A41" s="1426" t="s">
        <v>650</v>
      </c>
      <c r="B41" s="1405"/>
      <c r="C41" s="1594">
        <f>(SUM(C34,C37,C38,C39))</f>
        <v>4659080</v>
      </c>
      <c r="D41" s="1594">
        <f t="shared" ref="D41:L41" si="2">SUM(D34,D37,D38:D39)</f>
        <v>981310</v>
      </c>
      <c r="E41" s="1594">
        <f t="shared" si="2"/>
        <v>0</v>
      </c>
      <c r="F41" s="1594">
        <f t="shared" si="2"/>
        <v>0</v>
      </c>
      <c r="G41" s="1594">
        <f t="shared" si="2"/>
        <v>49458</v>
      </c>
      <c r="H41" s="1594">
        <f t="shared" si="2"/>
        <v>0</v>
      </c>
      <c r="I41" s="1594">
        <f t="shared" si="2"/>
        <v>0</v>
      </c>
      <c r="J41" s="1594">
        <f t="shared" si="2"/>
        <v>0</v>
      </c>
      <c r="K41" s="1594">
        <f t="shared" si="2"/>
        <v>0</v>
      </c>
      <c r="L41" s="1594">
        <f t="shared" si="2"/>
        <v>0</v>
      </c>
      <c r="M41" s="1594">
        <f>SUM(M40)</f>
        <v>0</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
      <selection pane="bottomLeft" activeCell="D18" sqref="D1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5"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6"/>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37" t="s">
        <v>1165</v>
      </c>
      <c r="B3" s="2238"/>
      <c r="C3" s="1311"/>
      <c r="D3" s="1312"/>
      <c r="E3" s="1312"/>
      <c r="F3" s="1312"/>
      <c r="G3" s="1312"/>
      <c r="H3" s="1312"/>
      <c r="I3" s="1312"/>
      <c r="J3" s="1312"/>
      <c r="K3" s="1313"/>
      <c r="L3" s="446"/>
    </row>
    <row r="4" spans="1:13" ht="15.75" customHeight="1" x14ac:dyDescent="0.2">
      <c r="A4" s="1537" t="s">
        <v>1482</v>
      </c>
      <c r="B4" s="1538">
        <v>1000</v>
      </c>
      <c r="C4" s="1606">
        <f>'Revenues 9-14'!C109</f>
        <v>6044845</v>
      </c>
      <c r="D4" s="1606">
        <f>'Revenues 9-14'!D109</f>
        <v>1000000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0</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142304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6187149</v>
      </c>
      <c r="D8" s="1594">
        <f t="shared" ref="D8:K8" si="0">SUM(D4:D7)</f>
        <v>1000000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c r="D9" s="1613"/>
      <c r="E9" s="1586"/>
      <c r="F9" s="1586"/>
      <c r="G9" s="1614"/>
      <c r="H9" s="1586"/>
      <c r="I9" s="1609" t="s">
        <v>1159</v>
      </c>
      <c r="J9" s="1583"/>
      <c r="K9" s="1586"/>
      <c r="L9" s="325"/>
    </row>
    <row r="10" spans="1:13" s="452" customFormat="1" ht="13.5" thickBot="1" x14ac:dyDescent="0.25">
      <c r="A10" s="1426" t="s">
        <v>1163</v>
      </c>
      <c r="B10" s="1407"/>
      <c r="C10" s="1594">
        <f>SUM(C8:C9)</f>
        <v>6187149</v>
      </c>
      <c r="D10" s="1594">
        <f t="shared" ref="D10:K10" si="1">SUM(D8:D9)</f>
        <v>1000000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1" t="s">
        <v>1166</v>
      </c>
      <c r="B11" s="2212"/>
      <c r="C11" s="1602"/>
      <c r="D11" s="1603"/>
      <c r="E11" s="1603"/>
      <c r="F11" s="1603"/>
      <c r="G11" s="1603"/>
      <c r="H11" s="1603"/>
      <c r="I11" s="1603"/>
      <c r="J11" s="1603"/>
      <c r="K11" s="1615"/>
      <c r="L11" s="451"/>
    </row>
    <row r="12" spans="1:13" ht="15.75" customHeight="1" x14ac:dyDescent="0.2">
      <c r="A12" s="1314" t="s">
        <v>453</v>
      </c>
      <c r="B12" s="1316">
        <v>1000</v>
      </c>
      <c r="C12" s="1606">
        <f>'Expenditures 15-22'!K33</f>
        <v>4595285</v>
      </c>
      <c r="D12" s="1616" t="s">
        <v>1159</v>
      </c>
      <c r="E12" s="1575" t="s">
        <v>1159</v>
      </c>
      <c r="F12" s="1575" t="s">
        <v>1159</v>
      </c>
      <c r="G12" s="1606">
        <f>'Expenditures 15-22'!K229</f>
        <v>134767</v>
      </c>
      <c r="H12" s="1617"/>
      <c r="I12" s="1575" t="s">
        <v>1159</v>
      </c>
      <c r="J12" s="1575" t="s">
        <v>1159</v>
      </c>
      <c r="K12" s="1617" t="s">
        <v>1159</v>
      </c>
      <c r="L12" s="325"/>
    </row>
    <row r="13" spans="1:13" ht="15.75" customHeight="1" x14ac:dyDescent="0.2">
      <c r="A13" s="1314" t="s">
        <v>454</v>
      </c>
      <c r="B13" s="1316">
        <v>2000</v>
      </c>
      <c r="C13" s="1607">
        <f>'Expenditures 15-22'!K74</f>
        <v>1544761</v>
      </c>
      <c r="D13" s="1607">
        <f>'Expenditures 15-22'!K129</f>
        <v>898605</v>
      </c>
      <c r="E13" s="1576" t="s">
        <v>1159</v>
      </c>
      <c r="F13" s="1607">
        <f>'Expenditures 15-22'!K184</f>
        <v>0</v>
      </c>
      <c r="G13" s="1607">
        <f>'Expenditures 15-22'!K279</f>
        <v>13731</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6140046</v>
      </c>
      <c r="D17" s="1594">
        <f t="shared" si="2"/>
        <v>898605</v>
      </c>
      <c r="E17" s="1594">
        <f t="shared" si="2"/>
        <v>0</v>
      </c>
      <c r="F17" s="1594">
        <f t="shared" si="2"/>
        <v>0</v>
      </c>
      <c r="G17" s="1594">
        <f t="shared" si="2"/>
        <v>148498</v>
      </c>
      <c r="H17" s="1594">
        <f t="shared" si="2"/>
        <v>0</v>
      </c>
      <c r="I17" s="1575"/>
      <c r="J17" s="1594">
        <f>SUM(J12:J16)</f>
        <v>0</v>
      </c>
      <c r="K17" s="1594">
        <f>SUM(K12:K16)</f>
        <v>0</v>
      </c>
      <c r="L17" s="325"/>
    </row>
    <row r="18" spans="1:12" ht="15" customHeight="1" thickTop="1" x14ac:dyDescent="0.2">
      <c r="A18" s="1430" t="s">
        <v>1635</v>
      </c>
      <c r="B18" s="1431">
        <v>4180</v>
      </c>
      <c r="C18" s="1606">
        <f t="shared" ref="C18:H18" si="3">C9</f>
        <v>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6140046</v>
      </c>
      <c r="D19" s="1594">
        <f t="shared" si="4"/>
        <v>898605</v>
      </c>
      <c r="E19" s="1594">
        <f t="shared" si="4"/>
        <v>0</v>
      </c>
      <c r="F19" s="1594">
        <f t="shared" si="4"/>
        <v>0</v>
      </c>
      <c r="G19" s="1594">
        <f t="shared" si="4"/>
        <v>148498</v>
      </c>
      <c r="H19" s="1594">
        <f t="shared" si="4"/>
        <v>0</v>
      </c>
      <c r="I19" s="1575"/>
      <c r="J19" s="1594">
        <f>SUM(J17:J18)</f>
        <v>0</v>
      </c>
      <c r="K19" s="1594">
        <f>SUM(K17:K18)</f>
        <v>0</v>
      </c>
      <c r="L19" s="325"/>
    </row>
    <row r="20" spans="1:12" ht="16.5" thickTop="1" thickBot="1" x14ac:dyDescent="0.25">
      <c r="A20" s="2227" t="s">
        <v>1636</v>
      </c>
      <c r="B20" s="2228"/>
      <c r="C20" s="1622">
        <f>C8-C17</f>
        <v>47103</v>
      </c>
      <c r="D20" s="1622">
        <f t="shared" ref="D20:K20" si="5">D8-D17</f>
        <v>101395</v>
      </c>
      <c r="E20" s="1622">
        <f t="shared" si="5"/>
        <v>0</v>
      </c>
      <c r="F20" s="1622">
        <f t="shared" si="5"/>
        <v>0</v>
      </c>
      <c r="G20" s="1622">
        <f t="shared" si="5"/>
        <v>-148498</v>
      </c>
      <c r="H20" s="1622">
        <f t="shared" si="5"/>
        <v>0</v>
      </c>
      <c r="I20" s="1622">
        <f t="shared" si="5"/>
        <v>0</v>
      </c>
      <c r="J20" s="1622">
        <f t="shared" si="5"/>
        <v>0</v>
      </c>
      <c r="K20" s="1622">
        <f t="shared" si="5"/>
        <v>0</v>
      </c>
      <c r="L20" s="325"/>
    </row>
    <row r="21" spans="1:12" ht="16.7" customHeight="1" thickTop="1" x14ac:dyDescent="0.2">
      <c r="A21" s="2239" t="s">
        <v>591</v>
      </c>
      <c r="B21" s="2240"/>
      <c r="C21" s="1602"/>
      <c r="D21" s="1603"/>
      <c r="E21" s="1603"/>
      <c r="F21" s="1603"/>
      <c r="G21" s="1603"/>
      <c r="H21" s="1603"/>
      <c r="I21" s="1603"/>
      <c r="J21" s="1603"/>
      <c r="K21" s="1615"/>
      <c r="L21" s="453"/>
    </row>
    <row r="22" spans="1:12" ht="15.75" customHeight="1" collapsed="1" x14ac:dyDescent="0.2">
      <c r="A22" s="2235" t="s">
        <v>592</v>
      </c>
      <c r="B22" s="2236"/>
      <c r="C22" s="1582"/>
      <c r="D22" s="1582"/>
      <c r="E22" s="1582"/>
      <c r="F22" s="1582"/>
      <c r="G22" s="1582"/>
      <c r="H22" s="1582"/>
      <c r="I22" s="1582"/>
      <c r="J22" s="1582"/>
      <c r="K22" s="1582"/>
      <c r="L22" s="325"/>
    </row>
    <row r="23" spans="1:12" s="433" customFormat="1" ht="15.75" customHeight="1" x14ac:dyDescent="0.2">
      <c r="A23" s="2231" t="s">
        <v>290</v>
      </c>
      <c r="B23" s="2232"/>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3" t="s">
        <v>974</v>
      </c>
      <c r="B32" s="2234"/>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1" t="s">
        <v>371</v>
      </c>
      <c r="B44" s="2242"/>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5" t="s">
        <v>108</v>
      </c>
      <c r="B45" s="2236"/>
      <c r="C45" s="1625"/>
      <c r="D45" s="1625"/>
      <c r="E45" s="1625"/>
      <c r="F45" s="1625"/>
      <c r="G45" s="1625"/>
      <c r="H45" s="1625"/>
      <c r="I45" s="1625"/>
      <c r="J45" s="1625"/>
      <c r="K45" s="1625"/>
      <c r="L45" s="325"/>
    </row>
    <row r="46" spans="1:12" s="433" customFormat="1" ht="15.75" customHeight="1" x14ac:dyDescent="0.2">
      <c r="A46" s="2243" t="s">
        <v>109</v>
      </c>
      <c r="B46" s="2244"/>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17" t="s">
        <v>437</v>
      </c>
      <c r="B76" s="2218"/>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19" t="s">
        <v>1167</v>
      </c>
      <c r="B77" s="2220"/>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3" t="s">
        <v>593</v>
      </c>
      <c r="B78" s="2224"/>
      <c r="C78" s="1629">
        <f t="shared" ref="C78:K78" si="9">C20+C77</f>
        <v>47103</v>
      </c>
      <c r="D78" s="1629">
        <f t="shared" si="9"/>
        <v>101395</v>
      </c>
      <c r="E78" s="1629">
        <f t="shared" si="9"/>
        <v>0</v>
      </c>
      <c r="F78" s="1629">
        <f t="shared" si="9"/>
        <v>0</v>
      </c>
      <c r="G78" s="1629">
        <f t="shared" si="9"/>
        <v>-148498</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410915</v>
      </c>
      <c r="D79" s="1630">
        <v>-575011</v>
      </c>
      <c r="E79" s="1630"/>
      <c r="F79" s="1630"/>
      <c r="G79" s="1630">
        <v>197956</v>
      </c>
      <c r="H79" s="1630"/>
      <c r="I79" s="1630"/>
      <c r="J79" s="1630"/>
      <c r="K79" s="1630"/>
      <c r="L79" s="325"/>
    </row>
    <row r="80" spans="1:12" x14ac:dyDescent="0.2">
      <c r="A80" s="2229" t="s">
        <v>1772</v>
      </c>
      <c r="B80" s="2230"/>
      <c r="C80" s="1574"/>
      <c r="D80" s="1574"/>
      <c r="E80" s="1574"/>
      <c r="F80" s="1574"/>
      <c r="G80" s="1574"/>
      <c r="H80" s="1574"/>
      <c r="I80" s="1574"/>
      <c r="J80" s="1574"/>
      <c r="K80" s="1574"/>
      <c r="L80" s="325"/>
    </row>
    <row r="81" spans="1:12" ht="13.5" thickBot="1" x14ac:dyDescent="0.25">
      <c r="A81" s="2221" t="str">
        <f>"Fund Balances - June 30, "&amp;'AFR20'!E2</f>
        <v>Fund Balances - June 30, 2020</v>
      </c>
      <c r="B81" s="2222"/>
      <c r="C81" s="1594">
        <f>(SUM(C78:C80))</f>
        <v>458018</v>
      </c>
      <c r="D81" s="1594">
        <f>SUM(D78:D80)</f>
        <v>-473616</v>
      </c>
      <c r="E81" s="1594">
        <f t="shared" ref="E81:K81" si="10">SUM(E78:E80)</f>
        <v>0</v>
      </c>
      <c r="F81" s="1594">
        <f t="shared" si="10"/>
        <v>0</v>
      </c>
      <c r="G81" s="1594">
        <f t="shared" si="10"/>
        <v>49458</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47103</v>
      </c>
      <c r="D82" s="461">
        <f t="shared" ref="D82:K82" si="11">(D81-D79)</f>
        <v>101395</v>
      </c>
      <c r="E82" s="461">
        <f t="shared" si="11"/>
        <v>0</v>
      </c>
      <c r="F82" s="461">
        <f t="shared" si="11"/>
        <v>0</v>
      </c>
      <c r="G82" s="461">
        <f t="shared" si="11"/>
        <v>-148498</v>
      </c>
      <c r="H82" s="461">
        <f t="shared" si="11"/>
        <v>0</v>
      </c>
      <c r="I82" s="461">
        <f t="shared" si="11"/>
        <v>0</v>
      </c>
      <c r="J82" s="461">
        <f t="shared" si="11"/>
        <v>0</v>
      </c>
      <c r="K82" s="461">
        <f t="shared" si="11"/>
        <v>0</v>
      </c>
    </row>
    <row r="83" spans="1:12" ht="14.25" hidden="1" thickTop="1" thickBot="1" x14ac:dyDescent="0.25">
      <c r="A83" s="462" t="s">
        <v>341</v>
      </c>
      <c r="B83" s="428"/>
      <c r="C83" s="463">
        <f>C82/C81</f>
        <v>0.10284093638241291</v>
      </c>
      <c r="D83" s="463">
        <f t="shared" ref="D83:K83" si="12">D82/D81</f>
        <v>-0.21408693963041789</v>
      </c>
      <c r="E83" s="463" t="e">
        <f t="shared" si="12"/>
        <v>#DIV/0!</v>
      </c>
      <c r="F83" s="463" t="e">
        <f t="shared" si="12"/>
        <v>#DIV/0!</v>
      </c>
      <c r="G83" s="463">
        <f t="shared" si="12"/>
        <v>-3.0025071778074324</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21" sqref="C21"/>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5" t="s">
        <v>1779</v>
      </c>
      <c r="B1" s="416"/>
      <c r="C1" s="417" t="s">
        <v>422</v>
      </c>
      <c r="D1" s="417" t="s">
        <v>423</v>
      </c>
      <c r="E1" s="417" t="s">
        <v>424</v>
      </c>
      <c r="F1" s="417" t="s">
        <v>425</v>
      </c>
      <c r="G1" s="417" t="s">
        <v>426</v>
      </c>
      <c r="H1" s="417" t="s">
        <v>427</v>
      </c>
      <c r="I1" s="417" t="s">
        <v>428</v>
      </c>
      <c r="J1" s="417" t="s">
        <v>429</v>
      </c>
      <c r="K1" s="417" t="s">
        <v>751</v>
      </c>
    </row>
    <row r="2" spans="1:12" ht="36" x14ac:dyDescent="0.2">
      <c r="A2" s="2226"/>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f>6044980-135</f>
        <v>6044845</v>
      </c>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6044845</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0</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v>1000000</v>
      </c>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c r="D107" s="1573"/>
      <c r="E107" s="1573"/>
      <c r="F107" s="1573"/>
      <c r="G107" s="1573"/>
      <c r="H107" s="1573"/>
      <c r="I107" s="1573"/>
      <c r="J107" s="1574"/>
      <c r="K107" s="1573"/>
    </row>
    <row r="108" spans="1:12" ht="12.75" customHeight="1" thickBot="1" x14ac:dyDescent="0.25">
      <c r="A108" s="1406" t="s">
        <v>484</v>
      </c>
      <c r="B108" s="1408"/>
      <c r="C108" s="1633">
        <f>SUM(C95:C107)</f>
        <v>0</v>
      </c>
      <c r="D108" s="1633">
        <f t="shared" ref="D108:K108" si="3">SUM(D95:D107)</f>
        <v>1000000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6044845</v>
      </c>
      <c r="D109" s="1641">
        <f t="shared" si="4"/>
        <v>1000000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5" t="s">
        <v>395</v>
      </c>
      <c r="B169" s="2246"/>
      <c r="C169" s="1658">
        <f t="shared" ref="C169:K169" si="6">SUM(C132,C141,C145,C146:C150,C155,C156:C167,C168)</f>
        <v>0</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0</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47" t="s">
        <v>1475</v>
      </c>
      <c r="B172" s="2248"/>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1" t="s">
        <v>1646</v>
      </c>
      <c r="B175" s="2252"/>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5" t="s">
        <v>1645</v>
      </c>
      <c r="B176" s="2256"/>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3" t="s">
        <v>780</v>
      </c>
      <c r="B181" s="2254"/>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49" t="s">
        <v>1780</v>
      </c>
      <c r="B182" s="2250"/>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71977</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71977</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70327</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142304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142304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6187149</v>
      </c>
      <c r="D268" s="1641">
        <f t="shared" si="12"/>
        <v>1000000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29" activePane="bottomLeft" state="frozen"/>
      <selection pane="bottomLeft" activeCell="A41" sqref="A4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5"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57"/>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3" t="s">
        <v>294</v>
      </c>
      <c r="B3" s="2264"/>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3417144</v>
      </c>
      <c r="D8" s="1573">
        <v>998404</v>
      </c>
      <c r="E8" s="1573">
        <v>47156</v>
      </c>
      <c r="F8" s="1573">
        <v>55577</v>
      </c>
      <c r="G8" s="1573">
        <v>10572</v>
      </c>
      <c r="H8" s="1573"/>
      <c r="I8" s="1574"/>
      <c r="J8" s="1574"/>
      <c r="K8" s="1672">
        <f t="shared" si="0"/>
        <v>4528853</v>
      </c>
      <c r="L8" s="1573">
        <v>4818756</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24719</v>
      </c>
      <c r="D13" s="1573">
        <v>8941</v>
      </c>
      <c r="E13" s="1573"/>
      <c r="F13" s="1573"/>
      <c r="G13" s="1573"/>
      <c r="H13" s="1573"/>
      <c r="I13" s="1574"/>
      <c r="J13" s="1574"/>
      <c r="K13" s="1672">
        <f t="shared" si="0"/>
        <v>33660</v>
      </c>
      <c r="L13" s="1573">
        <v>37419</v>
      </c>
    </row>
    <row r="14" spans="1:14" x14ac:dyDescent="0.2">
      <c r="A14" s="1274" t="s">
        <v>957</v>
      </c>
      <c r="B14" s="503">
        <v>1500</v>
      </c>
      <c r="C14" s="1573">
        <v>29027</v>
      </c>
      <c r="D14" s="1573">
        <v>3745</v>
      </c>
      <c r="E14" s="1573"/>
      <c r="F14" s="1573"/>
      <c r="G14" s="1573"/>
      <c r="H14" s="1573"/>
      <c r="I14" s="1574"/>
      <c r="J14" s="1574"/>
      <c r="K14" s="1672">
        <f t="shared" si="0"/>
        <v>32772</v>
      </c>
      <c r="L14" s="1573">
        <v>30300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3470890</v>
      </c>
      <c r="D33" s="1674">
        <f t="shared" ref="D33:L33" si="1">SUM(D5:D32)</f>
        <v>1011090</v>
      </c>
      <c r="E33" s="1674">
        <f t="shared" si="1"/>
        <v>47156</v>
      </c>
      <c r="F33" s="1674">
        <f t="shared" si="1"/>
        <v>55577</v>
      </c>
      <c r="G33" s="1674">
        <f t="shared" si="1"/>
        <v>10572</v>
      </c>
      <c r="H33" s="1674">
        <f t="shared" si="1"/>
        <v>0</v>
      </c>
      <c r="I33" s="1674">
        <f t="shared" si="1"/>
        <v>0</v>
      </c>
      <c r="J33" s="1674">
        <f t="shared" si="1"/>
        <v>0</v>
      </c>
      <c r="K33" s="1674">
        <f t="shared" si="1"/>
        <v>4595285</v>
      </c>
      <c r="L33" s="1674">
        <f t="shared" si="1"/>
        <v>4886475</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81763</v>
      </c>
      <c r="D36" s="1586">
        <v>18322</v>
      </c>
      <c r="E36" s="1586"/>
      <c r="F36" s="1586"/>
      <c r="G36" s="1586"/>
      <c r="H36" s="1586"/>
      <c r="I36" s="1574"/>
      <c r="J36" s="1574"/>
      <c r="K36" s="1672">
        <f t="shared" ref="K36:K41" si="2">SUM(C36:J36)</f>
        <v>100085</v>
      </c>
      <c r="L36" s="1573">
        <v>228164</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118998</v>
      </c>
      <c r="D38" s="1573">
        <v>28245</v>
      </c>
      <c r="E38" s="1573"/>
      <c r="F38" s="1573"/>
      <c r="G38" s="1573"/>
      <c r="H38" s="1573"/>
      <c r="I38" s="1574"/>
      <c r="J38" s="1574"/>
      <c r="K38" s="1672">
        <f t="shared" si="2"/>
        <v>147243</v>
      </c>
      <c r="L38" s="1573">
        <v>194098</v>
      </c>
    </row>
    <row r="39" spans="1:14" x14ac:dyDescent="0.2">
      <c r="A39" s="1274" t="s">
        <v>197</v>
      </c>
      <c r="B39" s="503">
        <v>2140</v>
      </c>
      <c r="C39" s="1573">
        <v>38281</v>
      </c>
      <c r="D39" s="1573">
        <v>8826</v>
      </c>
      <c r="E39" s="1573"/>
      <c r="F39" s="1573"/>
      <c r="G39" s="1573"/>
      <c r="H39" s="1573"/>
      <c r="I39" s="1574"/>
      <c r="J39" s="1574"/>
      <c r="K39" s="1672">
        <f t="shared" si="2"/>
        <v>47107</v>
      </c>
      <c r="L39" s="1573">
        <v>55721</v>
      </c>
    </row>
    <row r="40" spans="1:14" x14ac:dyDescent="0.2">
      <c r="A40" s="1274" t="s">
        <v>198</v>
      </c>
      <c r="B40" s="503">
        <v>2150</v>
      </c>
      <c r="C40" s="1573">
        <v>245201</v>
      </c>
      <c r="D40" s="1573">
        <v>59231</v>
      </c>
      <c r="E40" s="1573"/>
      <c r="F40" s="1573"/>
      <c r="G40" s="1573"/>
      <c r="H40" s="1573"/>
      <c r="I40" s="1574"/>
      <c r="J40" s="1574"/>
      <c r="K40" s="1672">
        <f t="shared" si="2"/>
        <v>304432</v>
      </c>
      <c r="L40" s="1573">
        <v>431129</v>
      </c>
    </row>
    <row r="41" spans="1:14" x14ac:dyDescent="0.2">
      <c r="A41" s="1274" t="s">
        <v>1650</v>
      </c>
      <c r="B41" s="503">
        <v>2190</v>
      </c>
      <c r="C41" s="1573"/>
      <c r="D41" s="1573"/>
      <c r="E41" s="1573">
        <v>884744</v>
      </c>
      <c r="F41" s="1573"/>
      <c r="G41" s="1573"/>
      <c r="H41" s="1573"/>
      <c r="I41" s="1574"/>
      <c r="J41" s="1574"/>
      <c r="K41" s="1672">
        <f t="shared" si="2"/>
        <v>884744</v>
      </c>
      <c r="L41" s="1573">
        <v>932000</v>
      </c>
    </row>
    <row r="42" spans="1:14" ht="12.75" customHeight="1" thickBot="1" x14ac:dyDescent="0.25">
      <c r="A42" s="1380" t="s">
        <v>556</v>
      </c>
      <c r="B42" s="1381" t="s">
        <v>711</v>
      </c>
      <c r="C42" s="1674">
        <f>SUM(C36:C41)</f>
        <v>484243</v>
      </c>
      <c r="D42" s="1674">
        <f t="shared" ref="D42:L42" si="3">SUM(D36:D41)</f>
        <v>114624</v>
      </c>
      <c r="E42" s="1674">
        <f t="shared" si="3"/>
        <v>884744</v>
      </c>
      <c r="F42" s="1674">
        <f t="shared" si="3"/>
        <v>0</v>
      </c>
      <c r="G42" s="1674">
        <f t="shared" si="3"/>
        <v>0</v>
      </c>
      <c r="H42" s="1674">
        <f t="shared" si="3"/>
        <v>0</v>
      </c>
      <c r="I42" s="1674">
        <f t="shared" si="3"/>
        <v>0</v>
      </c>
      <c r="J42" s="1674">
        <f t="shared" si="3"/>
        <v>0</v>
      </c>
      <c r="K42" s="1674">
        <f t="shared" si="3"/>
        <v>1483611</v>
      </c>
      <c r="L42" s="1674">
        <f t="shared" si="3"/>
        <v>1841112</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v>730</v>
      </c>
      <c r="F44" s="1586">
        <v>1894</v>
      </c>
      <c r="G44" s="1586"/>
      <c r="H44" s="1586"/>
      <c r="I44" s="1574"/>
      <c r="J44" s="1574"/>
      <c r="K44" s="1678">
        <f>SUM(C44:J44)</f>
        <v>2624</v>
      </c>
      <c r="L44" s="1586">
        <v>12500</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v>1000</v>
      </c>
    </row>
    <row r="47" spans="1:14" ht="12.75" customHeight="1" thickBot="1" x14ac:dyDescent="0.25">
      <c r="A47" s="1380" t="s">
        <v>557</v>
      </c>
      <c r="B47" s="1381" t="s">
        <v>32</v>
      </c>
      <c r="C47" s="1674">
        <f>SUM(C44:C46)</f>
        <v>0</v>
      </c>
      <c r="D47" s="1674">
        <f t="shared" ref="D47:K47" si="4">SUM(D44:D46)</f>
        <v>0</v>
      </c>
      <c r="E47" s="1674">
        <f t="shared" si="4"/>
        <v>730</v>
      </c>
      <c r="F47" s="1674">
        <f t="shared" si="4"/>
        <v>1894</v>
      </c>
      <c r="G47" s="1674">
        <f t="shared" si="4"/>
        <v>0</v>
      </c>
      <c r="H47" s="1674">
        <f t="shared" si="4"/>
        <v>0</v>
      </c>
      <c r="I47" s="1674">
        <f t="shared" si="4"/>
        <v>0</v>
      </c>
      <c r="J47" s="1674">
        <f t="shared" si="4"/>
        <v>0</v>
      </c>
      <c r="K47" s="1674">
        <f t="shared" si="4"/>
        <v>2624</v>
      </c>
      <c r="L47" s="1674">
        <f>SUM(L44:L46)</f>
        <v>13500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c r="F49" s="1586"/>
      <c r="G49" s="1586"/>
      <c r="H49" s="1586"/>
      <c r="I49" s="1574"/>
      <c r="J49" s="1574"/>
      <c r="K49" s="1678">
        <f>SUM(C49:J49)</f>
        <v>0</v>
      </c>
      <c r="L49" s="1586"/>
    </row>
    <row r="50" spans="1:14" x14ac:dyDescent="0.2">
      <c r="A50" s="1274" t="s">
        <v>813</v>
      </c>
      <c r="B50" s="503">
        <v>2320</v>
      </c>
      <c r="C50" s="1573"/>
      <c r="D50" s="1573"/>
      <c r="E50" s="1573"/>
      <c r="F50" s="1573"/>
      <c r="G50" s="1573"/>
      <c r="H50" s="1573"/>
      <c r="I50" s="1574"/>
      <c r="J50" s="1574"/>
      <c r="K50" s="1678">
        <f>SUM(C50:J50)</f>
        <v>0</v>
      </c>
      <c r="L50" s="1573"/>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v>40000</v>
      </c>
    </row>
    <row r="53" spans="1:14" ht="12.75" customHeight="1" thickBot="1" x14ac:dyDescent="0.25">
      <c r="A53" s="1380" t="s">
        <v>712</v>
      </c>
      <c r="B53" s="1381" t="s">
        <v>33</v>
      </c>
      <c r="C53" s="1674">
        <f>SUM(C49:C52)</f>
        <v>0</v>
      </c>
      <c r="D53" s="1674">
        <f t="shared" ref="D53:L53" si="5">SUM(D49:D52)</f>
        <v>0</v>
      </c>
      <c r="E53" s="1674">
        <f t="shared" si="5"/>
        <v>0</v>
      </c>
      <c r="F53" s="1674">
        <f t="shared" si="5"/>
        <v>0</v>
      </c>
      <c r="G53" s="1674">
        <f t="shared" si="5"/>
        <v>0</v>
      </c>
      <c r="H53" s="1674">
        <f t="shared" si="5"/>
        <v>0</v>
      </c>
      <c r="I53" s="1674">
        <f t="shared" si="5"/>
        <v>0</v>
      </c>
      <c r="J53" s="1674">
        <f t="shared" si="5"/>
        <v>0</v>
      </c>
      <c r="K53" s="1674">
        <f t="shared" si="5"/>
        <v>0</v>
      </c>
      <c r="L53" s="1674">
        <f t="shared" si="5"/>
        <v>40000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v>1212</v>
      </c>
      <c r="F55" s="1586">
        <v>898</v>
      </c>
      <c r="G55" s="1586"/>
      <c r="H55" s="1586"/>
      <c r="I55" s="1574"/>
      <c r="J55" s="1574"/>
      <c r="K55" s="1678">
        <f>SUM(C55:J55)</f>
        <v>2110</v>
      </c>
      <c r="L55" s="1586">
        <v>4000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1212</v>
      </c>
      <c r="F57" s="1679">
        <f t="shared" si="6"/>
        <v>898</v>
      </c>
      <c r="G57" s="1679">
        <f t="shared" si="6"/>
        <v>0</v>
      </c>
      <c r="H57" s="1679">
        <f t="shared" si="6"/>
        <v>0</v>
      </c>
      <c r="I57" s="1679">
        <f t="shared" si="6"/>
        <v>0</v>
      </c>
      <c r="J57" s="1679">
        <f t="shared" si="6"/>
        <v>0</v>
      </c>
      <c r="K57" s="1679">
        <f t="shared" si="6"/>
        <v>2110</v>
      </c>
      <c r="L57" s="1674">
        <f>SUM(L55:L56)</f>
        <v>4000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v>14400</v>
      </c>
      <c r="F60" s="1573"/>
      <c r="G60" s="1573"/>
      <c r="H60" s="1573"/>
      <c r="I60" s="1574"/>
      <c r="J60" s="1574"/>
      <c r="K60" s="1678">
        <f t="shared" si="7"/>
        <v>14400</v>
      </c>
      <c r="L60" s="1573">
        <v>25000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v>32189</v>
      </c>
      <c r="F63" s="1573">
        <v>6186</v>
      </c>
      <c r="G63" s="1573"/>
      <c r="H63" s="1573"/>
      <c r="I63" s="1574"/>
      <c r="J63" s="1574"/>
      <c r="K63" s="1678">
        <f t="shared" si="7"/>
        <v>38375</v>
      </c>
      <c r="L63" s="1573">
        <v>14250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0</v>
      </c>
      <c r="D65" s="1674">
        <f t="shared" ref="D65:L65" si="8">SUM(D59:D64)</f>
        <v>0</v>
      </c>
      <c r="E65" s="1674">
        <f t="shared" si="8"/>
        <v>46589</v>
      </c>
      <c r="F65" s="1674">
        <f t="shared" si="8"/>
        <v>6186</v>
      </c>
      <c r="G65" s="1674">
        <f t="shared" si="8"/>
        <v>0</v>
      </c>
      <c r="H65" s="1674">
        <f t="shared" si="8"/>
        <v>0</v>
      </c>
      <c r="I65" s="1674">
        <f t="shared" si="8"/>
        <v>0</v>
      </c>
      <c r="J65" s="1674">
        <f t="shared" si="8"/>
        <v>0</v>
      </c>
      <c r="K65" s="1674">
        <f t="shared" si="8"/>
        <v>52775</v>
      </c>
      <c r="L65" s="1674">
        <f t="shared" si="8"/>
        <v>39250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v>1760</v>
      </c>
      <c r="E70" s="1573"/>
      <c r="F70" s="1573"/>
      <c r="G70" s="1573"/>
      <c r="H70" s="1573"/>
      <c r="I70" s="1574"/>
      <c r="J70" s="1574"/>
      <c r="K70" s="1678">
        <f>SUM(C70:J70)</f>
        <v>1760</v>
      </c>
      <c r="L70" s="1573">
        <v>4000</v>
      </c>
      <c r="M70" s="501"/>
      <c r="N70" s="501"/>
    </row>
    <row r="71" spans="1:14" s="321" customFormat="1" x14ac:dyDescent="0.2">
      <c r="A71" s="1274" t="s">
        <v>401</v>
      </c>
      <c r="B71" s="503">
        <v>2660</v>
      </c>
      <c r="C71" s="1573"/>
      <c r="D71" s="1573"/>
      <c r="E71" s="1573"/>
      <c r="F71" s="1573">
        <v>1881</v>
      </c>
      <c r="G71" s="1573"/>
      <c r="H71" s="1573"/>
      <c r="I71" s="1574"/>
      <c r="J71" s="1574"/>
      <c r="K71" s="1678">
        <f>SUM(C71:J71)</f>
        <v>1881</v>
      </c>
      <c r="L71" s="1573">
        <v>30000</v>
      </c>
      <c r="M71" s="501"/>
      <c r="N71" s="501"/>
    </row>
    <row r="72" spans="1:14" s="321" customFormat="1" ht="12.75" customHeight="1" thickBot="1" x14ac:dyDescent="0.25">
      <c r="A72" s="1380" t="s">
        <v>37</v>
      </c>
      <c r="B72" s="1383" t="s">
        <v>36</v>
      </c>
      <c r="C72" s="1674">
        <f>SUM(C67:C71)</f>
        <v>0</v>
      </c>
      <c r="D72" s="1674">
        <f t="shared" ref="D72:K72" si="9">SUM(D67:D71)</f>
        <v>1760</v>
      </c>
      <c r="E72" s="1674">
        <f t="shared" si="9"/>
        <v>0</v>
      </c>
      <c r="F72" s="1674">
        <f t="shared" si="9"/>
        <v>1881</v>
      </c>
      <c r="G72" s="1674">
        <f t="shared" si="9"/>
        <v>0</v>
      </c>
      <c r="H72" s="1674">
        <f t="shared" si="9"/>
        <v>0</v>
      </c>
      <c r="I72" s="1674">
        <f t="shared" si="9"/>
        <v>0</v>
      </c>
      <c r="J72" s="1674">
        <f t="shared" si="9"/>
        <v>0</v>
      </c>
      <c r="K72" s="1674">
        <f t="shared" si="9"/>
        <v>3641</v>
      </c>
      <c r="L72" s="1674">
        <f>SUM(L67:L71)</f>
        <v>34000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484243</v>
      </c>
      <c r="D74" s="1681">
        <f t="shared" ref="D74:K74" si="10">SUM(D42,D47,D53,D57,D65,D72,D73)</f>
        <v>116384</v>
      </c>
      <c r="E74" s="1681">
        <f t="shared" si="10"/>
        <v>933275</v>
      </c>
      <c r="F74" s="1681">
        <f t="shared" si="10"/>
        <v>10859</v>
      </c>
      <c r="G74" s="1681">
        <f t="shared" si="10"/>
        <v>0</v>
      </c>
      <c r="H74" s="1681">
        <f t="shared" si="10"/>
        <v>0</v>
      </c>
      <c r="I74" s="1681">
        <f t="shared" si="10"/>
        <v>0</v>
      </c>
      <c r="J74" s="1681">
        <f t="shared" si="10"/>
        <v>0</v>
      </c>
      <c r="K74" s="1681">
        <f t="shared" si="10"/>
        <v>1544761</v>
      </c>
      <c r="L74" s="1681">
        <f>SUM(L42,L47,L53,L57,L65,L72,L73)</f>
        <v>1971862</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v>46000</v>
      </c>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46000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0</v>
      </c>
      <c r="I102" s="1582"/>
      <c r="J102" s="1582"/>
      <c r="K102" s="1681">
        <f>SUM(K84,K92,K100,K101)</f>
        <v>0</v>
      </c>
      <c r="L102" s="1681">
        <f>SUM(L84,L92,L100,L101)</f>
        <v>46000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3955133</v>
      </c>
      <c r="D114" s="1674">
        <f t="shared" ref="D114:K114" si="13">SUM(D33,D74,D75,D102,D112,D113)</f>
        <v>1127474</v>
      </c>
      <c r="E114" s="1674">
        <f t="shared" si="13"/>
        <v>980431</v>
      </c>
      <c r="F114" s="1674">
        <f t="shared" si="13"/>
        <v>66436</v>
      </c>
      <c r="G114" s="1674">
        <f t="shared" si="13"/>
        <v>10572</v>
      </c>
      <c r="H114" s="1674">
        <f>SUM(H33,H74,H75,H102,H112,H113)</f>
        <v>0</v>
      </c>
      <c r="I114" s="1674">
        <f t="shared" si="13"/>
        <v>0</v>
      </c>
      <c r="J114" s="1674">
        <f t="shared" si="13"/>
        <v>0</v>
      </c>
      <c r="K114" s="1674">
        <f t="shared" si="13"/>
        <v>6140046</v>
      </c>
      <c r="L114" s="1674">
        <f>SUM(L33,L74,L75,L102,L112,L113)</f>
        <v>6904337</v>
      </c>
    </row>
    <row r="115" spans="1:14" ht="13.5" thickTop="1" x14ac:dyDescent="0.2">
      <c r="A115" s="2282" t="s">
        <v>989</v>
      </c>
      <c r="B115" s="2283"/>
      <c r="C115" s="1675"/>
      <c r="D115" s="1675"/>
      <c r="E115" s="1675"/>
      <c r="F115" s="1675"/>
      <c r="G115" s="1675"/>
      <c r="H115" s="1675"/>
      <c r="I115" s="1675"/>
      <c r="J115" s="1675"/>
      <c r="K115" s="1689">
        <f>'Revenues 9-14'!C268-'Expenditures 15-22'!K114</f>
        <v>47103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0" t="s">
        <v>293</v>
      </c>
      <c r="B117" s="2261"/>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v>863</v>
      </c>
      <c r="F122" s="1573"/>
      <c r="G122" s="1573"/>
      <c r="H122" s="1573"/>
      <c r="I122" s="1574"/>
      <c r="J122" s="1574"/>
      <c r="K122" s="1674">
        <f>SUM(C122:J122)</f>
        <v>863</v>
      </c>
      <c r="L122" s="1573"/>
    </row>
    <row r="123" spans="1:14" ht="14.25" thickTop="1" thickBot="1" x14ac:dyDescent="0.25">
      <c r="A123" s="1274" t="s">
        <v>4</v>
      </c>
      <c r="B123" s="503">
        <v>2530</v>
      </c>
      <c r="C123" s="1573"/>
      <c r="D123" s="1573"/>
      <c r="E123" s="1573">
        <v>7581</v>
      </c>
      <c r="F123" s="1573"/>
      <c r="G123" s="1573">
        <v>584395</v>
      </c>
      <c r="H123" s="1573"/>
      <c r="I123" s="1574"/>
      <c r="J123" s="1574"/>
      <c r="K123" s="1674">
        <f>SUM(C123:J123)</f>
        <v>591976</v>
      </c>
      <c r="L123" s="1573">
        <v>250000</v>
      </c>
    </row>
    <row r="124" spans="1:14" ht="14.25" thickTop="1" thickBot="1" x14ac:dyDescent="0.25">
      <c r="A124" s="1274" t="s">
        <v>195</v>
      </c>
      <c r="B124" s="503">
        <v>2540</v>
      </c>
      <c r="C124" s="1573">
        <v>110150</v>
      </c>
      <c r="D124" s="1573">
        <v>28787</v>
      </c>
      <c r="E124" s="1573">
        <v>97403</v>
      </c>
      <c r="F124" s="1573">
        <v>69426</v>
      </c>
      <c r="G124" s="1573"/>
      <c r="H124" s="1573"/>
      <c r="I124" s="1574"/>
      <c r="J124" s="1574"/>
      <c r="K124" s="1674">
        <f>SUM(C124:J124)</f>
        <v>305766</v>
      </c>
      <c r="L124" s="1573">
        <v>351950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110150</v>
      </c>
      <c r="D127" s="1674">
        <f t="shared" ref="D127:L127" si="14">SUM(D122:D126)</f>
        <v>28787</v>
      </c>
      <c r="E127" s="1674">
        <f t="shared" si="14"/>
        <v>105847</v>
      </c>
      <c r="F127" s="1674">
        <f t="shared" si="14"/>
        <v>69426</v>
      </c>
      <c r="G127" s="1674">
        <f t="shared" si="14"/>
        <v>584395</v>
      </c>
      <c r="H127" s="1674">
        <f t="shared" si="14"/>
        <v>0</v>
      </c>
      <c r="I127" s="1674">
        <f t="shared" si="14"/>
        <v>0</v>
      </c>
      <c r="J127" s="1674">
        <f t="shared" si="14"/>
        <v>0</v>
      </c>
      <c r="K127" s="1674">
        <f t="shared" si="14"/>
        <v>898605</v>
      </c>
      <c r="L127" s="1674">
        <f t="shared" si="14"/>
        <v>601950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110150</v>
      </c>
      <c r="D129" s="1681">
        <f t="shared" ref="D129:L129" si="15">SUM(D120,D127,D128)</f>
        <v>28787</v>
      </c>
      <c r="E129" s="1681">
        <f t="shared" si="15"/>
        <v>105847</v>
      </c>
      <c r="F129" s="1681">
        <f t="shared" si="15"/>
        <v>69426</v>
      </c>
      <c r="G129" s="1681">
        <f t="shared" si="15"/>
        <v>584395</v>
      </c>
      <c r="H129" s="1681">
        <f t="shared" si="15"/>
        <v>0</v>
      </c>
      <c r="I129" s="1681">
        <f t="shared" si="15"/>
        <v>0</v>
      </c>
      <c r="J129" s="1681">
        <f t="shared" si="15"/>
        <v>0</v>
      </c>
      <c r="K129" s="1681">
        <f t="shared" si="15"/>
        <v>898605</v>
      </c>
      <c r="L129" s="1681">
        <f t="shared" si="15"/>
        <v>601950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2" t="s">
        <v>616</v>
      </c>
      <c r="B151" s="2254"/>
      <c r="C151" s="1674">
        <f>SUM(C129,C130,C139,C149,C150)</f>
        <v>110150</v>
      </c>
      <c r="D151" s="1674">
        <f t="shared" ref="D151:K151" si="16">SUM(D129,D130,D139,D149,D150)</f>
        <v>28787</v>
      </c>
      <c r="E151" s="1674">
        <f t="shared" si="16"/>
        <v>105847</v>
      </c>
      <c r="F151" s="1674">
        <f t="shared" si="16"/>
        <v>69426</v>
      </c>
      <c r="G151" s="1674">
        <f t="shared" si="16"/>
        <v>584395</v>
      </c>
      <c r="H151" s="1674">
        <f t="shared" si="16"/>
        <v>0</v>
      </c>
      <c r="I151" s="1674">
        <f t="shared" si="16"/>
        <v>0</v>
      </c>
      <c r="J151" s="1674">
        <f t="shared" si="16"/>
        <v>0</v>
      </c>
      <c r="K151" s="1674">
        <f t="shared" si="16"/>
        <v>898605</v>
      </c>
      <c r="L151" s="1674">
        <f>SUM(L129,L130,L139,L149,L150)</f>
        <v>601950</v>
      </c>
    </row>
    <row r="152" spans="1:14" ht="12.75" customHeight="1" thickTop="1" x14ac:dyDescent="0.2">
      <c r="A152" s="2275" t="s">
        <v>1168</v>
      </c>
      <c r="B152" s="2276"/>
      <c r="C152" s="1675"/>
      <c r="D152" s="1675"/>
      <c r="E152" s="1675"/>
      <c r="F152" s="1675"/>
      <c r="G152" s="1675"/>
      <c r="H152" s="1675"/>
      <c r="I152" s="1675"/>
      <c r="J152" s="1673"/>
      <c r="K152" s="1689">
        <f>'Revenues 9-14'!D268-'Expenditures 15-22'!K151</f>
        <v>101395</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0" t="s">
        <v>617</v>
      </c>
      <c r="B154" s="2262"/>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82" t="s">
        <v>989</v>
      </c>
      <c r="B175" s="2283"/>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82" t="s">
        <v>989</v>
      </c>
      <c r="B211" s="2283"/>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77" t="s">
        <v>959</v>
      </c>
      <c r="B213" s="2278"/>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132248</v>
      </c>
      <c r="E217" s="1673"/>
      <c r="F217" s="1673"/>
      <c r="G217" s="1673"/>
      <c r="H217" s="1673"/>
      <c r="I217" s="1673"/>
      <c r="J217" s="1673"/>
      <c r="K217" s="1672">
        <f t="shared" si="19"/>
        <v>132248</v>
      </c>
      <c r="L217" s="1573">
        <v>115550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2519</v>
      </c>
      <c r="E222" s="1673"/>
      <c r="F222" s="1673"/>
      <c r="G222" s="1673"/>
      <c r="H222" s="1673"/>
      <c r="I222" s="1673"/>
      <c r="J222" s="1673"/>
      <c r="K222" s="1672">
        <f t="shared" si="19"/>
        <v>2519</v>
      </c>
      <c r="L222" s="1573">
        <v>2350</v>
      </c>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134767</v>
      </c>
      <c r="E229" s="1673"/>
      <c r="F229" s="1673"/>
      <c r="G229" s="1673"/>
      <c r="H229" s="1673"/>
      <c r="I229" s="1673"/>
      <c r="J229" s="1673"/>
      <c r="K229" s="1674">
        <f>SUM(K215:K228)</f>
        <v>134767</v>
      </c>
      <c r="L229" s="1674">
        <f>SUM(L215:L228)</f>
        <v>117900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v>3362</v>
      </c>
      <c r="E234" s="1673"/>
      <c r="F234" s="1673"/>
      <c r="G234" s="1673"/>
      <c r="H234" s="1673"/>
      <c r="I234" s="1673"/>
      <c r="J234" s="1673"/>
      <c r="K234" s="1672">
        <f t="shared" si="20"/>
        <v>3362</v>
      </c>
      <c r="L234" s="1573">
        <v>2300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3362</v>
      </c>
      <c r="E238" s="1673"/>
      <c r="F238" s="1673"/>
      <c r="G238" s="1673"/>
      <c r="H238" s="1673"/>
      <c r="I238" s="1673"/>
      <c r="J238" s="1673"/>
      <c r="K238" s="1674">
        <f>SUM(K232:K237)</f>
        <v>3362</v>
      </c>
      <c r="L238" s="1674">
        <f>SUM(L232:L237)</f>
        <v>2300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10369</v>
      </c>
      <c r="E266" s="1673"/>
      <c r="F266" s="1673"/>
      <c r="G266" s="1673"/>
      <c r="H266" s="1673"/>
      <c r="I266" s="1673"/>
      <c r="J266" s="1673"/>
      <c r="K266" s="1678">
        <f t="shared" si="22"/>
        <v>10369</v>
      </c>
      <c r="L266" s="1573">
        <v>10500</v>
      </c>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10369</v>
      </c>
      <c r="E270" s="1673"/>
      <c r="F270" s="1673"/>
      <c r="G270" s="1673"/>
      <c r="H270" s="1673"/>
      <c r="I270" s="1673"/>
      <c r="J270" s="1673"/>
      <c r="K270" s="1674">
        <f>SUM(K263:K269)</f>
        <v>10369</v>
      </c>
      <c r="L270" s="1674">
        <f>SUM(L263:L269)</f>
        <v>10500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13731</v>
      </c>
      <c r="E279" s="1673"/>
      <c r="F279" s="1673"/>
      <c r="G279" s="1673"/>
      <c r="H279" s="1673"/>
      <c r="I279" s="1673"/>
      <c r="J279" s="1673"/>
      <c r="K279" s="1681">
        <f>SUM(K238,K243,K257,K261,K270,K277,K278)</f>
        <v>13731</v>
      </c>
      <c r="L279" s="1681">
        <f>SUM(L238,L243,L257,L261,L270,L277,L278)</f>
        <v>12800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3" t="s">
        <v>502</v>
      </c>
      <c r="B295" s="2274"/>
      <c r="C295" s="1673"/>
      <c r="D295" s="1674">
        <f>SUM(D229,D279,D280,D285)</f>
        <v>148498</v>
      </c>
      <c r="E295" s="1673"/>
      <c r="F295" s="1673"/>
      <c r="G295" s="1673"/>
      <c r="H295" s="1674">
        <f>H293</f>
        <v>0</v>
      </c>
      <c r="I295" s="1673"/>
      <c r="J295" s="1673"/>
      <c r="K295" s="1674">
        <f>SUM(K229,K279,K280,K285,K293,K294)</f>
        <v>148498</v>
      </c>
      <c r="L295" s="1674">
        <f>SUM(L229,L279,L280,L285,L293,L294)</f>
        <v>130700</v>
      </c>
    </row>
    <row r="296" spans="1:14" ht="13.5" thickTop="1" x14ac:dyDescent="0.2">
      <c r="A296" s="2282" t="s">
        <v>989</v>
      </c>
      <c r="B296" s="2283"/>
      <c r="C296" s="1673"/>
      <c r="D296" s="1675"/>
      <c r="E296" s="1673"/>
      <c r="F296" s="1673"/>
      <c r="G296" s="1673"/>
      <c r="H296" s="1707"/>
      <c r="I296" s="1673"/>
      <c r="J296" s="1673"/>
      <c r="K296" s="1689">
        <f>'Revenues 9-14'!G268-'Expenditures 15-22'!K295</f>
        <v>-148498</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5" t="s">
        <v>142</v>
      </c>
      <c r="B298" s="2259"/>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0" t="s">
        <v>275</v>
      </c>
      <c r="B312" s="2271"/>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66" t="s">
        <v>989</v>
      </c>
      <c r="B313" s="2267"/>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79" t="s">
        <v>148</v>
      </c>
      <c r="B315" s="2280"/>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1" t="s">
        <v>892</v>
      </c>
      <c r="B317" s="2280"/>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68" t="s">
        <v>989</v>
      </c>
      <c r="B343" s="2269"/>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58" t="s">
        <v>960</v>
      </c>
      <c r="B345" s="2259"/>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2" t="s">
        <v>989</v>
      </c>
      <c r="B368" s="2283"/>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5129F2139B3D24DAFB38F2698EE492C" ma:contentTypeVersion="10" ma:contentTypeDescription="Create a new document." ma:contentTypeScope="" ma:versionID="41d6f27f0789335e9d56ce795915d76f">
  <xsd:schema xmlns:xsd="http://www.w3.org/2001/XMLSchema" xmlns:xs="http://www.w3.org/2001/XMLSchema" xmlns:p="http://schemas.microsoft.com/office/2006/metadata/properties" xmlns:ns3="8197abfe-6374-4c39-a310-c1f96e2f0e7a" targetNamespace="http://schemas.microsoft.com/office/2006/metadata/properties" ma:root="true" ma:fieldsID="f8db2772816e1379ad4a715f7a934495" ns3:_="">
    <xsd:import namespace="8197abfe-6374-4c39-a310-c1f96e2f0e7a"/>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97abfe-6374-4c39-a310-c1f96e2f0e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F061E88-6480-4FB8-B58C-A9872D10F7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97abfe-6374-4c39-a310-c1f96e2f0e7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schemas.microsoft.com/office/2006/metadata/properties"/>
    <ds:schemaRef ds:uri="http://schemas.microsoft.com/office/2006/documentManagement/types"/>
    <ds:schemaRef ds:uri="http://purl.org/dc/dcmitype/"/>
    <ds:schemaRef ds:uri="http://purl.org/dc/terms/"/>
    <ds:schemaRef ds:uri="8197abfe-6374-4c39-a310-c1f96e2f0e7a"/>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2020-07-27T18:07:04Z</cp:lastPrinted>
  <dcterms:created xsi:type="dcterms:W3CDTF">2003-10-29T19:06:34Z</dcterms:created>
  <dcterms:modified xsi:type="dcterms:W3CDTF">2021-02-09T20:02:39Z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0x01010075129F2139B3D24DAFB38F2698EE492C</vt:lpwstr>
  </property>
  <property fmtid="{D5CDD505-2E9C-101B-9397-08002B2CF9AE}" pid="3" name="TaxKeyword">
    <vt:lpwstr/>
  </property>
  <property fmtid="{D5CDD505-2E9C-101B-9397-08002B2CF9AE}" pid="4" name="CroweItemType">
    <vt:lpwstr>6;#Attachment|75fbb3fa-c69d-48c5-a08b-7c0fed70e544</vt:lpwstr>
  </property>
  <property fmtid="{D5CDD505-2E9C-101B-9397-08002B2CF9AE}" pid="5" name="CroweIndustry">
    <vt:lpwstr/>
  </property>
  <property fmtid="{D5CDD505-2E9C-101B-9397-08002B2CF9AE}" pid="6" name="CroweOrigin">
    <vt:lpwstr>2;#Manual|99051284-c2f6-4a4b-87c6-68f80288fe69</vt:lpwstr>
  </property>
  <property fmtid="{D5CDD505-2E9C-101B-9397-08002B2CF9AE}" pid="7" name="CroweStatus">
    <vt:lpwstr>1;#Not Started|d46ab791-6d82-485b-afec-b9b637b864b0</vt:lpwstr>
  </property>
</Properties>
</file>