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213570A-8EE0-4CB4-AE89-E8D5314A4B98}" xr6:coauthVersionLast="36" xr6:coauthVersionMax="36" xr10:uidLastSave="{00000000-0000-0000-0000-000000000000}"/>
  <bookViews>
    <workbookView xWindow="1380" yWindow="0" windowWidth="27420"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D24" i="37"/>
  <c r="B4270" i="106" s="1"/>
  <c r="D4270" i="106" s="1"/>
  <c r="D22" i="37"/>
  <c r="H28" i="118"/>
  <c r="F70" i="34"/>
  <c r="F37" i="34"/>
  <c r="B7829" i="106" s="1"/>
  <c r="D7829" i="106" s="1"/>
  <c r="F34" i="34"/>
  <c r="B7826" i="106" s="1"/>
  <c r="D7826" i="106" s="1"/>
  <c r="H342" i="29"/>
  <c r="B7221" i="106" s="1"/>
  <c r="D7221" i="106"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G33" i="108"/>
  <c r="E17" i="184"/>
  <c r="H17" i="184" s="1"/>
  <c r="H13"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F41" i="108" s="1"/>
  <c r="G43" i="108" s="1"/>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6" i="106" s="1"/>
  <c r="D3636" i="106" s="1"/>
  <c r="B3635" i="106"/>
  <c r="B7222" i="106"/>
  <c r="D7222" i="106" s="1"/>
  <c r="F76" i="34"/>
  <c r="B7887" i="106" s="1"/>
  <c r="D7887" i="106" s="1"/>
  <c r="J16" i="4"/>
  <c r="B6226" i="106" s="1"/>
  <c r="D6226" i="106" s="1"/>
  <c r="B5527" i="106"/>
  <c r="D5527" i="106" s="1"/>
  <c r="B6216" i="106"/>
  <c r="D6216" i="106" s="1"/>
  <c r="B7220" i="106"/>
  <c r="D7220" i="106" s="1"/>
  <c r="F75" i="34"/>
  <c r="B7886" i="106" s="1"/>
  <c r="D7886" i="106" s="1"/>
  <c r="E19" i="184"/>
  <c r="N57" i="184"/>
  <c r="N68" i="184" s="1"/>
  <c r="E68" i="184"/>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C38"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35" i="106"/>
  <c r="D2435"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<sst xmlns="http://schemas.openxmlformats.org/spreadsheetml/2006/main" count="5146" uniqueCount="2080">
  <si>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</si>
  <si>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</si>
  <si>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</si>
  <si>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</si>
  <si>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</si>
  <si>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</si>
  <si>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</si>
  <si>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</si>
  <si>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</si>
  <si>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</si>
  <si>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</si>
  <si>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</si>
  <si>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</si>
  <si>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</si>
  <si>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</si>
  <si>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</si>
  <si>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</si>
  <si>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</si>
  <si>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</si>
  <si>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</si>
  <si>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</si>
  <si>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</si>
  <si>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</si>
  <si>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</si>
  <si>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</si>
  <si>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</si>
  <si>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</si>
  <si>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</si>
  <si>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</si>
  <si>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</si>
  <si>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</si>
  <si>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</si>
  <si>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</si>
  <si>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</si>
  <si>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</si>
  <si>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</si>
  <si>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</si>
  <si>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</si>
  <si>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</si>
  <si>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</si>
  <si>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</si>
  <si>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</si>
  <si>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</si>
  <si>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</si>
  <si>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</si>
  <si>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</si>
  <si>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</si>
  <si>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</si>
  <si>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</si>
  <si>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</si>
  <si>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</si>
  <si>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</si>
  <si>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</si>
  <si>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</si>
  <si>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</si>
  <si>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</si>
  <si>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</si>
  <si>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</si>
  <si>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</si>
  <si>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</si>
  <si>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</si>
  <si>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</si>
  <si>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</si>
  <si>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</si>
  <si>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</si>
  <si>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</si>
  <si>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</si>
  <si>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</si>
  <si>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</si>
  <si>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</si>
  <si>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</si>
  <si>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</si>
  <si>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</si>
  <si>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</si>
  <si>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</si>
  <si>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</si>
  <si>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</si>
  <si>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</si>
  <si>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</si>
  <si>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</si>
  <si>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</si>
  <si>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</si>
  <si>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</si>
  <si>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</si>
  <si>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</si>
  <si>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</si>
  <si>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</si>
  <si>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</si>
  <si>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</si>
  <si>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</si>
  <si>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</si>
  <si>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</si>
  <si>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</si>
  <si>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</si>
  <si>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</si>
  <si>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</si>
  <si>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</si>
  <si>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</si>
  <si>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</si>
  <si>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</si>
  <si>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</si>
  <si>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</si>
  <si>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</si>
  <si>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</si>
  <si>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</si>
  <si>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</si>
  <si>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</si>
  <si>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</si>
  <si>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</si>
  <si>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</si>
  <si>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</si>
  <si>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</si>
  <si>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</si>
  <si>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</si>
  <si>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</si>
  <si>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</si>
  <si>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</si>
  <si>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</si>
  <si>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</si>
  <si>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</si>
  <si>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</si>
  <si>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</si>
  <si>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</si>
  <si>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</si>
  <si>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</si>
  <si>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</si>
  <si>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</si>
  <si>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</si>
  <si>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</si>
  <si>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</si>
  <si>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</si>
  <si>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</si>
  <si>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</si>
  <si>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</si>
  <si>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</si>
  <si>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</si>
  <si>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</si>
  <si>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</si>
  <si>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</si>
  <si>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</si>
  <si>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</si>
  <si>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</si>
  <si>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</si>
  <si>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</si>
  <si>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</si>
  <si>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</si>
  <si>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</si>
  <si>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</si>
  <si>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</si>
  <si>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</si>
  <si>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</si>
  <si>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</si>
  <si>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</si>
  <si>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</si>
  <si>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</si>
  <si>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</si>
  <si>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</si>
  <si>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</si>
  <si>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</si>
  <si>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</si>
  <si>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</si>
  <si>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</si>
  <si>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</si>
  <si>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</si>
  <si>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</si>
  <si>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</si>
  <si>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</si>
  <si>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</si>
  <si>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</si>
  <si>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</si>
  <si>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</si>
  <si>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</si>
  <si>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</si>
  <si>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</si>
  <si>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</si>
  <si>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</si>
  <si>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</si>
  <si>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</si>
  <si>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</si>
  <si>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</si>
  <si>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</si>
  <si>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</si>
  <si>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</si>
  <si>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</si>
  <si>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</si>
  <si>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</si>
  <si>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</si>
  <si>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</si>
  <si>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</si>
  <si>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</si>
  <si>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</si>
  <si>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</si>
  <si>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</si>
  <si>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</si>
  <si>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</si>
  <si>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</si>
  <si>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</si>
  <si>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</si>
  <si>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</si>
  <si>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</si>
  <si>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</si>
  <si>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</si>
  <si>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</si>
  <si>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</si>
  <si>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</si>
  <si>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</si>
  <si>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</si>
  <si>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</si>
  <si>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</si>
  <si>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</si>
  <si>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</si>
  <si>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</si>
  <si>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</si>
  <si>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</si>
  <si>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</si>
  <si>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</si>
  <si>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</si>
  <si>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</si>
  <si>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</si>
  <si>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</si>
  <si>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</si>
  <si>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</si>
  <si>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</si>
  <si>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</si>
  <si>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</si>
  <si>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</si>
  <si>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</si>
  <si>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</si>
  <si>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</si>
  <si>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</si>
  <si>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</si>
  <si>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</si>
  <si>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</si>
  <si>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</si>
  <si>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</si>
  <si>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</si>
  <si>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</si>
  <si>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</si>
  <si>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</si>
  <si>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</si>
  <si>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</si>
  <si>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</si>
  <si>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</si>
  <si>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</si>
  <si>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</si>
  <si>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</si>
  <si>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</si>
  <si>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</si>
  <si>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</si>
  <si>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</si>
  <si>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</si>
  <si>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</si>
  <si>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</si>
  <si>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</si>
  <si>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</si>
  <si>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</si>
  <si>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</si>
  <si>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</si>
  <si>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</si>
  <si>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</si>
  <si>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</si>
  <si>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</si>
  <si>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</si>
  <si>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</si>
  <si>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</si>
  <si>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</si>
  <si>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</si>
  <si>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</si>
  <si>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</si>
  <si>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</si>
  <si>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</si>
  <si>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</si>
  <si>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</si>
  <si>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</si>
  <si>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</si>
  <si>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</si>
  <si>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</si>
  <si>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</si>
  <si>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</si>
  <si>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</si>
  <si>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</si>
  <si>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</si>
  <si>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</si>
  <si>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</si>
  <si>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</si>
  <si>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</si>
  <si>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</si>
  <si>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</si>
  <si>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</si>
  <si>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</si>
  <si>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</si>
  <si>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</si>
  <si>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</si>
  <si>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</si>
  <si>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</si>
  <si>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</si>
  <si>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</si>
  <si>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</si>
  <si>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</si>
  <si>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</si>
  <si>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</si>
  <si>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</si>
  <si>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</si>
  <si>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</si>
  <si>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</si>
  <si>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</si>
  <si>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</si>
  <si>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</si>
  <si>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</si>
  <si>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</si>
  <si>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</si>
  <si>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</si>
  <si>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</si>
  <si>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</si>
  <si>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</si>
  <si>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</si>
  <si>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</si>
  <si>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</si>
  <si>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</si>
  <si>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</si>
  <si>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</si>
  <si>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</si>
  <si>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</si>
  <si>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</si>
  <si>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</si>
  <si>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</si>
  <si>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</si>
  <si>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</si>
  <si>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</si>
  <si>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</si>
  <si>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</si>
  <si>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</si>
  <si>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</si>
  <si>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</si>
  <si>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</si>
  <si>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</si>
  <si>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</si>
  <si>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</si>
  <si>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</si>
  <si>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</si>
  <si>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</si>
  <si>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</si>
  <si>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</si>
  <si>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</si>
  <si>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</si>
  <si>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</si>
  <si>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</si>
  <si>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</si>
  <si>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</si>
  <si>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</si>
  <si>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</si>
  <si>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</si>
  <si>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</si>
  <si>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</si>
  <si>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</si>
  <si>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</si>
  <si>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</si>
  <si>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</si>
  <si>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</si>
  <si>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</si>
  <si>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</si>
  <si>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</si>
  <si>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</si>
  <si>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</si>
  <si>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</si>
  <si>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</si>
  <si>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</si>
  <si>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</si>
  <si>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</si>
  <si>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</si>
  <si>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</si>
  <si>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</si>
  <si>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</si>
  <si>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</si>
  <si>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</si>
  <si>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</si>
  <si>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</si>
  <si>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</si>
  <si>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</si>
  <si>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</si>
  <si>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</si>
  <si>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</si>
  <si>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</si>
  <si>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</si>
  <si>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</si>
  <si>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</si>
  <si>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</si>
  <si>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</si>
  <si>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</si>
  <si>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</si>
  <si>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</si>
  <si>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</si>
  <si>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</si>
  <si>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</si>
  <si>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</si>
  <si>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</si>
  <si>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</si>
  <si>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</si>
  <si>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</si>
  <si>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</si>
  <si>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</si>
  <si>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</si>
  <si>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</si>
  <si>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</si>
  <si>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</si>
  <si>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</si>
  <si>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</si>
  <si>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</si>
  <si>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</si>
  <si>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</si>
  <si>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</si>
  <si>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</si>
  <si>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</si>
  <si>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</si>
  <si>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</si>
  <si>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</si>
  <si>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</si>
  <si>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</si>
  <si>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</si>
  <si>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</si>
  <si>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</si>
  <si>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</si>
  <si>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</si>
  <si>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</si>
  <si>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</si>
  <si>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</si>
  <si>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</si>
  <si>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</si>
  <si>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</si>
  <si>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</si>
  <si>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</si>
  <si>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</si>
  <si>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</si>
  <si>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</si>
  <si>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</si>
  <si>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</si>
  <si>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</si>
  <si>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</si>
  <si>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</si>
  <si>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</si>
  <si>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</si>
  <si>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</si>
  <si>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</si>
  <si>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</si>
  <si>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</si>
  <si>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</si>
  <si>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</si>
  <si>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</si>
  <si>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</si>
  <si>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</si>
  <si>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</si>
  <si>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</si>
  <si>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</si>
  <si>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</si>
  <si>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</si>
  <si>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</si>
  <si>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</si>
  <si>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</si>
  <si>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</si>
  <si>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</si>
  <si>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</si>
  <si>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</si>
  <si>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</si>
  <si>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</si>
  <si>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</si>
  <si>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</si>
  <si>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</si>
  <si>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</si>
  <si>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</si>
  <si>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</si>
  <si>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</si>
  <si>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</si>
  <si>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</si>
  <si>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</si>
  <si>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</si>
  <si>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</si>
  <si>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</si>
  <si>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</si>
  <si>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</si>
  <si>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</si>
  <si>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</si>
  <si>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</si>
  <si>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</si>
  <si>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</si>
  <si>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</si>
  <si>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</si>
  <si>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</si>
  <si>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</si>
  <si>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</si>
  <si>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</si>
  <si>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</si>
  <si>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</si>
  <si>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</si>
  <si>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</si>
  <si>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</si>
  <si>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</si>
  <si>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</si>
  <si>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</si>
  <si>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</si>
  <si>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</si>
  <si>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</si>
  <si>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</si>
  <si>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</si>
  <si>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</si>
  <si>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</si>
  <si>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</si>
  <si>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</si>
  <si>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</si>
  <si>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</si>
  <si>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</si>
  <si>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</si>
  <si>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</si>
  <si>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</si>
  <si>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</si>
  <si>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</si>
  <si>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</si>
  <si>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</si>
  <si>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</si>
  <si>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</si>
  <si>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</si>
  <si>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</si>
  <si>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</si>
  <si>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</si>
  <si>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</si>
  <si>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</si>
  <si>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</si>
  <si>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</si>
  <si>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</si>
  <si>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</si>
  <si>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</si>
  <si>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</si>
  <si>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</si>
  <si>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</si>
  <si>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</si>
  <si>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</si>
  <si>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</si>
  <si>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</si>
  <si>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</si>
  <si>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</si>
  <si>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</si>
  <si>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</si>
  <si>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</si>
  <si>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</si>
  <si>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</si>
  <si>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</si>
  <si>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</si>
  <si>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</si>
  <si>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</si>
  <si>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</si>
  <si>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</si>
  <si>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</si>
  <si>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</si>
  <si>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</si>
  <si>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</si>
  <si>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</si>
  <si>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</si>
  <si>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</si>
  <si>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</si>
  <si>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</si>
  <si>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</si>
  <si>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</si>
  <si>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</si>
  <si>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</si>
  <si>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</si>
  <si>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</si>
  <si>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</si>
  <si>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</si>
  <si>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</si>
  <si>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</si>
  <si>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</si>
  <si>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</si>
  <si>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</si>
  <si>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</si>
  <si>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</si>
  <si>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</si>
  <si>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</si>
  <si>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</si>
  <si>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</si>
  <si>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</si>
  <si>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</si>
  <si>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</si>
  <si>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</si>
  <si>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</si>
  <si>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</si>
  <si>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</si>
  <si>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</si>
  <si>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</si>
  <si>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</si>
  <si>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</si>
  <si>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</si>
  <si>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</si>
  <si>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</si>
  <si>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</si>
  <si>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</si>
  <si>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</si>
  <si>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</si>
  <si>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</si>
  <si>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</si>
  <si>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</si>
  <si>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</si>
  <si>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</si>
  <si>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</si>
  <si>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</si>
  <si>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</si>
  <si>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</si>
  <si>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</si>
  <si>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</si>
  <si>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</si>
  <si>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</si>
  <si>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</si>
  <si>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</si>
  <si>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</si>
  <si>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</si>
  <si>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</si>
  <si>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</si>
  <si>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</si>
  <si>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</si>
  <si>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</si>
  <si>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</si>
  <si>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</si>
  <si>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</si>
  <si>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</si>
  <si>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</si>
  <si>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</si>
  <si>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</si>
  <si>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</si>
  <si>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</si>
  <si>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</si>
  <si>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</si>
  <si>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</si>
  <si>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</si>
  <si>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</si>
  <si>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</si>
  <si>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</si>
  <si>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</si>
  <si>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</si>
  <si>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</si>
  <si>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</si>
  <si>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</si>
  <si>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</si>
  <si>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</si>
  <si>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</si>
  <si>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</si>
  <si>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</si>
  <si>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</si>
  <si>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</si>
  <si>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</si>
  <si>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</si>
  <si>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</si>
  <si>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</si>
  <si>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</si>
  <si>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</si>
  <si>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</si>
  <si>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</si>
  <si>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</si>
  <si>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</si>
  <si>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</si>
  <si>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</si>
  <si>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</si>
  <si>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</si>
  <si>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</si>
  <si>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</si>
  <si>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</si>
  <si>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</si>
  <si>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</si>
  <si>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</si>
  <si>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</si>
  <si>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</si>
  <si>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</si>
  <si>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</si>
  <si>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</si>
  <si>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</si>
  <si>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</si>
  <si>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</si>
  <si>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</si>
  <si>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</si>
  <si>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</si>
  <si>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</si>
  <si>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</si>
  <si>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</si>
  <si>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</si>
  <si>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</si>
  <si>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</si>
  <si>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</si>
  <si>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</si>
  <si>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</si>
  <si>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</si>
  <si>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</si>
  <si>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</si>
  <si>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</si>
  <si>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</si>
  <si>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</si>
  <si>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</si>
  <si>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</si>
  <si>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</si>
  <si>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</si>
  <si>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</si>
  <si>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</si>
  <si>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</si>
  <si>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</si>
  <si>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</si>
  <si>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</si>
  <si>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</si>
  <si>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</si>
  <si>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</si>
  <si>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</si>
  <si>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</si>
  <si>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</si>
  <si>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</si>
  <si>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</si>
  <si>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</si>
  <si>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</si>
  <si>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</si>
  <si>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</si>
  <si>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</si>
  <si>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</si>
  <si>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</si>
  <si>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</si>
  <si>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</si>
  <si>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</si>
  <si>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</si>
  <si>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</si>
  <si>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</si>
  <si>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</si>
  <si>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</si>
  <si>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</si>
  <si>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</si>
  <si>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</si>
  <si>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</si>
  <si>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</si>
  <si>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</si>
  <si>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</si>
  <si>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</si>
  <si>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</si>
  <si>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</si>
  <si>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</si>
  <si>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</si>
  <si>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</si>
  <si>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</si>
  <si>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</si>
  <si>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</si>
  <si>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</si>
  <si>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</si>
  <si>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</si>
  <si>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</si>
  <si>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</si>
  <si>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</si>
  <si>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</si>
  <si>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</si>
  <si>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</si>
  <si>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</si>
  <si>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</si>
  <si>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</si>
  <si>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</si>
  <si>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</si>
  <si>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</si>
  <si>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</si>
  <si>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</si>
  <si>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</si>
  <si>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</si>
  <si>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</si>
  <si>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</si>
  <si>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</si>
  <si>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</si>
  <si>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</si>
  <si>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</si>
  <si>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</si>
  <si>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</si>
  <si>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</si>
  <si>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</si>
  <si>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</si>
  <si>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</si>
  <si>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</si>
  <si>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</si>
  <si>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</si>
  <si>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</si>
  <si>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</si>
  <si>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</si>
  <si>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</si>
  <si>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</si>
  <si>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</si>
  <si>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</si>
  <si>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</si>
  <si>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</si>
  <si>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</si>
  <si>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</si>
  <si>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</si>
  <si>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</si>
  <si>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</si>
  <si>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</si>
  <si>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</si>
  <si>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</si>
  <si>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</si>
  <si>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</si>
  <si>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</si>
  <si>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</si>
  <si>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</si>
  <si>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</si>
  <si>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</si>
  <si>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</si>
  <si>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</si>
  <si>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</si>
  <si>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</si>
  <si>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</si>
  <si>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</si>
  <si>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</si>
  <si>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</si>
  <si>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</si>
  <si>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</si>
  <si>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</si>
  <si>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</si>
  <si>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</si>
  <si>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</si>
  <si>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</si>
  <si>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</si>
  <si>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</si>
  <si>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</si>
  <si>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</si>
  <si>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</si>
  <si>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</si>
  <si>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</si>
  <si>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</si>
  <si>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</si>
  <si>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</si>
  <si>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</si>
  <si>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</si>
  <si>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</si>
  <si>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</si>
  <si>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</si>
  <si>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</si>
  <si>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</si>
  <si>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</si>
  <si>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</si>
  <si>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</si>
  <si>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</si>
  <si>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</si>
  <si>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</si>
  <si>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</si>
  <si>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</si>
  <si>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</si>
  <si>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</si>
  <si>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</si>
  <si>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</si>
  <si>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</si>
  <si>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</si>
  <si>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</si>
  <si>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</si>
  <si>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</si>
  <si>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</si>
  <si>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</si>
  <si>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</si>
  <si>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</si>
  <si>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</si>
  <si>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</si>
  <si>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</si>
  <si>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</si>
  <si>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</si>
  <si>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</si>
  <si>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</si>
  <si>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</si>
  <si>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</si>
  <si>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</si>
  <si>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</si>
  <si>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</si>
  <si>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</si>
  <si>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</si>
  <si>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</si>
  <si>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</si>
  <si>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</si>
  <si>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</si>
  <si>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</si>
  <si>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</si>
  <si>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</si>
  <si>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</si>
  <si>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</si>
  <si>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</si>
  <si>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</si>
  <si>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</si>
  <si>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</si>
  <si>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</si>
  <si>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</si>
  <si>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</si>
  <si>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</si>
  <si>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</si>
  <si>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</si>
  <si>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</si>
  <si>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</si>
  <si>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</si>
  <si>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</si>
  <si>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</si>
  <si>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</si>
  <si>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</si>
  <si>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</si>
  <si>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</si>
  <si>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</si>
  <si>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</si>
  <si>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</si>
  <si>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</si>
  <si>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</si>
  <si>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</si>
  <si>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</si>
  <si>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</si>
  <si>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</si>
  <si>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</si>
  <si>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</si>
  <si>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</si>
  <si>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</si>
  <si>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</si>
  <si>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</si>
  <si>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</si>
  <si>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</si>
  <si>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</si>
  <si>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</si>
  <si>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</si>
  <si>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</si>
  <si>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</si>
  <si>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</si>
  <si>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</si>
  <si>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</si>
  <si>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</si>
  <si>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</si>
  <si>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</si>
  <si>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</si>
  <si>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</si>
  <si>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</si>
  <si>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</si>
  <si>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</si>
  <si>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</si>
  <si>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</si>
  <si>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</si>
  <si>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</si>
  <si>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</si>
  <si>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</si>
  <si>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</si>
  <si>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</si>
  <si>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</si>
  <si>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</si>
  <si>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</si>
  <si>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</si>
  <si>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</si>
  <si>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</si>
  <si>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</si>
  <si>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</si>
  <si>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</si>
  <si>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</si>
  <si>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</si>
  <si>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</si>
  <si>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</si>
  <si>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</si>
  <si>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</si>
  <si>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</si>
  <si>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</si>
  <si>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</si>
  <si>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</si>
  <si>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</si>
  <si>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</si>
  <si>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</si>
  <si>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</si>
  <si>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</si>
  <si>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</si>
  <si>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</si>
  <si>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</si>
  <si>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</si>
  <si>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</si>
  <si>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</si>
  <si>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</si>
  <si>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</si>
  <si>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</si>
  <si>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</si>
  <si>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</si>
  <si>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</si>
  <si>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</si>
  <si>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</si>
  <si>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</si>
  <si>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</si>
  <si>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</si>
  <si>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</si>
  <si>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</si>
  <si>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</si>
  <si>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</si>
  <si>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</si>
  <si>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</si>
  <si>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</si>
  <si>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</si>
  <si>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</si>
  <si>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</si>
  <si>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</si>
  <si>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</si>
  <si>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</si>
  <si>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</si>
  <si>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</si>
  <si>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</si>
  <si>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</si>
  <si>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</si>
  <si>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</si>
  <si>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</si>
  <si>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</si>
  <si>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</si>
  <si>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</si>
  <si>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</si>
  <si>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</si>
  <si>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</si>
  <si>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</si>
  <si>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</si>
  <si>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</si>
  <si>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</si>
  <si>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</si>
  <si>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</si>
  <si>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</si>
  <si>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</si>
  <si>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</si>
  <si>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</si>
  <si>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</si>
  <si>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</si>
  <si>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</si>
  <si>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</si>
  <si>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</si>
  <si>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</si>
  <si>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</si>
  <si>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</si>
  <si>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</si>
  <si>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</si>
  <si>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</si>
  <si>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</si>
  <si>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</si>
  <si>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</si>
  <si>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</si>
  <si>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</si>
  <si>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</si>
  <si>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</si>
  <si>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</si>
  <si>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</si>
  <si>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</si>
  <si>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</si>
  <si>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</si>
  <si>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</si>
  <si>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</si>
  <si>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</si>
  <si>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</si>
  <si>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</si>
  <si>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</si>
  <si>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</si>
  <si>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</si>
  <si>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</si>
  <si>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</si>
  <si>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</si>
  <si>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</si>
  <si>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</si>
  <si>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</si>
  <si>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</si>
  <si>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</si>
  <si>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</si>
  <si>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</si>
  <si>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</si>
  <si>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</si>
  <si>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</si>
  <si>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</si>
  <si>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</si>
  <si>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</si>
  <si>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</si>
  <si>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</si>
  <si>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</si>
  <si>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</si>
  <si>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</si>
  <si>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</si>
  <si>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</si>
  <si>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</si>
  <si>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</si>
  <si>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</si>
  <si>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</si>
  <si>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</si>
  <si>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</si>
  <si>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</si>
  <si>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</si>
  <si>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</si>
  <si>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</si>
  <si>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</si>
  <si>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</si>
  <si>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</si>
  <si>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</si>
  <si>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</si>
  <si>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</si>
  <si>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</si>
  <si>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</si>
  <si>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</si>
  <si>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</si>
  <si>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</si>
  <si>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</si>
  <si>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</si>
  <si>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</si>
  <si>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</si>
  <si>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</si>
  <si>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</si>
  <si>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</si>
  <si>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</si>
  <si>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</si>
  <si>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</si>
  <si>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</si>
  <si>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</si>
  <si>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</si>
  <si>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</si>
  <si>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</si>
  <si>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</si>
  <si>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</si>
  <si>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</si>
  <si>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</si>
  <si>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</si>
  <si>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</si>
  <si>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</si>
  <si>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</si>
  <si>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</si>
  <si>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</si>
  <si>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</si>
  <si>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</si>
  <si>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</si>
  <si>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</si>
  <si>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</si>
  <si>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</si>
  <si>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</si>
  <si>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</si>
  <si>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</si>
  <si>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</si>
  <si>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</si>
  <si>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</si>
  <si>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</si>
  <si>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</si>
  <si>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</si>
  <si>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</si>
  <si>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</si>
  <si>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</si>
  <si>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</si>
  <si>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</si>
  <si>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</si>
  <si>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</si>
  <si>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</si>
  <si>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</si>
  <si>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</si>
  <si>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</si>
  <si>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</si>
  <si>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</si>
  <si>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</si>
  <si>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</si>
  <si>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</si>
  <si>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</si>
  <si>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</si>
  <si>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</si>
  <si>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</si>
  <si>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</si>
  <si>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</si>
  <si>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</si>
  <si>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</si>
  <si>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</si>
  <si>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</si>
  <si>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</si>
  <si>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</si>
  <si>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</si>
  <si>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</si>
  <si>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</si>
  <si>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</si>
  <si>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</si>
  <si>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</si>
  <si>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</si>
  <si>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</si>
  <si>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</si>
  <si>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</si>
  <si>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</si>
  <si>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</si>
  <si>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</si>
  <si>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</si>
  <si>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</si>
  <si>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</si>
  <si>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</si>
  <si>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</si>
  <si>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</si>
  <si>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</si>
  <si>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</si>
  <si>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</si>
  <si>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</si>
  <si>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</si>
  <si>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</si>
  <si>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</si>
  <si>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</si>
  <si>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</si>
  <si>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</si>
  <si>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</si>
  <si>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</si>
  <si>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</si>
  <si>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</si>
  <si>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</si>
  <si>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</si>
  <si>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</si>
  <si>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</si>
  <si>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</si>
  <si>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</si>
  <si>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</si>
  <si>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</si>
  <si>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</si>
  <si>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</si>
  <si>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</si>
  <si>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</si>
  <si>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</si>
  <si>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</si>
  <si>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</si>
  <si>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</si>
  <si>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</si>
  <si>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</si>
  <si>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</si>
  <si>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</si>
  <si>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</si>
  <si>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</si>
  <si>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</si>
  <si>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</si>
  <si>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</si>
  <si>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</si>
  <si>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</si>
  <si>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</si>
  <si>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</si>
  <si>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</si>
  <si>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</si>
  <si>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</si>
  <si>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</si>
  <si>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</si>
  <si>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</si>
  <si>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</si>
  <si>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</si>
  <si>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</si>
  <si>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</si>
  <si>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</si>
  <si>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</si>
  <si>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</si>
  <si>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</si>
  <si>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</si>
  <si>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</si>
  <si>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</si>
  <si>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</si>
  <si>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</si>
  <si>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</si>
  <si>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</si>
  <si>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</si>
  <si>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</si>
  <si>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</si>
  <si>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</si>
  <si>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</si>
  <si>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</si>
  <si>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</si>
  <si>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</si>
  <si>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</si>
  <si>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</si>
  <si>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</si>
  <si>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</si>
  <si>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</si>
  <si>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</si>
  <si>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</si>
  <si>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</si>
  <si>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</si>
  <si>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</si>
  <si>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</si>
  <si>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</si>
  <si>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</si>
  <si>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</si>
  <si>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</si>
  <si>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</si>
  <si>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</si>
  <si>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</si>
  <si>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</si>
  <si>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</si>
  <si>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</si>
  <si>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</si>
  <si>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</si>
  <si>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</si>
  <si>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</si>
  <si>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</si>
  <si>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</si>
  <si>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</si>
  <si>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</si>
  <si>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</si>
  <si>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</si>
  <si>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</si>
  <si>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</si>
  <si>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</si>
  <si>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</si>
  <si>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</si>
  <si>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</si>
  <si>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</si>
  <si>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</si>
  <si>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</si>
  <si>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</si>
  <si>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</si>
  <si>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</si>
  <si>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</si>
  <si>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</si>
  <si>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</si>
  <si>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</si>
  <si>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</si>
  <si>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</si>
  <si>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</si>
  <si>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</si>
  <si>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</si>
  <si>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</si>
  <si>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</si>
  <si>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</si>
  <si>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</si>
  <si>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</si>
  <si>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</si>
  <si>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</si>
  <si>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</si>
  <si>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</si>
  <si>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</si>
  <si>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</si>
  <si>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</si>
  <si>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</si>
  <si>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</si>
  <si>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</si>
  <si>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</si>
  <si>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</si>
  <si>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</si>
  <si>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</si>
  <si>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</si>
  <si>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</si>
  <si>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</si>
  <si>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</si>
  <si>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</si>
  <si>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</si>
  <si>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</si>
  <si>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</si>
  <si>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</si>
  <si>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</si>
  <si>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</si>
  <si>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</si>
  <si>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</si>
  <si>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</si>
  <si>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</si>
  <si>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</si>
  <si>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</si>
  <si>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</si>
  <si>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</si>
  <si>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</si>
  <si>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</si>
  <si>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</si>
  <si>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</si>
  <si>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</si>
  <si>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</si>
  <si>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</si>
  <si>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</si>
  <si>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</si>
  <si>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</si>
  <si>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</si>
  <si>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</si>
  <si>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</si>
  <si>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</si>
  <si>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</si>
  <si>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</si>
  <si>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</si>
  <si>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</si>
  <si>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</si>
  <si>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</si>
  <si>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</si>
  <si>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</si>
  <si>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</si>
  <si>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</si>
  <si>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</si>
  <si>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</si>
  <si>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</si>
  <si>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</si>
  <si>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</si>
  <si>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</si>
  <si>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</si>
  <si>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</si>
  <si>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</si>
  <si>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</si>
  <si>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</si>
  <si>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</si>
  <si>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</si>
  <si>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</si>
  <si>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</si>
  <si>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</si>
  <si>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</si>
  <si>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</si>
  <si>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</si>
  <si>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</si>
  <si>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</si>
  <si>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</si>
  <si>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</si>
  <si>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</si>
  <si>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</si>
  <si>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</si>
  <si>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</si>
  <si>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</si>
  <si>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</si>
  <si>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</si>
  <si>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</si>
  <si>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</si>
  <si>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</si>
  <si>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</si>
  <si>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</si>
  <si>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</si>
  <si>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</si>
  <si>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</si>
  <si>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</si>
  <si>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</si>
  <si>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</si>
  <si>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</si>
  <si>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</si>
  <si>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</si>
  <si>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</si>
  <si>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</si>
  <si>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</si>
  <si>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</si>
  <si>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</si>
  <si>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</si>
  <si>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</si>
  <si>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</si>
  <si>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</si>
  <si>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</si>
  <si>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</si>
  <si>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</si>
  <si>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</si>
  <si>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</si>
  <si>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</si>
  <si>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</si>
  <si>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</si>
  <si>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</si>
  <si>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</si>
  <si>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</si>
  <si>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</si>
  <si>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</si>
  <si>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</si>
  <si>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</si>
  <si>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</si>
  <si>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</si>
  <si>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</si>
  <si>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</si>
  <si>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</si>
  <si>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</si>
  <si>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</si>
  <si>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</si>
  <si>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</si>
  <si>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</si>
  <si>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</si>
  <si>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</si>
  <si>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</si>
  <si>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</si>
  <si>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</si>
  <si>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</si>
  <si>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</si>
  <si>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</si>
  <si>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</si>
  <si>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</si>
  <si>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</si>
  <si>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</si>
  <si>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</si>
  <si>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</si>
  <si>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</si>
  <si>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</si>
  <si>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</si>
  <si>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</si>
  <si>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</si>
  <si>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</si>
  <si>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</si>
  <si>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</si>
  <si>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</si>
  <si>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</si>
  <si>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</si>
  <si>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</si>
  <si>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</si>
  <si>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</si>
  <si>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</si>
  <si>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</si>
  <si>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</si>
  <si>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</si>
  <si>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</si>
  <si>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</si>
  <si>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</si>
  <si>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</si>
  <si>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</si>
  <si>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</si>
  <si>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</si>
  <si>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</si>
  <si>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</si>
  <si>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</si>
  <si>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</si>
  <si>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</si>
  <si>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</si>
  <si>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</si>
  <si>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</si>
  <si>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</si>
  <si>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</si>
  <si>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</si>
  <si>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</si>
  <si>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</si>
  <si>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</si>
  <si>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</si>
  <si>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</si>
  <si>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</si>
  <si>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</si>
  <si>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</si>
  <si>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</si>
  <si>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</si>
  <si>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</si>
  <si>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</si>
  <si>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</si>
  <si>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</si>
  <si>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</si>
  <si>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</si>
  <si>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</si>
  <si>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</si>
  <si>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</si>
  <si>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</si>
  <si>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</si>
  <si>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</si>
  <si>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</si>
  <si>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</si>
  <si>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</si>
  <si>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</si>
  <si>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</si>
  <si>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</si>
  <si>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</si>
  <si>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</si>
  <si>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</si>
  <si>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</si>
  <si>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</si>
  <si>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</si>
  <si>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</si>
  <si>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</si>
  <si>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</si>
  <si>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</si>
  <si>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</si>
  <si>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</si>
  <si>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</si>
  <si>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</si>
  <si>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</si>
  <si>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</si>
  <si>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</si>
  <si>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</si>
  <si>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</si>
  <si>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</si>
  <si>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</si>
  <si>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</si>
  <si>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</si>
  <si>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</si>
  <si>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</si>
  <si>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</si>
  <si>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</si>
  <si>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</si>
  <si>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</si>
  <si>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</si>
  <si>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</si>
  <si>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</si>
  <si>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</si>
  <si>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</si>
  <si>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</si>
  <si>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</si>
  <si>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</si>
  <si>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</si>
  <si>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</si>
  <si>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</si>
  <si>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</si>
  <si>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</si>
  <si>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</si>
  <si>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</si>
  <si>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</si>
  <si>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</si>
  <si>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</si>
  <si>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</si>
  <si>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</si>
  <si>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</si>
  <si>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</si>
  <si>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</si>
  <si>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</si>
  <si>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</si>
  <si>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</si>
  <si>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</si>
  <si>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</si>
  <si>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</si>
  <si>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</si>
  <si>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</si>
  <si>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</si>
  <si>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</si>
  <si>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</si>
  <si>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</si>
  <si>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</si>
  <si>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</si>
  <si>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</si>
  <si>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</si>
  <si>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</si>
  <si>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</si>
  <si>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</si>
  <si>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</si>
  <si>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</si>
  <si>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</si>
  <si>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</si>
  <si>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</si>
  <si>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</si>
  <si>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</si>
  <si>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</si>
  <si>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</si>
  <si>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</si>
  <si>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</si>
  <si>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</si>
  <si>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</si>
  <si>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</si>
  <si>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</si>
  <si>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</si>
  <si>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</si>
  <si>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</si>
  <si>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</si>
  <si>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</si>
  <si>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</si>
  <si>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</si>
  <si>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</si>
  <si>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</si>
  <si>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</si>
  <si>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</si>
  <si>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</si>
  <si>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</si>
  <si>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</si>
  <si>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</si>
  <si>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</si>
  <si>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</si>
  <si>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</si>
  <si>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</si>
  <si>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</si>
  <si>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</si>
  <si>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</si>
  <si>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</si>
  <si>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</si>
  <si>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</si>
  <si>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</si>
  <si>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</si>
  <si>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</si>
  <si>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</si>
  <si>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</si>
  <si>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</si>
  <si>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</si>
  <si>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</si>
  <si>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</si>
  <si>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</si>
  <si>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</si>
  <si>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</si>
  <si>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</si>
  <si>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</si>
  <si>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</si>
  <si>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</si>
  <si>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</si>
  <si>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</si>
  <si>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</si>
  <si>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</si>
  <si>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</si>
  <si>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</si>
  <si>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</si>
  <si>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</si>
  <si>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</si>
  <si>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</si>
  <si>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</si>
  <si>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</si>
  <si>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</si>
  <si>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</si>
  <si>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</si>
  <si>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</si>
  <si>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</si>
  <si>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</si>
  <si>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</si>
  <si>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</si>
  <si>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</si>
  <si>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</si>
  <si>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</si>
  <si>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</si>
  <si>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</si>
  <si>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</si>
  <si>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</si>
  <si>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</si>
  <si>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</si>
  <si>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</si>
  <si>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</si>
  <si>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</si>
  <si>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</si>
  <si>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</si>
  <si>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</si>
  <si>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</si>
  <si>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</si>
  <si>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</si>
  <si>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</si>
  <si>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</si>
  <si>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</si>
  <si>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</si>
  <si>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</si>
  <si>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</si>
  <si>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</si>
  <si>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</si>
  <si>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</si>
  <si>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</si>
  <si>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</si>
  <si>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</si>
  <si>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</si>
  <si>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</si>
  <si>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</si>
  <si>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</si>
  <si>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</si>
  <si>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</si>
  <si>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</si>
  <si>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</si>
  <si>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</si>
  <si>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</si>
  <si>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</si>
  <si>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</si>
  <si>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</si>
  <si>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</si>
  <si>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</si>
  <si>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</si>
  <si>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</si>
  <si>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</si>
  <si>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</si>
  <si>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</si>
  <si>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</si>
  <si>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</si>
  <si>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</si>
  <si>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</si>
  <si>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</si>
  <si>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</si>
  <si>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</si>
  <si>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</si>
  <si>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</si>
  <si>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</si>
  <si>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</si>
  <si>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</si>
  <si>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</si>
  <si>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</si>
  <si>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</si>
  <si>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</si>
  <si>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</si>
  <si>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</si>
  <si>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</si>
  <si>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</si>
  <si>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</si>
  <si>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</si>
  <si>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</si>
  <si>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</si>
  <si>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</si>
  <si>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</si>
  <si>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</si>
  <si>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</si>
  <si>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</si>
  <si>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</si>
  <si>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</si>
  <si>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</si>
  <si>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</si>
  <si>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</si>
  <si>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</si>
  <si>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</si>
  <si>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</si>
  <si>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</si>
  <si>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</si>
  <si>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</si>
  <si>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</si>
  <si>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</si>
  <si>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</si>
  <si>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</si>
  <si>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</si>
  <si>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</si>
  <si>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</si>
  <si>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</si>
  <si>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</si>
  <si>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</si>
  <si>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</si>
  <si>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</si>
  <si>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</si>
  <si>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</si>
  <si>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</si>
  <si>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</si>
  <si>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</si>
  <si>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</si>
  <si>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</si>
  <si>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</si>
  <si>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</si>
  <si>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</si>
  <si>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</si>
  <si>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</si>
  <si>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</si>
  <si>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</si>
  <si>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</si>
  <si>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</si>
  <si>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</si>
  <si>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</si>
  <si>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</si>
  <si>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</si>
  <si>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</si>
  <si>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</si>
  <si>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</si>
  <si>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</si>
  <si>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</si>
  <si>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</si>
  <si>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</si>
  <si>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</si>
  <si>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</si>
  <si>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</si>
  <si>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</si>
  <si>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</si>
  <si>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</si>
  <si>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</si>
  <si>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</si>
  <si>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</si>
  <si>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</si>
  <si>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</si>
  <si>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</si>
  <si>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</si>
  <si>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</si>
  <si>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</si>
  <si>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</si>
  <si>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</si>
  <si>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</si>
  <si>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</si>
  <si>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</si>
  <si>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</si>
  <si>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</si>
  <si>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</si>
  <si>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</si>
  <si>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</si>
  <si>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</si>
  <si>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</si>
  <si>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</si>
  <si>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</si>
  <si>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</si>
  <si>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</si>
  <si>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</si>
  <si>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</si>
  <si>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</si>
  <si>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</si>
  <si>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</si>
  <si>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</si>
  <si>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</si>
  <si>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</si>
  <si>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</si>
  <si>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</si>
  <si>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</si>
  <si>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</si>
  <si>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</si>
  <si>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</si>
  <si>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</si>
  <si>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</si>
  <si>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</si>
  <si>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</si>
  <si>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</si>
  <si>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</si>
  <si>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</si>
  <si>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</si>
  <si>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</si>
  <si>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</si>
  <si>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</si>
  <si>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</si>
  <si>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</si>
  <si>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</si>
  <si>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</si>
  <si>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</si>
  <si>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</si>
  <si>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</si>
  <si>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</si>
  <si>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</si>
  <si>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</si>
  <si>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</si>
  <si>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</si>
  <si>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</si>
  <si>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</si>
  <si>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</si>
  <si>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</si>
  <si>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</si>
  <si>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</si>
  <si>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</si>
  <si>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</si>
  <si>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</si>
  <si>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</si>
  <si>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</si>
  <si>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</si>
  <si>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</si>
  <si>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</si>
  <si>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</si>
  <si>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</si>
  <si>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</si>
  <si>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</si>
  <si>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</si>
  <si>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</si>
  <si>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</si>
  <si>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</si>
  <si>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</si>
  <si>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</si>
  <si>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</si>
  <si>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</si>
  <si>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</si>
  <si>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</si>
  <si>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</si>
  <si>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</si>
  <si>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</si>
  <si>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</si>
  <si>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</si>
  <si>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</si>
  <si>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</si>
  <si>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</si>
  <si>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</si>
  <si>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</si>
  <si>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</si>
  <si>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</si>
  <si>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</si>
  <si>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</si>
  <si>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</si>
  <si>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</si>
  <si>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</si>
  <si>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</si>
  <si>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</si>
  <si>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</si>
  <si>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</si>
  <si>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</si>
  <si>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</si>
  <si>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</si>
  <si>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</si>
  <si>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</si>
  <si>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</si>
  <si>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</si>
  <si>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</si>
  <si>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</si>
  <si>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</si>
  <si>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</si>
  <si>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</si>
  <si>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</si>
  <si>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</si>
  <si>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</si>
  <si>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</si>
  <si>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</si>
  <si>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</si>
  <si>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</si>
  <si>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</si>
  <si>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</si>
  <si>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</si>
  <si>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</si>
  <si>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</si>
  <si>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</si>
  <si>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</si>
  <si>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</si>
  <si>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</si>
  <si>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</si>
  <si>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</si>
  <si>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</si>
  <si>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</si>
  <si>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</si>
  <si>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</si>
  <si>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</si>
  <si>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</si>
  <si>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</si>
  <si>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</si>
  <si>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</si>
  <si>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</si>
  <si>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</si>
  <si>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</si>
  <si>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</si>
  <si>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</si>
  <si>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</si>
  <si>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</si>
  <si>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</si>
  <si>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</si>
  <si>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</si>
  <si>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</si>
  <si>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</si>
  <si>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</si>
  <si>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</si>
  <si>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</si>
  <si>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</si>
  <si>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</si>
  <si>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</si>
  <si>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</si>
  <si>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</si>
  <si>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</si>
  <si>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</si>
  <si>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</si>
  <si>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</si>
  <si>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</si>
  <si>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</si>
  <si>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</si>
  <si>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</si>
  <si>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</si>
  <si>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</si>
  <si>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</si>
  <si>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</si>
  <si>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</si>
  <si>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</si>
  <si>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</si>
  <si>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</si>
  <si>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</si>
  <si>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</si>
  <si>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</si>
  <si>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</si>
  <si>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</si>
  <si>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</si>
  <si>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</si>
  <si>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</si>
  <si>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</si>
  <si>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</si>
  <si>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</si>
  <si>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</si>
  <si>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</si>
  <si>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</si>
  <si>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</si>
  <si>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</si>
  <si>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</si>
  <si>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</si>
  <si>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</si>
  <si>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</si>
  <si>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</si>
  <si>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</si>
  <si>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</si>
  <si>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</si>
  <si>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</si>
  <si>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</si>
  <si>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</si>
  <si>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</si>
  <si>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</si>
  <si>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</si>
  <si>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</si>
  <si>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</si>
  <si>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</si>
  <si>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</si>
  <si>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</si>
  <si>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</si>
  <si>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</si>
  <si>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</si>
  <si>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</si>
  <si>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</si>
  <si>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</si>
  <si>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</si>
  <si>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</si>
  <si>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</si>
  <si>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</si>
  <si>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</si>
  <si>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</si>
  <si>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</si>
  <si>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</si>
  <si>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</si>
  <si>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</si>
  <si>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</si>
  <si>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</si>
  <si>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</si>
  <si>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</si>
  <si>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</si>
  <si>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</si>
  <si>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</si>
  <si>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</si>
  <si>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</si>
  <si>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</si>
  <si>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</si>
  <si>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</si>
  <si>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</si>
  <si>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</si>
  <si>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</si>
  <si>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</si>
  <si>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</si>
  <si>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Kane</t>
  </si>
  <si>
    <t xml:space="preserve">355 E. Chicago St. </t>
  </si>
  <si>
    <t>Eligin</t>
  </si>
  <si>
    <t xml:space="preserve"> INFO@U-46.ORG</t>
  </si>
  <si>
    <t>60120-6543</t>
  </si>
  <si>
    <t xml:space="preserve">Tony Sanders </t>
  </si>
  <si>
    <t>tonysanders@u-46.org</t>
  </si>
  <si>
    <t>847-888-5000</t>
  </si>
  <si>
    <t>847-608-2777</t>
  </si>
  <si>
    <t>RSM US LLP</t>
  </si>
  <si>
    <t>Katie Barry</t>
  </si>
  <si>
    <t>Chicago</t>
  </si>
  <si>
    <t>IL</t>
  </si>
  <si>
    <t>See PDF on Opinion tab</t>
  </si>
  <si>
    <t>SD#300, SD#303, SD U-46 and CCSD#301</t>
  </si>
  <si>
    <t>SD# 300, SD# 303, SD U-46 and CCSD# 301</t>
  </si>
  <si>
    <t>N/A - No Single Audit</t>
  </si>
  <si>
    <t>None</t>
  </si>
  <si>
    <t>Revenues 9-14 - 4799 - CTE Perkins - Secondary</t>
  </si>
  <si>
    <t>AUDITCHECK #11 Fund (10) ED: Account 3998 must be entered - This joint agreement does not receive On Behalf funds</t>
  </si>
  <si>
    <t>AUDITCHECK #10 - Unreserved Fund Balance, P5 Cells C39:H39 must be &gt; 0 - This amount equals $0.  All fund balance is restricted.</t>
  </si>
  <si>
    <t>No contracts</t>
  </si>
  <si>
    <t>AUDITCHECK #15 there are no contracts to enter and that was stated on page 29</t>
  </si>
  <si>
    <t>30 South Wacker Dr, Ste 3300</t>
  </si>
  <si>
    <t>Signed Cover Page</t>
  </si>
  <si>
    <t>AFR Opinion</t>
  </si>
  <si>
    <t>Financial and GAS Report</t>
  </si>
  <si>
    <t xml:space="preserve"> Northern Kane Reg Voc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</si>
</sst>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914400</xdr:colOff>
          <xdr:row>16</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249977111117893"/>
    <pageSetUpPr fitToPage="1"/>
  </sheetPr>
  <dimension ref="A1:AF48"/>
  <sheetViews>
    <sheetView showGridLines="0" tabSelected="1" zoomScaleNormal="100" workbookViewId="0">
      <selection activeCell="A14" sqref="A14"/>
    </sheetView>
  </sheetViews>
  <sheetFormatPr defaultColWidth="8.5703125" defaultRowHeight="12.75" x14ac:dyDescent="0.2"/>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31" width="8.5703125" style="26"/>
    <col min="32" max="32" width="25" style="26" bestFit="1" customWidth="1"/>
    <col min="33" max="16384" width="8.570312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31045046046</v>
      </c>
      <c r="B13" s="2101"/>
      <c r="C13" s="2101"/>
      <c r="D13" s="2101"/>
      <c r="E13" s="2101"/>
      <c r="F13" s="2101"/>
      <c r="G13" s="2101"/>
      <c r="H13" s="2102"/>
      <c r="I13" s="31"/>
      <c r="J13" s="30"/>
      <c r="K13" s="28"/>
      <c r="L13" s="30"/>
      <c r="M13" s="30"/>
      <c r="N13" s="30"/>
      <c r="O13" s="30"/>
      <c r="P13" s="30"/>
      <c r="Q13" s="30"/>
      <c r="R13" s="30"/>
      <c r="S13" s="30"/>
      <c r="T13" s="2106" t="s">
        <v>2061</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2062</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2079</v>
      </c>
      <c r="B17" s="2074"/>
      <c r="C17" s="2074"/>
      <c r="D17" s="2074"/>
      <c r="E17" s="2074"/>
      <c r="F17" s="2074"/>
      <c r="G17" s="2074"/>
      <c r="H17" s="2099"/>
      <c r="T17" s="2117" t="s">
        <v>2075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2063</v>
      </c>
      <c r="U19" s="2038"/>
      <c r="V19" s="2038"/>
      <c r="W19" s="2039"/>
      <c r="X19" s="2115" t="s">
        <v>2064</v>
      </c>
      <c r="Y19" s="2116"/>
      <c r="Z19" s="2113">
        <v>60606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v>3126344415</v>
      </c>
      <c r="U21" s="2129"/>
      <c r="V21" s="2129"/>
      <c r="W21" s="2129"/>
      <c r="X21" s="2134">
        <v>3126345523</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v>66003346</v>
      </c>
      <c r="U23" s="2127"/>
      <c r="V23" s="2127"/>
      <c r="W23" s="2127"/>
      <c r="X23" s="2131">
        <v>44530</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t="s">
        <v>2056</v>
      </c>
      <c r="B25" s="2038"/>
      <c r="C25" s="2038"/>
      <c r="D25" s="2038"/>
      <c r="E25" s="2038"/>
      <c r="F25" s="2038"/>
      <c r="G25" s="2038"/>
      <c r="H25" s="2039"/>
      <c r="I25" s="110"/>
      <c r="J25" s="2062"/>
      <c r="K25" s="2062"/>
      <c r="L25" s="2062"/>
      <c r="M25" s="2062"/>
      <c r="N25" s="2062"/>
      <c r="O25" s="2062"/>
      <c r="P25" s="2062"/>
      <c r="Q25" s="2062"/>
      <c r="R25" s="2062"/>
      <c r="S25" s="2063"/>
      <c r="T25" s="2124"/>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2057</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2058</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2059</v>
      </c>
      <c r="B42" s="2057"/>
      <c r="C42" s="2058"/>
      <c r="D42" s="2056" t="s">
        <v>2060</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5703125" style="577" customWidth="1"/>
    <col min="4" max="5" width="17.5703125" style="578" customWidth="1"/>
    <col min="6" max="6" width="17.5703125" style="307" customWidth="1"/>
    <col min="7" max="7" width="4.42578125" style="307" customWidth="1"/>
    <col min="8" max="8" width="33.425781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fitToPage="1"/>
  </sheetPr>
  <dimension ref="A1:K59"/>
  <sheetViews>
    <sheetView showGridLines="0" defaultGridColor="0" colorId="8" zoomScale="110" zoomScaleNormal="110" workbookViewId="0">
      <selection activeCell="A26" sqref="A26:B26"/>
    </sheetView>
  </sheetViews>
  <sheetFormatPr defaultColWidth="9.140625" defaultRowHeight="12.75" x14ac:dyDescent="0.2"/>
  <cols>
    <col min="1" max="1" width="44" style="377" customWidth="1"/>
    <col min="2" max="2" width="12.140625" style="586" customWidth="1"/>
    <col min="3" max="3" width="16.5703125" style="586" customWidth="1"/>
    <col min="4" max="5" width="15.5703125" style="586" customWidth="1"/>
    <col min="6" max="10" width="15.570312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14999847407452621"/>
  </sheetPr>
  <dimension ref="A1:O48"/>
  <sheetViews>
    <sheetView showGridLines="0" defaultGridColor="0" colorId="8" zoomScale="110" zoomScaleNormal="110" workbookViewId="0">
      <selection activeCell="B26" sqref="B26"/>
    </sheetView>
  </sheetViews>
  <sheetFormatPr defaultColWidth="9.140625" defaultRowHeight="12.75" x14ac:dyDescent="0.2"/>
  <cols>
    <col min="1" max="1" width="4.5703125" style="361" customWidth="1"/>
    <col min="2" max="2" width="3.42578125" style="361" customWidth="1"/>
    <col min="3" max="3" width="4.5703125" style="361" customWidth="1"/>
    <col min="4" max="4" width="3.42578125" style="361" customWidth="1"/>
    <col min="5" max="5" width="44.5703125" style="382" customWidth="1"/>
    <col min="6" max="6" width="18.140625" style="361" customWidth="1"/>
    <col min="7" max="9" width="15.5703125" style="361" customWidth="1"/>
    <col min="10" max="10" width="16.5703125" style="361" customWidth="1"/>
    <col min="11" max="11" width="15.5703125" style="197" customWidth="1"/>
    <col min="12" max="12" width="4.5703125" style="361" customWidth="1"/>
    <col min="13" max="13" width="7.570312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14999847407452621"/>
  </sheetPr>
  <dimension ref="A1:N27"/>
  <sheetViews>
    <sheetView showGridLines="0" defaultGridColor="0" colorId="8" zoomScale="110" zoomScaleNormal="110" workbookViewId="0">
      <selection activeCell="B26" sqref="B26"/>
    </sheetView>
  </sheetViews>
  <sheetFormatPr defaultColWidth="9.140625" defaultRowHeight="12.75" x14ac:dyDescent="0.2"/>
  <cols>
    <col min="1" max="1" width="28.85546875" style="648" customWidth="1"/>
    <col min="2" max="2" width="5.570312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0</v>
      </c>
      <c r="D16" s="1765">
        <f>SUM(D3,D5:D6,D8:D10,D12:D15)</f>
        <v>0</v>
      </c>
      <c r="E16" s="1765">
        <f>SUM(E3,E5:E6,E8:E10,E12:E15)</f>
        <v>0</v>
      </c>
      <c r="F16" s="1765">
        <f>SUM(F3,F5:F6,F8:F10,F12:F15)</f>
        <v>0</v>
      </c>
      <c r="G16" s="681"/>
      <c r="H16" s="1435">
        <f>SUM(H3,H6,H8:H10,H12:H14,)</f>
        <v>0</v>
      </c>
      <c r="I16" s="1435">
        <f>SUM(I3,I6,I8:I10,I12:I14,)</f>
        <v>0</v>
      </c>
      <c r="J16" s="1435">
        <f>SUM(J3,J6,J8:J10,J12:J14,)</f>
        <v>0</v>
      </c>
      <c r="K16" s="1435">
        <f>(H16+I16)-J16</f>
        <v>0</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68670</v>
      </c>
      <c r="G17" s="676">
        <v>10</v>
      </c>
      <c r="H17" s="621"/>
      <c r="I17" s="1442">
        <f>F17/G17</f>
        <v>6867</v>
      </c>
      <c r="J17" s="621"/>
      <c r="K17" s="638"/>
      <c r="L17" s="638"/>
    </row>
    <row r="18" spans="1:12" ht="14.25" thickTop="1" thickBot="1" x14ac:dyDescent="0.25">
      <c r="A18" s="1440" t="s">
        <v>680</v>
      </c>
      <c r="B18" s="1441"/>
      <c r="C18" s="623"/>
      <c r="D18" s="623"/>
      <c r="E18" s="623"/>
      <c r="F18" s="686"/>
      <c r="G18" s="687"/>
      <c r="H18" s="624"/>
      <c r="I18" s="1435">
        <f>SUM(I16,I17)</f>
        <v>6867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14999847407452621"/>
  </sheetPr>
  <dimension ref="A1:I203"/>
  <sheetViews>
    <sheetView showGridLines="0" defaultGridColor="0" colorId="8" zoomScale="110" zoomScaleNormal="110" workbookViewId="0">
      <selection activeCell="B26" sqref="B26"/>
    </sheetView>
  </sheetViews>
  <sheetFormatPr defaultColWidth="8.5703125" defaultRowHeight="11.25" x14ac:dyDescent="0.2"/>
  <cols>
    <col min="1" max="1" width="22.140625" style="692" customWidth="1"/>
    <col min="2" max="2" width="31.85546875" style="692" customWidth="1"/>
    <col min="3" max="3" width="6.5703125" style="699" customWidth="1"/>
    <col min="4" max="4" width="55.5703125" style="692" customWidth="1"/>
    <col min="5" max="5" width="3.140625" style="699" customWidth="1"/>
    <col min="6" max="6" width="17.42578125" style="692" customWidth="1"/>
    <col min="7" max="7" width="0.85546875" style="692" customWidth="1"/>
    <col min="8" max="8" width="2.42578125" style="692" customWidth="1"/>
    <col min="9" max="16384" width="8.570312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1353883</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1353883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1142951</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68670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1211621</v>
      </c>
      <c r="G77" s="701"/>
    </row>
    <row r="78" spans="1:9" s="728" customFormat="1" ht="12" customHeight="1" thickTop="1" thickBot="1" x14ac:dyDescent="0.25">
      <c r="A78" s="1450"/>
      <c r="B78" s="1448"/>
      <c r="C78" s="1445"/>
      <c r="D78" s="1449" t="s">
        <v>2012</v>
      </c>
      <c r="E78" s="1447"/>
      <c r="F78" s="1788">
        <f>(F14-F77)</f>
        <v>142262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839146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598111</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1437257</v>
      </c>
    </row>
    <row r="176" spans="1:7" ht="12" customHeight="1" x14ac:dyDescent="0.2">
      <c r="A176" s="1443"/>
      <c r="B176" s="1453"/>
      <c r="C176" s="1454"/>
      <c r="D176" s="1455" t="s">
        <v>2014</v>
      </c>
      <c r="E176" s="1456"/>
      <c r="F176" s="1793">
        <f>'PCTC-OEPP 27-28'!F78-F175</f>
        <v>-1294995</v>
      </c>
    </row>
    <row r="177" spans="1:9" ht="12" customHeight="1" x14ac:dyDescent="0.2">
      <c r="A177" s="1443"/>
      <c r="B177" s="1453"/>
      <c r="C177" s="1454"/>
      <c r="D177" s="1455" t="s">
        <v>1794</v>
      </c>
      <c r="E177" s="1456"/>
      <c r="F177" s="1793">
        <f>'Cap Outlay Deprec 26'!I18</f>
        <v>6867</v>
      </c>
    </row>
    <row r="178" spans="1:9" ht="12" customHeight="1" x14ac:dyDescent="0.2">
      <c r="A178" s="1443"/>
      <c r="B178" s="1453"/>
      <c r="C178" s="1454"/>
      <c r="D178" s="1455" t="s">
        <v>2015</v>
      </c>
      <c r="E178" s="1456"/>
      <c r="F178" s="1793">
        <f>F176+F177</f>
        <v>-1288128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pageSetUpPr fitToPage="1"/>
  </sheetPr>
  <dimension ref="A1:G142"/>
  <sheetViews>
    <sheetView showGridLines="0" zoomScaleNormal="100" workbookViewId="0">
      <selection activeCell="B26" sqref="B26"/>
    </sheetView>
  </sheetViews>
  <sheetFormatPr defaultColWidth="9.140625" defaultRowHeight="15" x14ac:dyDescent="0.25"/>
  <cols>
    <col min="1" max="1" width="52" style="1895" customWidth="1"/>
    <col min="2" max="2" width="16.42578125" style="1896" bestFit="1" customWidth="1"/>
    <col min="3" max="3" width="33.5703125" style="1897" customWidth="1"/>
    <col min="4" max="4" width="16.42578125" style="1898" customWidth="1"/>
    <col min="5" max="5" width="23.5703125" style="1898" customWidth="1"/>
    <col min="6" max="6" width="23.425781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14999847407452621"/>
  </sheetPr>
  <dimension ref="A1:M46"/>
  <sheetViews>
    <sheetView showGridLines="0" defaultGridColor="0" colorId="8" zoomScale="110" zoomScaleNormal="110" workbookViewId="0">
      <selection activeCell="B26" sqref="B26"/>
    </sheetView>
  </sheetViews>
  <sheetFormatPr defaultColWidth="9.140625" defaultRowHeight="12.75" x14ac:dyDescent="0.2"/>
  <cols>
    <col min="1" max="1" width="8.140625" style="307" customWidth="1"/>
    <col min="2" max="2" width="46.85546875" style="307" customWidth="1"/>
    <col min="3" max="3" width="8" style="307" customWidth="1"/>
    <col min="4" max="6" width="16.5703125" style="307" customWidth="1"/>
    <col min="7" max="7" width="17.140625" style="307" customWidth="1"/>
    <col min="8" max="8" width="3.5703125" style="307" customWidth="1"/>
    <col min="9" max="9" width="3.425781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6982</v>
      </c>
      <c r="F19" s="1802"/>
      <c r="G19" s="1804">
        <f>'Expenditures 15-22'!K33-SUM('Expenditures 15-22'!G33,'Expenditures 15-22'!I33)+'Expenditures 15-22'!D229</f>
        <v>6982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88733</v>
      </c>
      <c r="F21" s="1805"/>
      <c r="G21" s="1808">
        <f>'Expenditures 15-22'!K42-SUM('Expenditures 15-22'!G42,'Expenditures 15-22'!I42)+'Expenditures 15-22'!K120-SUM('Expenditures 15-22'!G120,'Expenditures 15-22'!I120)+'Expenditures 15-22'!K180-SUM('Expenditures 15-22'!G180,'Expenditures 15-22'!I180)+'Expenditures 15-22'!D238</f>
        <v>88733</v>
      </c>
      <c r="H21" s="817"/>
      <c r="I21" s="157"/>
    </row>
    <row r="22" spans="1:9" s="542" customFormat="1" ht="12" customHeight="1" x14ac:dyDescent="0.2">
      <c r="A22" s="824" t="s">
        <v>560</v>
      </c>
      <c r="B22" s="825"/>
      <c r="C22" s="823">
        <v>2200</v>
      </c>
      <c r="D22" s="1805"/>
      <c r="E22" s="1807">
        <f>'Expenditures 15-22'!K47-SUM('Expenditures 15-22'!G47,'Expenditures 15-22'!I47)+'Expenditures 15-22'!D243</f>
        <v>39930</v>
      </c>
      <c r="F22" s="1805"/>
      <c r="G22" s="1808">
        <f>'Expenditures 15-22'!K47-SUM('Expenditures 15-22'!G47,'Expenditures 15-22'!I47)+'Expenditures 15-22'!D243</f>
        <v>39930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6617</v>
      </c>
      <c r="F23" s="1805"/>
      <c r="G23" s="1807">
        <f>'Expenditures 15-22'!K53-SUM('Expenditures 15-22'!G53,'Expenditures 15-22'!I53)+'Expenditures 15-22'!D257+'Expenditures 15-22'!K330-SUM('Expenditures 15-22'!G330,'Expenditures 15-22'!I330)</f>
        <v>6617</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142262</v>
      </c>
      <c r="F41" s="1809">
        <f>SUM(F19:F39)</f>
        <v>0</v>
      </c>
      <c r="G41" s="1809">
        <f>SUM(G19:G40)</f>
        <v>142262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142262</v>
      </c>
      <c r="F44" s="1458" t="s">
        <v>471</v>
      </c>
      <c r="G44" s="1810">
        <f>G41</f>
        <v>142262</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14999847407452621"/>
  </sheetPr>
  <dimension ref="A1:O97"/>
  <sheetViews>
    <sheetView showGridLines="0" topLeftCell="A22" zoomScale="110" zoomScaleNormal="110" workbookViewId="0">
      <selection activeCell="A42" sqref="A42:F4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Northern Kane Reg Voc System</v>
      </c>
      <c r="D6" s="2415"/>
      <c r="E6" s="2415"/>
      <c r="F6" s="1482"/>
      <c r="G6" s="1507"/>
      <c r="L6" s="1507"/>
      <c r="M6" s="1855"/>
      <c r="N6" s="1855"/>
      <c r="O6" s="1855"/>
    </row>
    <row r="7" spans="1:15" ht="11.25" customHeight="1" thickBot="1" x14ac:dyDescent="0.3">
      <c r="A7" s="1480"/>
      <c r="B7" s="1481"/>
      <c r="C7" s="2416">
        <f>COVER!A13</f>
        <v>31045046046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2066</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2067</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pageSetUpPr fitToPage="1"/>
  </sheetPr>
  <dimension ref="A1:N83"/>
  <sheetViews>
    <sheetView showGridLines="0" topLeftCell="A13" zoomScaleNormal="100" workbookViewId="0">
      <selection activeCell="B21" sqref="B21"/>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425781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570312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Northern Kane Reg Voc System</v>
      </c>
      <c r="K6" s="2437"/>
      <c r="L6" s="2451"/>
      <c r="M6" s="838"/>
      <c r="N6" s="1999"/>
    </row>
    <row r="7" spans="1:14" x14ac:dyDescent="0.2">
      <c r="A7" s="2452" t="s">
        <v>864</v>
      </c>
      <c r="B7" s="2453"/>
      <c r="C7" s="2453"/>
      <c r="D7" s="2453"/>
      <c r="E7" s="2454"/>
      <c r="F7" s="839"/>
      <c r="G7" s="838"/>
      <c r="H7" s="838"/>
      <c r="I7" s="1925" t="s">
        <v>369</v>
      </c>
      <c r="J7" s="2439">
        <f>COVER!A13</f>
        <v>31045046046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6617</v>
      </c>
      <c r="F13" s="1943"/>
      <c r="G13" s="1969">
        <f>H68</f>
        <v>0</v>
      </c>
      <c r="H13" s="1945">
        <f t="shared" si="0"/>
        <v>6617</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6617</v>
      </c>
      <c r="F19" s="1951">
        <f t="shared" si="2"/>
        <v>0</v>
      </c>
      <c r="G19" s="1951">
        <f t="shared" ref="G19" si="3">SUM(G12:G17)-G18</f>
        <v>0</v>
      </c>
      <c r="H19" s="1951">
        <f t="shared" si="2"/>
        <v>6617</v>
      </c>
      <c r="I19" s="1951">
        <f t="shared" si="2"/>
        <v>0</v>
      </c>
      <c r="J19" s="1951">
        <f t="shared" si="2"/>
        <v>0</v>
      </c>
      <c r="K19" s="1951">
        <f t="shared" si="2"/>
        <v>0</v>
      </c>
      <c r="L19" s="1951">
        <f t="shared" si="2"/>
        <v>0</v>
      </c>
      <c r="M19" s="838"/>
      <c r="N19" s="1999"/>
    </row>
    <row r="20" spans="1:14" ht="13.5" thickTop="1" x14ac:dyDescent="0.2">
      <c r="A20" s="2004">
        <v>9</v>
      </c>
      <c r="B20" s="2461" t="s">
        <v>2021</v>
      </c>
      <c r="C20" s="2461"/>
      <c r="D20" s="2462"/>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Northern Kane Reg Voc System</v>
      </c>
      <c r="M52" s="2437"/>
      <c r="N52" s="2438"/>
    </row>
    <row r="53" spans="1:14" x14ac:dyDescent="0.2">
      <c r="A53" s="1983"/>
      <c r="B53" s="1984"/>
      <c r="C53" s="1984"/>
      <c r="D53" s="1984"/>
      <c r="E53" s="1984"/>
      <c r="F53" s="1984"/>
      <c r="G53" s="1984"/>
      <c r="H53" s="1984"/>
      <c r="I53" s="1984"/>
      <c r="J53" s="1984"/>
      <c r="K53" s="1925" t="s">
        <v>369</v>
      </c>
      <c r="L53" s="2439">
        <f>J7</f>
        <v>31045046046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14999847407452621"/>
  </sheetPr>
  <dimension ref="A2:B65"/>
  <sheetViews>
    <sheetView showGridLines="0" zoomScale="110" zoomScaleNormal="110" workbookViewId="0">
      <selection activeCell="B21" sqref="B2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2070</v>
      </c>
    </row>
    <row r="6" spans="1:2" x14ac:dyDescent="0.2">
      <c r="A6" s="847">
        <v>2</v>
      </c>
      <c r="B6" s="307" t="s">
        <v>2072</v>
      </c>
    </row>
    <row r="7" spans="1:2" x14ac:dyDescent="0.2">
      <c r="A7" s="847">
        <v>3</v>
      </c>
      <c r="B7" s="307" t="s">
        <v>2071</v>
      </c>
    </row>
    <row r="8" spans="1:2" x14ac:dyDescent="0.2">
      <c r="A8" s="847">
        <v>4</v>
      </c>
      <c r="B8" s="307" t="s">
        <v>2074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Northern Kane Reg Voc System</v>
      </c>
    </row>
    <row r="65" spans="2:2" x14ac:dyDescent="0.2">
      <c r="B65" s="849">
        <f>COVER!A13</f>
        <v>31045046046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I84"/>
  <sheetViews>
    <sheetView showGridLines="0" topLeftCell="A36" zoomScale="110" zoomScaleNormal="110" workbookViewId="0">
      <selection activeCell="B54" sqref="B54"/>
    </sheetView>
  </sheetViews>
  <sheetFormatPr defaultColWidth="9.140625" defaultRowHeight="12" x14ac:dyDescent="0.2"/>
  <cols>
    <col min="1" max="1" width="2.425781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14999847407452621"/>
  </sheetPr>
  <dimension ref="A1:D19"/>
  <sheetViews>
    <sheetView showGridLines="0" defaultGridColor="0" colorId="8" zoomScale="110" zoomScaleNormal="110" workbookViewId="0">
      <selection activeCell="B21" sqref="B21"/>
    </sheetView>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F29"/>
  <sheetViews>
    <sheetView showGridLines="0" zoomScale="110" zoomScaleNormal="110" workbookViewId="0">
      <selection activeCell="H33" sqref="H33"/>
    </sheetView>
  </sheetViews>
  <sheetFormatPr defaultColWidth="9.140625" defaultRowHeight="12.75" x14ac:dyDescent="0.2"/>
  <cols>
    <col min="1" max="1" width="1.85546875" style="307" customWidth="1"/>
    <col min="2" max="2" width="59.5703125" style="307" customWidth="1"/>
    <col min="3" max="16384" width="9.140625" style="307"/>
  </cols>
  <sheetData>
    <row r="1" spans="3:3" x14ac:dyDescent="0.2">
      <c r="C1" s="307" t="s">
        <v>2076</v>
      </c>
    </row>
    <row r="7" spans="3:3" x14ac:dyDescent="0.2">
      <c r="C7" s="307" t="s">
        <v>2077</v>
      </c>
    </row>
    <row r="13" spans="3:3" x14ac:dyDescent="0.2">
      <c r="C13" s="307" t="s">
        <v>2078</v>
      </c>
    </row>
    <row r="22" spans="1:6" x14ac:dyDescent="0.2">
      <c r="B22" s="850"/>
      <c r="C22" s="850"/>
      <c r="D22" s="850"/>
      <c r="E22" s="850"/>
      <c r="F22" s="850"/>
    </row>
    <row r="24" spans="1:6" x14ac:dyDescent="0.2">
      <c r="A24" s="851" t="s">
        <v>1476</v>
      </c>
    </row>
    <row r="26" spans="1:6" x14ac:dyDescent="0.2">
      <c r="A26" s="366" t="s">
        <v>852</v>
      </c>
    </row>
    <row r="27" spans="1:6" s="850" customFormat="1" ht="45" customHeight="1" x14ac:dyDescent="0.2">
      <c r="A27" s="852"/>
      <c r="B27" s="852" t="s">
        <v>1973</v>
      </c>
    </row>
    <row r="28" spans="1:6" ht="6" customHeight="1" x14ac:dyDescent="0.2"/>
    <row r="29" spans="1:6" ht="24.75" customHeight="1" x14ac:dyDescent="0.2">
      <c r="A29" s="2467" t="s">
        <v>1665</v>
      </c>
      <c r="B29" s="2467"/>
    </row>
  </sheetData>
  <sheetProtection selectLockedCells="1"/>
  <mergeCells count="1">
    <mergeCell ref="A29:B29"/>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12</xdr:row>
                <xdr:rowOff>0</xdr:rowOff>
              </from>
              <to>
                <xdr:col>1</xdr:col>
                <xdr:colOff>914400</xdr:colOff>
                <xdr:row>16</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14999847407452621"/>
    <pageSetUpPr fitToPage="1"/>
  </sheetPr>
  <dimension ref="A1:H48"/>
  <sheetViews>
    <sheetView showGridLines="0" showZeros="0" zoomScale="110" zoomScaleNormal="110" workbookViewId="0">
      <selection activeCell="B21" sqref="B21"/>
    </sheetView>
  </sheetViews>
  <sheetFormatPr defaultColWidth="9.140625" defaultRowHeight="12.75" x14ac:dyDescent="0.2"/>
  <cols>
    <col min="1" max="1" width="33.85546875" style="294" customWidth="1"/>
    <col min="2" max="6" width="16.570312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1437257</v>
      </c>
      <c r="C8" s="1813">
        <f>'Acct Summary 7-8'!D8</f>
        <v>0</v>
      </c>
      <c r="D8" s="1813">
        <f>'Acct Summary 7-8'!F8</f>
        <v>0</v>
      </c>
      <c r="E8" s="1813">
        <f>'Acct Summary 7-8'!I8</f>
        <v>0</v>
      </c>
      <c r="F8" s="1813">
        <f>SUM(B8:E8)</f>
        <v>1437257</v>
      </c>
    </row>
    <row r="9" spans="1:8" s="858" customFormat="1" ht="14.25" customHeight="1" thickBot="1" x14ac:dyDescent="0.25">
      <c r="A9" s="857" t="s">
        <v>1353</v>
      </c>
      <c r="B9" s="1814">
        <f>'Acct Summary 7-8'!C17</f>
        <v>1353883</v>
      </c>
      <c r="C9" s="1814">
        <f>'Acct Summary 7-8'!D17</f>
        <v>0</v>
      </c>
      <c r="D9" s="1814">
        <f>'Acct Summary 7-8'!F17</f>
        <v>0</v>
      </c>
      <c r="E9" s="1813"/>
      <c r="F9" s="1813">
        <f>SUM(B9:E9)</f>
        <v>1353883</v>
      </c>
    </row>
    <row r="10" spans="1:8" s="858" customFormat="1" ht="14.25" thickTop="1" thickBot="1" x14ac:dyDescent="0.25">
      <c r="A10" s="859" t="s">
        <v>1354</v>
      </c>
      <c r="B10" s="1815">
        <f>(B8-B9)</f>
        <v>83374</v>
      </c>
      <c r="C10" s="1815">
        <f>(C8-C9)</f>
        <v>0</v>
      </c>
      <c r="D10" s="1815">
        <f>(D8-D9)</f>
        <v>0</v>
      </c>
      <c r="E10" s="1814">
        <f>(E8-E9)</f>
        <v>0</v>
      </c>
      <c r="F10" s="1816">
        <f>SUM(F8-F9)</f>
        <v>83374</v>
      </c>
    </row>
    <row r="11" spans="1:8" s="858" customFormat="1" ht="14.25" thickTop="1" thickBot="1" x14ac:dyDescent="0.25">
      <c r="A11" s="860" t="s">
        <v>1903</v>
      </c>
      <c r="B11" s="1817">
        <f>'Acct Summary 7-8'!C81</f>
        <v>770840</v>
      </c>
      <c r="C11" s="1817">
        <f>'Acct Summary 7-8'!D81</f>
        <v>0</v>
      </c>
      <c r="D11" s="1817">
        <f>'Acct Summary 7-8'!F81</f>
        <v>0</v>
      </c>
      <c r="E11" s="1817">
        <f>'Acct Summary 7-8'!I81</f>
        <v>0</v>
      </c>
      <c r="F11" s="1818">
        <f>SUM(B11:E11)</f>
        <v>770840</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64" sqref="C64"/>
    </sheetView>
  </sheetViews>
  <sheetFormatPr defaultColWidth="9.140625" defaultRowHeight="12" x14ac:dyDescent="0.2"/>
  <cols>
    <col min="1" max="1" width="2.5703125" style="912" customWidth="1"/>
    <col min="2" max="2" width="3.140625" style="912" customWidth="1"/>
    <col min="3" max="3" width="96.140625" style="852" customWidth="1"/>
    <col min="4" max="4" width="42.140625" style="237" customWidth="1"/>
    <col min="5" max="5" width="2.570312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ENTRY IS REQUIRED!</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5703125" bestFit="1" customWidth="1"/>
    <col min="2" max="2" width="38.85546875" style="135" bestFit="1" customWidth="1"/>
    <col min="3" max="3" width="3.42578125" style="2" customWidth="1"/>
    <col min="4" max="4" width="8.85546875" style="2" customWidth="1"/>
    <col min="5" max="5" width="20.5703125" style="2" bestFit="1" customWidth="1"/>
    <col min="6" max="6" width="20.570312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31045046046</v>
      </c>
      <c r="E2" s="1542">
        <v>2020</v>
      </c>
      <c r="F2" s="1542">
        <v>1</v>
      </c>
      <c r="G2" s="1899">
        <v>101000300</v>
      </c>
    </row>
    <row r="3" spans="1:7" ht="15" x14ac:dyDescent="0.25">
      <c r="A3" t="s">
        <v>950</v>
      </c>
      <c r="B3" s="135" t="str">
        <f>COVER!A15</f>
        <v>Kane</v>
      </c>
      <c r="E3" s="1830" t="s">
        <v>1971</v>
      </c>
      <c r="F3" s="1830" t="s">
        <v>1970</v>
      </c>
      <c r="G3" s="1899">
        <v>101000400</v>
      </c>
    </row>
    <row r="4" spans="1:7" ht="15" x14ac:dyDescent="0.25">
      <c r="A4" t="s">
        <v>1000</v>
      </c>
      <c r="B4" s="135" t="str">
        <f>COVER!A17</f>
        <v xml:space="preserve"> Northern Kane Reg Voc System</v>
      </c>
      <c r="E4" s="1828">
        <v>44119</v>
      </c>
      <c r="F4" s="1829">
        <v>44151</v>
      </c>
      <c r="G4" s="1899">
        <v>101000600</v>
      </c>
    </row>
    <row r="5" spans="1:7" ht="15" x14ac:dyDescent="0.25">
      <c r="A5" t="s">
        <v>699</v>
      </c>
      <c r="B5" s="135" t="str">
        <f>COVER!A38</f>
        <v xml:space="preserve">Tony Sanders </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66003346</v>
      </c>
      <c r="G15" s="1899">
        <v>402100400</v>
      </c>
    </row>
    <row r="16" spans="1:7" ht="15" x14ac:dyDescent="0.25">
      <c r="A16" t="s">
        <v>419</v>
      </c>
      <c r="B16" s="135" t="str">
        <f>COVER!T13</f>
        <v>RSM US LLP</v>
      </c>
      <c r="G16" s="1899">
        <v>402100600</v>
      </c>
    </row>
    <row r="17" spans="1:7" ht="15" x14ac:dyDescent="0.25">
      <c r="A17" t="s">
        <v>878</v>
      </c>
      <c r="B17" s="135" t="str">
        <f>COVER!T15</f>
        <v>Katie Barry</v>
      </c>
      <c r="G17" s="1899">
        <v>402100800</v>
      </c>
    </row>
    <row r="18" spans="1:7" ht="15" x14ac:dyDescent="0.25">
      <c r="A18" t="s">
        <v>1140</v>
      </c>
      <c r="B18" s="135" t="str">
        <f>COVER!T17</f>
        <v>30 South Wacker Dr, Ste 3300</v>
      </c>
      <c r="G18" s="1899">
        <v>102200300</v>
      </c>
    </row>
    <row r="19" spans="1:7" ht="15" x14ac:dyDescent="0.25">
      <c r="A19" t="s">
        <v>880</v>
      </c>
      <c r="B19" s="135">
        <f>COVER!T25</f>
        <v>0</v>
      </c>
      <c r="G19" s="1899">
        <v>102200400</v>
      </c>
    </row>
    <row r="20" spans="1:7" ht="15" x14ac:dyDescent="0.25">
      <c r="A20" t="s">
        <v>881</v>
      </c>
      <c r="B20" s="135" t="str">
        <f>COVER!T19</f>
        <v>Chicago</v>
      </c>
      <c r="G20" s="1899">
        <v>102200600</v>
      </c>
    </row>
    <row r="21" spans="1:7" ht="15" x14ac:dyDescent="0.25">
      <c r="A21" t="s">
        <v>476</v>
      </c>
      <c r="B21" s="135" t="str">
        <f>COVER!X19</f>
        <v>IL</v>
      </c>
      <c r="G21" s="1899">
        <v>102200800</v>
      </c>
    </row>
    <row r="22" spans="1:7" ht="15" x14ac:dyDescent="0.25">
      <c r="A22" t="s">
        <v>882</v>
      </c>
      <c r="B22" s="135">
        <f>COVER!Z19</f>
        <v>60606</v>
      </c>
      <c r="G22" s="1899">
        <v>102300300</v>
      </c>
    </row>
    <row r="23" spans="1:7" ht="15" x14ac:dyDescent="0.25">
      <c r="A23" t="s">
        <v>1142</v>
      </c>
      <c r="B23" s="135">
        <f>COVER!T21</f>
        <v>3126344415</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770840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0</v>
      </c>
      <c r="D92" s="2" t="str">
        <f t="shared" si="0"/>
        <v>Error?</v>
      </c>
      <c r="G92" s="1899">
        <v>102640600</v>
      </c>
    </row>
    <row r="93" spans="1:7" ht="15" x14ac:dyDescent="0.25">
      <c r="A93" s="5">
        <v>32</v>
      </c>
      <c r="B93" s="1832">
        <f>'Assets-Liab 5-6'!C41</f>
        <v>770840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54459</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54459</v>
      </c>
      <c r="C727" s="2" t="s">
        <v>569</v>
      </c>
      <c r="D727" s="2" t="str">
        <f t="shared" si="10"/>
        <v>Error?</v>
      </c>
    </row>
    <row r="728" spans="1:4" x14ac:dyDescent="0.2">
      <c r="A728" s="5">
        <v>667</v>
      </c>
      <c r="B728" s="1832">
        <f>'Expenditures 15-22'!C44</f>
        <v>4384</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4384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58843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58843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18932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18932</v>
      </c>
      <c r="C785" s="2" t="s">
        <v>569</v>
      </c>
      <c r="D785" s="2" t="str">
        <f t="shared" si="11"/>
        <v>Error?</v>
      </c>
    </row>
    <row r="786" spans="1:4" x14ac:dyDescent="0.2">
      <c r="A786" s="5">
        <v>725</v>
      </c>
      <c r="B786" s="1832">
        <f>'Expenditures 15-22'!D44</f>
        <v>1474</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1474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20406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20406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14388</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14388</v>
      </c>
      <c r="C843" s="2" t="s">
        <v>569</v>
      </c>
      <c r="D843" s="2" t="str">
        <f t="shared" si="12"/>
        <v>Error?</v>
      </c>
    </row>
    <row r="844" spans="1:4" x14ac:dyDescent="0.2">
      <c r="A844" s="5">
        <v>783</v>
      </c>
      <c r="B844" s="1832">
        <f>'Expenditures 15-22'!E44</f>
        <v>34072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34072</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6617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55077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55077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6982</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6982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954</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954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954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7936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1142951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1142951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75652</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75652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88733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88733</v>
      </c>
      <c r="C1115" s="2" t="s">
        <v>569</v>
      </c>
      <c r="D1115" s="2" t="str">
        <f t="shared" si="16"/>
        <v>Error?</v>
      </c>
    </row>
    <row r="1116" spans="1:4" x14ac:dyDescent="0.2">
      <c r="A1116" s="5">
        <v>1055</v>
      </c>
      <c r="B1116" s="1832">
        <f>'Expenditures 15-22'!K44</f>
        <v>39930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39930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6617</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135280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1142951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1353883</v>
      </c>
      <c r="C1152" s="2" t="s">
        <v>569</v>
      </c>
      <c r="D1152" s="2" t="str">
        <f t="shared" si="17"/>
        <v>Error?</v>
      </c>
    </row>
    <row r="1153" spans="1:4" x14ac:dyDescent="0.2">
      <c r="A1153" s="5">
        <v>1092</v>
      </c>
      <c r="B1153" s="1832">
        <f>'Expenditures 15-22'!K115</f>
        <v>83374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687466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770840</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1142951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1142951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770840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839146</v>
      </c>
      <c r="C2553" s="2" t="s">
        <v>569</v>
      </c>
      <c r="D2553" s="2" t="str">
        <f t="shared" si="38"/>
        <v>Error?</v>
      </c>
    </row>
    <row r="2554" spans="1:4" x14ac:dyDescent="0.2">
      <c r="A2554" s="5">
        <v>2493</v>
      </c>
      <c r="B2554" s="1832">
        <f>'Acct Summary 7-8'!C7</f>
        <v>598111</v>
      </c>
      <c r="C2554" s="2" t="s">
        <v>569</v>
      </c>
      <c r="D2554" s="2" t="str">
        <f t="shared" si="38"/>
        <v>Error?</v>
      </c>
    </row>
    <row r="2555" spans="1:4" x14ac:dyDescent="0.2">
      <c r="A2555" s="5">
        <v>2494</v>
      </c>
      <c r="B2555" s="1832">
        <f>'Acct Summary 7-8'!C8</f>
        <v>1437257</v>
      </c>
      <c r="C2555" s="2" t="s">
        <v>569</v>
      </c>
      <c r="D2555" s="2" t="str">
        <f t="shared" si="38"/>
        <v>Error?</v>
      </c>
    </row>
    <row r="2556" spans="1:4" x14ac:dyDescent="0.2">
      <c r="A2556" s="5">
        <v>2495</v>
      </c>
      <c r="B2556" s="1832">
        <f>'Acct Summary 7-8'!C12</f>
        <v>75652</v>
      </c>
      <c r="C2556" s="2" t="s">
        <v>569</v>
      </c>
      <c r="D2556" s="2" t="str">
        <f t="shared" si="38"/>
        <v>Error?</v>
      </c>
    </row>
    <row r="2557" spans="1:4" x14ac:dyDescent="0.2">
      <c r="A2557" s="5">
        <v>2496</v>
      </c>
      <c r="B2557" s="1832">
        <f>'Acct Summary 7-8'!C13</f>
        <v>135280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1142951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1353883</v>
      </c>
      <c r="C2561" s="2" t="s">
        <v>569</v>
      </c>
      <c r="D2561" s="2" t="str">
        <f t="shared" si="39"/>
        <v>Error?</v>
      </c>
    </row>
    <row r="2562" spans="1:4" x14ac:dyDescent="0.2">
      <c r="A2562" s="5">
        <v>2501</v>
      </c>
      <c r="B2562" s="1832">
        <f>'Acct Summary 7-8'!C20</f>
        <v>83374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6617</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6617</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1142951</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1142951</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83374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770840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1437257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1353883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770840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598111</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839146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839146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839146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839146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598111</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598111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598111</v>
      </c>
      <c r="C5326" s="2" t="s">
        <v>569</v>
      </c>
      <c r="D5326" s="2" t="str">
        <f t="shared" si="82"/>
        <v>Error?</v>
      </c>
    </row>
    <row r="5327" spans="1:5" x14ac:dyDescent="0.2">
      <c r="A5327" s="5">
        <v>5266</v>
      </c>
      <c r="B5327" s="1832">
        <f>'Revenues 9-14'!C268</f>
        <v>1437257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83374</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0.10815992942763739</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68670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68670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68670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68670</v>
      </c>
      <c r="D7624" s="2" t="str">
        <f t="shared" si="124"/>
        <v>Error?</v>
      </c>
      <c r="E7624" s="2" t="s">
        <v>19</v>
      </c>
    </row>
    <row r="7625" spans="1:5" x14ac:dyDescent="0.2">
      <c r="A7625">
        <f t="shared" si="123"/>
        <v>7564</v>
      </c>
      <c r="B7625" s="1832">
        <f>'Cap Outlay Deprec 26'!I17</f>
        <v>6867</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6867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1353883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1211621</v>
      </c>
      <c r="D7834" s="2" t="str">
        <f t="shared" si="129"/>
        <v>Error?</v>
      </c>
      <c r="E7834" s="4" t="s">
        <v>1998</v>
      </c>
    </row>
    <row r="7835" spans="1:5" x14ac:dyDescent="0.2">
      <c r="A7835">
        <v>7774</v>
      </c>
      <c r="B7835" s="1832">
        <f>'PCTC-OEPP 27-28'!F78</f>
        <v>142262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839146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598111</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1437257</v>
      </c>
      <c r="D7877" s="2" t="str">
        <f t="shared" si="129"/>
        <v>Error?</v>
      </c>
      <c r="E7877" s="4" t="s">
        <v>1998</v>
      </c>
    </row>
    <row r="7878" spans="1:5" x14ac:dyDescent="0.2">
      <c r="A7878">
        <v>7817</v>
      </c>
      <c r="B7878" s="1832">
        <f>'PCTC-OEPP 27-28'!F176</f>
        <v>-1294995</v>
      </c>
      <c r="D7878" s="2" t="str">
        <f t="shared" si="129"/>
        <v>Error?</v>
      </c>
      <c r="E7878" s="4" t="s">
        <v>1998</v>
      </c>
    </row>
    <row r="7879" spans="1:5" x14ac:dyDescent="0.2">
      <c r="A7879">
        <v>7818</v>
      </c>
      <c r="B7879" s="1832">
        <f>'PCTC-OEPP 27-28'!F178</f>
        <v>-1288128</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14999847407452621"/>
    <pageSetUpPr fitToPage="1"/>
  </sheetPr>
  <dimension ref="A1:AC59"/>
  <sheetViews>
    <sheetView showGridLines="0" showZeros="0" topLeftCell="A19" zoomScale="110" zoomScaleNormal="110" workbookViewId="0">
      <selection activeCell="Q20" sqref="Q20"/>
    </sheetView>
  </sheetViews>
  <sheetFormatPr defaultColWidth="9.140625" defaultRowHeight="12.75" x14ac:dyDescent="0.2"/>
  <cols>
    <col min="1" max="1" width="7.85546875" style="959" customWidth="1"/>
    <col min="2" max="2" width="2.42578125" style="955" customWidth="1"/>
    <col min="3" max="3" width="9.140625" style="959"/>
    <col min="4" max="4" width="13" style="959" customWidth="1"/>
    <col min="5" max="5" width="16" style="959" customWidth="1"/>
    <col min="6" max="6" width="4.140625" style="959" customWidth="1"/>
    <col min="7" max="7" width="3.5703125" style="959" customWidth="1"/>
    <col min="8" max="8" width="9.5703125" style="959" customWidth="1"/>
    <col min="9" max="9" width="10.5703125" style="959" customWidth="1"/>
    <col min="10" max="10" width="5" style="959" customWidth="1"/>
    <col min="11" max="11" width="6.5703125" style="959" customWidth="1"/>
    <col min="12" max="12" width="12.85546875" style="959" customWidth="1"/>
    <col min="13" max="13" width="2.5703125" style="959" customWidth="1"/>
    <col min="14" max="14" width="13.140625" style="959" customWidth="1"/>
    <col min="15" max="15" width="7.140625" style="959" customWidth="1"/>
    <col min="16" max="16" width="7" style="959" customWidth="1"/>
    <col min="17" max="17" width="9.570312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Northern Kane Reg Voc System</v>
      </c>
      <c r="B7" s="2516"/>
      <c r="C7" s="2516"/>
      <c r="D7" s="2554"/>
      <c r="E7" s="2555">
        <f>COVER!A13</f>
        <v>31045046046</v>
      </c>
      <c r="F7" s="2556"/>
      <c r="G7" s="2522">
        <f>COVER!T23</f>
        <v>66003346</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RSM US LLP</v>
      </c>
      <c r="H9" s="2529"/>
      <c r="I9" s="2529"/>
      <c r="J9" s="2529"/>
      <c r="K9" s="2529"/>
      <c r="L9" s="2530"/>
    </row>
    <row r="10" spans="1:29" ht="13.5" customHeight="1" x14ac:dyDescent="0.2">
      <c r="A10" s="2512" t="str">
        <f>COVER!A38</f>
        <v xml:space="preserve">Tony Sanders </v>
      </c>
      <c r="B10" s="2513"/>
      <c r="C10" s="2513"/>
      <c r="D10" s="2513"/>
      <c r="E10" s="2513"/>
      <c r="F10" s="2514"/>
      <c r="G10" s="2528" t="str">
        <f>COVER!T17</f>
        <v>30 South Wacker Dr, Ste 3300</v>
      </c>
      <c r="H10" s="2541"/>
      <c r="I10" s="2541"/>
      <c r="J10" s="2541"/>
      <c r="K10" s="2541"/>
      <c r="L10" s="2542"/>
    </row>
    <row r="11" spans="1:29" ht="13.5" customHeight="1" x14ac:dyDescent="0.2">
      <c r="A11" s="963" t="s">
        <v>1502</v>
      </c>
      <c r="B11" s="964"/>
      <c r="C11" s="965"/>
      <c r="D11" s="970"/>
      <c r="E11" s="965"/>
      <c r="F11" s="969"/>
      <c r="G11" s="2528" t="str">
        <f>COVER!T19</f>
        <v>Chicago</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f>COVER!T25</f>
        <v>0</v>
      </c>
      <c r="J13" s="2550"/>
      <c r="K13" s="2550"/>
      <c r="L13" s="2551"/>
    </row>
    <row r="14" spans="1:29" ht="13.5" customHeight="1" x14ac:dyDescent="0.2">
      <c r="A14" s="2528" t="str">
        <f>COVER!A19</f>
        <v xml:space="preserve">355 E. Chicago St. </v>
      </c>
      <c r="B14" s="2541"/>
      <c r="C14" s="2541"/>
      <c r="D14" s="2541"/>
      <c r="E14" s="2541"/>
      <c r="F14" s="2542"/>
      <c r="G14" s="974" t="s">
        <v>1175</v>
      </c>
      <c r="H14" s="972"/>
      <c r="I14" s="972"/>
      <c r="J14" s="972"/>
      <c r="K14" s="972"/>
      <c r="L14" s="973"/>
    </row>
    <row r="15" spans="1:29" ht="13.5" customHeight="1" x14ac:dyDescent="0.2">
      <c r="A15" s="2528" t="str">
        <f>COVER!A21</f>
        <v>Eligin</v>
      </c>
      <c r="B15" s="2541"/>
      <c r="C15" s="2541"/>
      <c r="D15" s="2541"/>
      <c r="E15" s="2541"/>
      <c r="F15" s="2542"/>
      <c r="G15" s="2538" t="str">
        <f>COVER!T15</f>
        <v>Katie Barry</v>
      </c>
      <c r="H15" s="2539"/>
      <c r="I15" s="2539"/>
      <c r="J15" s="2539"/>
      <c r="K15" s="2539"/>
      <c r="L15" s="2540"/>
    </row>
    <row r="16" spans="1:29" ht="12.2" customHeight="1" x14ac:dyDescent="0.2">
      <c r="A16" s="2518" t="str">
        <f>COVER!A25</f>
        <v>60120-6543</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f>COVER!T21</f>
        <v>3126344415</v>
      </c>
      <c r="H18" s="2516"/>
      <c r="I18" s="2516"/>
      <c r="J18" s="2516"/>
      <c r="K18" s="2515">
        <f>COVER!X21</f>
        <v>3126345523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3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1.1"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1.1"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pageSetUpPr fitToPage="1"/>
  </sheetPr>
  <dimension ref="A1:K127"/>
  <sheetViews>
    <sheetView showGridLines="0" topLeftCell="A16" zoomScale="125" zoomScaleNormal="125" workbookViewId="0">
      <selection activeCell="Q20" sqref="Q20"/>
    </sheetView>
  </sheetViews>
  <sheetFormatPr defaultColWidth="10.5703125" defaultRowHeight="11.25" x14ac:dyDescent="0.2"/>
  <cols>
    <col min="1" max="1" width="1.5703125" style="994" customWidth="1"/>
    <col min="2" max="2" width="2.5703125" style="998" customWidth="1"/>
    <col min="3" max="3" width="3.42578125" style="1008" customWidth="1"/>
    <col min="4" max="4" width="97.5703125" style="998" customWidth="1"/>
    <col min="5" max="5" width="4.140625" style="998" customWidth="1"/>
    <col min="6" max="16384" width="10.5703125" style="998"/>
  </cols>
  <sheetData>
    <row r="1" spans="1:11" s="991" customFormat="1" ht="12.75" x14ac:dyDescent="0.2">
      <c r="A1" s="2557" t="str">
        <f>'Single Audit Cover'!A7</f>
        <v xml:space="preserve"> Northern Kane Reg Voc System</v>
      </c>
      <c r="B1" s="2558"/>
      <c r="C1" s="2558"/>
      <c r="D1" s="2558"/>
    </row>
    <row r="2" spans="1:11" s="991" customFormat="1" ht="12.75" x14ac:dyDescent="0.2">
      <c r="A2" s="2559">
        <f>'Single Audit Cover'!E7</f>
        <v>31045046046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14999847407452621"/>
  </sheetPr>
  <dimension ref="A1:E49"/>
  <sheetViews>
    <sheetView showGridLines="0" zoomScale="110" zoomScaleNormal="110" zoomScaleSheetLayoutView="100" workbookViewId="0">
      <selection activeCell="Q20" sqref="Q20"/>
    </sheetView>
  </sheetViews>
  <sheetFormatPr defaultColWidth="15.5703125" defaultRowHeight="12.75" x14ac:dyDescent="0.2"/>
  <cols>
    <col min="1" max="1" width="31.85546875" style="295" customWidth="1"/>
    <col min="2" max="2" width="29.5703125" style="1034" customWidth="1"/>
    <col min="3" max="3" width="1.42578125" style="1034" customWidth="1"/>
    <col min="4" max="4" width="24.42578125" style="1035" customWidth="1"/>
    <col min="5" max="5" width="5" style="295" customWidth="1"/>
    <col min="6" max="16384" width="15.5703125" style="295"/>
  </cols>
  <sheetData>
    <row r="1" spans="1:5" x14ac:dyDescent="0.2">
      <c r="A1" s="2562" t="str">
        <f>'Single Audit Cover'!A7</f>
        <v xml:space="preserve"> Northern Kane Reg Voc System</v>
      </c>
      <c r="B1" s="2562"/>
      <c r="C1" s="2562"/>
      <c r="D1" s="2562"/>
      <c r="E1" s="2562"/>
    </row>
    <row r="2" spans="1:5" x14ac:dyDescent="0.2">
      <c r="A2" s="2563">
        <f>'Single Audit Cover'!E7</f>
        <v>31045046046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598111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598111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t="s">
        <v>2068</v>
      </c>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598111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598111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14999847407452621"/>
  </sheetPr>
  <dimension ref="B1:N152"/>
  <sheetViews>
    <sheetView showGridLines="0" topLeftCell="A7" zoomScaleNormal="100" workbookViewId="0">
      <selection activeCell="J24" sqref="J24"/>
    </sheetView>
  </sheetViews>
  <sheetFormatPr defaultColWidth="33.5703125" defaultRowHeight="12.75" x14ac:dyDescent="0.2"/>
  <cols>
    <col min="1" max="1" width="0.140625" style="295" customWidth="1"/>
    <col min="2" max="2" width="32.85546875" style="295" customWidth="1"/>
    <col min="3" max="3" width="8.5703125" style="1127" customWidth="1"/>
    <col min="4" max="4" width="12.5703125" style="1128" customWidth="1"/>
    <col min="5" max="6" width="11.5703125" style="295" customWidth="1"/>
    <col min="7" max="7" width="11.5703125" style="1034" customWidth="1"/>
    <col min="8" max="8" width="13.5703125" style="1034" bestFit="1" customWidth="1"/>
    <col min="9" max="9" width="11.5703125" style="1034" customWidth="1"/>
    <col min="10" max="10" width="13.5703125" style="1034" customWidth="1"/>
    <col min="11" max="12" width="11.5703125" style="1034" customWidth="1"/>
    <col min="13" max="13" width="11.5703125" style="295" customWidth="1"/>
    <col min="14" max="14" width="2.5703125" style="295" customWidth="1"/>
    <col min="15" max="16384" width="33.5703125" style="295"/>
  </cols>
  <sheetData>
    <row r="1" spans="2:14" ht="11.85" customHeight="1" x14ac:dyDescent="0.2">
      <c r="B1" s="2521" t="str">
        <f>'Single Audit Cover'!A7</f>
        <v xml:space="preserve"> Northern Kane Reg Voc System</v>
      </c>
      <c r="C1" s="2566"/>
      <c r="D1" s="2566"/>
      <c r="E1" s="2566"/>
      <c r="F1" s="2566"/>
      <c r="G1" s="2566"/>
      <c r="H1" s="2566"/>
      <c r="I1" s="2566"/>
      <c r="J1" s="2566"/>
      <c r="K1" s="2566"/>
      <c r="L1" s="2566"/>
      <c r="M1" s="2566"/>
    </row>
    <row r="2" spans="2:14" ht="15" x14ac:dyDescent="0.2">
      <c r="B2" s="2567">
        <f>'Single Audit Cover'!E7</f>
        <v>31045046046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2068</v>
      </c>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pageSetUpPr fitToPage="1"/>
  </sheetPr>
  <dimension ref="A1:G52"/>
  <sheetViews>
    <sheetView showGridLines="0" topLeftCell="A16" zoomScale="120" zoomScaleNormal="120" workbookViewId="0">
      <selection activeCell="H13" sqref="H13"/>
    </sheetView>
  </sheetViews>
  <sheetFormatPr defaultColWidth="8" defaultRowHeight="12.75" x14ac:dyDescent="0.2"/>
  <cols>
    <col min="1" max="1" width="1.42578125" style="295" customWidth="1"/>
    <col min="2" max="2" width="53.42578125" style="295" customWidth="1"/>
    <col min="3" max="3" width="14" style="1034" customWidth="1"/>
    <col min="4" max="4" width="16.5703125" style="1034" customWidth="1"/>
    <col min="5" max="5" width="7.5703125" style="295" customWidth="1"/>
    <col min="6" max="6" width="2.5703125" style="295" customWidth="1"/>
    <col min="7" max="7" width="3.42578125" style="295" customWidth="1"/>
    <col min="8" max="16384" width="8" style="295"/>
  </cols>
  <sheetData>
    <row r="1" spans="1:7" ht="13.5" customHeight="1" x14ac:dyDescent="0.2">
      <c r="A1" s="2571" t="str">
        <f>'Single Audit Cover'!A7</f>
        <v xml:space="preserve"> Northern Kane Reg Voc System</v>
      </c>
      <c r="B1" s="2571"/>
      <c r="C1" s="2571"/>
      <c r="D1" s="2571"/>
      <c r="E1" s="2571"/>
      <c r="F1" s="2571"/>
    </row>
    <row r="2" spans="1:7" ht="13.5" customHeight="1" x14ac:dyDescent="0.2">
      <c r="A2" s="2567">
        <f>'Single Audit Cover'!E7</f>
        <v>31045046046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2068</v>
      </c>
      <c r="C17" s="1061"/>
      <c r="D17" s="2574"/>
      <c r="E17" s="2574"/>
      <c r="F17" s="2574"/>
    </row>
    <row r="18" spans="1:6" ht="20.85" customHeight="1" x14ac:dyDescent="0.2">
      <c r="A18" s="1059"/>
      <c r="B18" s="1060"/>
      <c r="C18" s="1061"/>
      <c r="D18" s="2574"/>
      <c r="E18" s="2574"/>
      <c r="F18" s="2574"/>
    </row>
    <row r="19" spans="1:6" ht="20.85" customHeight="1" x14ac:dyDescent="0.2">
      <c r="A19" s="1059"/>
      <c r="B19" s="1060"/>
      <c r="C19" s="1061"/>
      <c r="D19" s="2574"/>
      <c r="E19" s="2574"/>
      <c r="F19" s="2574"/>
    </row>
    <row r="20" spans="1:6" ht="20.85" customHeight="1" x14ac:dyDescent="0.2">
      <c r="A20" s="1059"/>
      <c r="B20" s="1060"/>
      <c r="C20" s="1061"/>
      <c r="D20" s="2574"/>
      <c r="E20" s="2574"/>
      <c r="F20" s="2574"/>
    </row>
    <row r="21" spans="1:6" ht="20.85" customHeight="1" x14ac:dyDescent="0.2">
      <c r="A21" s="1059"/>
      <c r="B21" s="1060"/>
      <c r="C21" s="1061"/>
      <c r="D21" s="2574"/>
      <c r="E21" s="2574"/>
      <c r="F21" s="2574"/>
    </row>
    <row r="22" spans="1:6" ht="20.85" customHeight="1" x14ac:dyDescent="0.2">
      <c r="A22" s="1059"/>
      <c r="B22" s="1060"/>
      <c r="C22" s="1061"/>
      <c r="D22" s="2574"/>
      <c r="E22" s="2574"/>
      <c r="F22" s="2574"/>
    </row>
    <row r="23" spans="1:6" ht="20.85" customHeight="1" x14ac:dyDescent="0.2">
      <c r="A23" s="1059"/>
      <c r="B23" s="1060"/>
      <c r="C23" s="1061"/>
      <c r="D23" s="2574"/>
      <c r="E23" s="2574"/>
      <c r="F23" s="2574"/>
    </row>
    <row r="24" spans="1:6" ht="20.85" customHeight="1" x14ac:dyDescent="0.2">
      <c r="A24" s="1059"/>
      <c r="B24" s="1060"/>
      <c r="C24" s="1061"/>
      <c r="D24" s="2574"/>
      <c r="E24" s="2574"/>
      <c r="F24" s="2574"/>
    </row>
    <row r="25" spans="1:6" ht="20.85" customHeight="1" x14ac:dyDescent="0.2">
      <c r="A25" s="1059"/>
      <c r="B25" s="1060"/>
      <c r="C25" s="1061"/>
      <c r="D25" s="2574"/>
      <c r="E25" s="2574"/>
      <c r="F25" s="2574"/>
    </row>
    <row r="26" spans="1:6" ht="20.85" customHeight="1" x14ac:dyDescent="0.2">
      <c r="A26" s="1059"/>
      <c r="B26" s="1060"/>
      <c r="C26" s="1061"/>
      <c r="D26" s="2574"/>
      <c r="E26" s="2574"/>
      <c r="F26" s="2574"/>
    </row>
    <row r="27" spans="1:6" ht="20.85" customHeight="1" x14ac:dyDescent="0.2">
      <c r="A27" s="1059"/>
      <c r="B27" s="1060"/>
      <c r="C27" s="1061"/>
      <c r="D27" s="2574"/>
      <c r="E27" s="2574"/>
      <c r="F27" s="2574"/>
    </row>
    <row r="28" spans="1:6" ht="20.85" customHeight="1" x14ac:dyDescent="0.2">
      <c r="A28" s="1059"/>
      <c r="B28" s="1060"/>
      <c r="C28" s="1061"/>
      <c r="D28" s="2574"/>
      <c r="E28" s="2574"/>
      <c r="F28" s="2574"/>
    </row>
    <row r="29" spans="1:6" ht="20.8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sheetPr>
  <dimension ref="A1:K143"/>
  <sheetViews>
    <sheetView showGridLines="0" defaultGridColor="0" topLeftCell="A100" colorId="8" zoomScaleNormal="100" workbookViewId="0">
      <selection activeCell="J121" sqref="J1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570312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2065</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14999847407452621"/>
  </sheetPr>
  <dimension ref="A1:J63"/>
  <sheetViews>
    <sheetView showGridLines="0" topLeftCell="A46" zoomScale="110" zoomScaleNormal="110" workbookViewId="0">
      <selection activeCell="H13" sqref="H13"/>
    </sheetView>
  </sheetViews>
  <sheetFormatPr defaultColWidth="9.140625" defaultRowHeight="12.75" x14ac:dyDescent="0.2"/>
  <cols>
    <col min="1" max="1" width="1.42578125" style="1076" customWidth="1"/>
    <col min="2" max="2" width="24.42578125" style="1127" customWidth="1"/>
    <col min="3" max="3" width="29.5703125" style="295" customWidth="1"/>
    <col min="4" max="4" width="9.42578125" style="295" customWidth="1"/>
    <col min="5" max="5" width="5.42578125" style="1034" customWidth="1"/>
    <col min="6" max="8" width="5.425781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Northern Kane Reg Voc System</v>
      </c>
      <c r="C1" s="2587"/>
      <c r="D1" s="2587"/>
      <c r="E1" s="2587"/>
      <c r="F1" s="2587"/>
      <c r="G1" s="2587"/>
      <c r="H1" s="2587"/>
      <c r="I1" s="2587"/>
      <c r="J1" s="1178"/>
    </row>
    <row r="2" spans="2:10" s="295" customFormat="1" ht="12.75" customHeight="1" x14ac:dyDescent="0.2">
      <c r="B2" s="2588">
        <f>'Single Audit Cover'!E7</f>
        <v>31045046046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2068</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14999847407452621"/>
  </sheetPr>
  <dimension ref="A1:M41"/>
  <sheetViews>
    <sheetView showGridLines="0" zoomScale="110" zoomScaleNormal="110" workbookViewId="0">
      <selection activeCell="H13" sqref="H1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Northern Kane Reg Voc System</v>
      </c>
      <c r="C1" s="2586"/>
      <c r="D1" s="2586"/>
      <c r="E1" s="2586"/>
      <c r="F1" s="2586"/>
      <c r="G1" s="2586"/>
      <c r="H1" s="2586"/>
      <c r="I1" s="2586"/>
      <c r="J1" s="2586"/>
      <c r="K1" s="2586"/>
      <c r="L1" s="1144"/>
      <c r="M1" s="1144"/>
    </row>
    <row r="2" spans="1:13" ht="12" customHeight="1" x14ac:dyDescent="0.2">
      <c r="B2" s="2588">
        <f>'Single Audit Cover'!E7</f>
        <v>31045046046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2069</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14999847407452621"/>
  </sheetPr>
  <dimension ref="A1:L48"/>
  <sheetViews>
    <sheetView showGridLines="0" zoomScale="110" zoomScaleNormal="110" workbookViewId="0">
      <selection activeCell="H13" sqref="H13"/>
    </sheetView>
  </sheetViews>
  <sheetFormatPr defaultColWidth="9.140625" defaultRowHeight="12.75" x14ac:dyDescent="0.2"/>
  <cols>
    <col min="1" max="1" width="1.5703125" style="295" customWidth="1"/>
    <col min="2" max="2" width="21.5703125" style="295" customWidth="1"/>
    <col min="3" max="3" width="6.140625" style="295" customWidth="1"/>
    <col min="4" max="4" width="4.5703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Northern Kane Reg Voc System</v>
      </c>
      <c r="C1" s="2613"/>
      <c r="D1" s="2613"/>
      <c r="E1" s="2613"/>
      <c r="F1" s="2613"/>
      <c r="G1" s="2613"/>
      <c r="H1" s="2613"/>
      <c r="I1" s="2613"/>
      <c r="J1" s="2613"/>
      <c r="K1" s="2613"/>
      <c r="L1" s="1221"/>
    </row>
    <row r="2" spans="1:12" ht="12.75" customHeight="1" x14ac:dyDescent="0.2">
      <c r="B2" s="2614">
        <f>'Single Audit Cover'!E7</f>
        <v>31045046046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6"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6"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t="s">
        <v>2068</v>
      </c>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14999847407452621"/>
  </sheetPr>
  <dimension ref="B1:E73"/>
  <sheetViews>
    <sheetView showGridLines="0" zoomScale="110" zoomScaleNormal="110" workbookViewId="0">
      <selection activeCell="H13" sqref="H13"/>
    </sheetView>
  </sheetViews>
  <sheetFormatPr defaultColWidth="9.140625" defaultRowHeight="12.75" x14ac:dyDescent="0.2"/>
  <cols>
    <col min="1" max="1" width="1.5703125" style="295" customWidth="1"/>
    <col min="2" max="2" width="14.5703125" style="295" customWidth="1"/>
    <col min="3" max="3" width="40.5703125" style="295" customWidth="1"/>
    <col min="4" max="4" width="42.42578125" style="295" customWidth="1"/>
    <col min="5" max="5" width="8.140625" style="295" customWidth="1"/>
    <col min="6" max="9" width="9.140625" style="295"/>
    <col min="10" max="10" width="6.5703125" style="295" customWidth="1"/>
    <col min="11" max="16384" width="9.140625" style="295"/>
  </cols>
  <sheetData>
    <row r="1" spans="2:5" s="1058" customFormat="1" ht="12.75" customHeight="1" x14ac:dyDescent="0.2">
      <c r="B1" s="2586" t="str">
        <f>'Single Audit Cover'!A7</f>
        <v xml:space="preserve"> Northern Kane Reg Voc System</v>
      </c>
      <c r="C1" s="2586"/>
      <c r="D1" s="2586"/>
      <c r="E1" s="1240"/>
    </row>
    <row r="2" spans="2:5" s="1058" customFormat="1" ht="12.75" customHeight="1" x14ac:dyDescent="0.2">
      <c r="B2" s="2588">
        <f>'Single Audit Cover'!E7</f>
        <v>31045046046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3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2069</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14999847407452621"/>
  </sheetPr>
  <dimension ref="A1:N72"/>
  <sheetViews>
    <sheetView showGridLines="0" defaultGridColor="0" colorId="8" zoomScale="110" zoomScaleNormal="110" workbookViewId="0">
      <selection activeCell="Q16" sqref="Q16"/>
    </sheetView>
  </sheetViews>
  <sheetFormatPr defaultColWidth="9.140625" defaultRowHeight="12" x14ac:dyDescent="0.2"/>
  <cols>
    <col min="1" max="1" width="4.85546875" style="217" customWidth="1"/>
    <col min="2" max="2" width="2.5703125" style="325" customWidth="1"/>
    <col min="3" max="3" width="3.5703125" style="325" customWidth="1"/>
    <col min="4" max="4" width="14.5703125" style="325" customWidth="1"/>
    <col min="5" max="5" width="2.5703125" style="325" customWidth="1"/>
    <col min="6" max="6" width="14.5703125" style="325" customWidth="1"/>
    <col min="7" max="7" width="4" style="325" customWidth="1"/>
    <col min="8" max="8" width="14.5703125" style="325" customWidth="1"/>
    <col min="9" max="9" width="2.5703125" style="325" customWidth="1"/>
    <col min="10" max="10" width="14.5703125" style="325" customWidth="1"/>
    <col min="11" max="11" width="2.5703125" style="325" customWidth="1"/>
    <col min="12" max="12" width="14.5703125" style="325" customWidth="1"/>
    <col min="13" max="13" width="2.5703125" style="325" customWidth="1"/>
    <col min="14" max="14" width="3.5703125" style="217" customWidth="1"/>
    <col min="15" max="15" width="4.5703125" style="325" customWidth="1"/>
    <col min="16" max="17" width="5.570312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1437257</v>
      </c>
      <c r="E16" s="1547"/>
      <c r="F16" s="1546">
        <f>SUM('Acct Summary 7-8'!C17,'Acct Summary 7-8'!D17,'Acct Summary 7-8'!F17)</f>
        <v>1353883</v>
      </c>
      <c r="G16" s="1547"/>
      <c r="H16" s="1546">
        <f>SUM(D16-F16)</f>
        <v>83374</v>
      </c>
      <c r="I16" s="1548"/>
      <c r="J16" s="1546">
        <f>SUM('Acct Summary 7-8'!C81,'Acct Summary 7-8'!D81,'Acct Summary 7-8'!F81,'Acct Summary 7-8'!I81)</f>
        <v>770840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14999847407452621"/>
  </sheetPr>
  <dimension ref="A1:R44"/>
  <sheetViews>
    <sheetView showGridLines="0" zoomScale="110" zoomScaleNormal="110" workbookViewId="0">
      <selection activeCell="Q16" sqref="Q16"/>
    </sheetView>
  </sheetViews>
  <sheetFormatPr defaultColWidth="9.140625" defaultRowHeight="12" x14ac:dyDescent="0.2"/>
  <cols>
    <col min="1" max="1" width="2" style="362" customWidth="1"/>
    <col min="2" max="2" width="2.5703125" style="411" customWidth="1"/>
    <col min="3" max="3" width="15.42578125" style="362" customWidth="1"/>
    <col min="4" max="4" width="37.85546875" style="362" customWidth="1"/>
    <col min="5" max="5" width="1.5703125" style="362" customWidth="1"/>
    <col min="6" max="6" width="31.140625" style="362" customWidth="1"/>
    <col min="7" max="7" width="1.5703125" style="362" customWidth="1"/>
    <col min="8" max="8" width="15.5703125" style="413" customWidth="1"/>
    <col min="9" max="9" width="2.5703125" style="362" customWidth="1"/>
    <col min="10" max="10" width="5.85546875" style="362" hidden="1" customWidth="1"/>
    <col min="11" max="11" width="10.5703125" style="413" customWidth="1"/>
    <col min="12" max="12" width="2.5703125" style="362" customWidth="1"/>
    <col min="13" max="13" width="10.5703125" style="362" customWidth="1"/>
    <col min="14" max="14" width="2.5703125" style="362" customWidth="1"/>
    <col min="15" max="15" width="10.5703125" style="362" customWidth="1"/>
    <col min="16" max="16" width="0.85546875" style="362" customWidth="1"/>
    <col min="17" max="18" width="2.570312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Northern Kane Reg Voc System</v>
      </c>
      <c r="E7" s="368"/>
      <c r="G7" s="247"/>
      <c r="H7" s="364"/>
      <c r="I7" s="364"/>
      <c r="J7" s="364"/>
      <c r="K7" s="364"/>
      <c r="L7" s="307"/>
      <c r="M7" s="307"/>
      <c r="N7" s="307"/>
      <c r="O7" s="307"/>
      <c r="P7" s="307"/>
    </row>
    <row r="8" spans="1:18" ht="12.75" x14ac:dyDescent="0.2">
      <c r="A8" s="307"/>
      <c r="B8" s="307"/>
      <c r="C8" s="366" t="s">
        <v>1115</v>
      </c>
      <c r="D8" s="369">
        <f>COVER!A13</f>
        <v>31045046046</v>
      </c>
      <c r="E8" s="370"/>
      <c r="G8" s="307"/>
      <c r="H8" s="307"/>
      <c r="I8" s="307"/>
      <c r="J8" s="307"/>
      <c r="K8" s="307"/>
      <c r="L8" s="307"/>
      <c r="M8" s="307"/>
      <c r="N8" s="307"/>
      <c r="O8" s="307"/>
      <c r="P8" s="307"/>
    </row>
    <row r="9" spans="1:18" ht="12.75" x14ac:dyDescent="0.2">
      <c r="A9" s="307"/>
      <c r="B9" s="307"/>
      <c r="C9" s="366" t="s">
        <v>708</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770840</v>
      </c>
      <c r="I12" s="380"/>
      <c r="J12" s="380"/>
      <c r="K12" s="1559">
        <f>TRUNC((H12/H13*100000),5)/100000</f>
        <v>0.53632718430000004</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1437257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1353883</v>
      </c>
      <c r="I17" s="380"/>
      <c r="J17" s="389"/>
      <c r="K17" s="1559">
        <f>TRUNC((H17/H18*100000),5)/100000</f>
        <v>0.94199088950000009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1437257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770840</v>
      </c>
      <c r="I24" s="394"/>
      <c r="J24" s="394"/>
      <c r="K24" s="1555">
        <f>TRUNC(((H24/H25*100000)/100000),2)</f>
        <v>204.96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3760.78611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14999847407452621"/>
  </sheetPr>
  <dimension ref="A1:N44"/>
  <sheetViews>
    <sheetView showGridLines="0" defaultGridColor="0" colorId="8" zoomScale="110" zoomScaleNormal="110" workbookViewId="0">
      <pane ySplit="2" topLeftCell="A3" activePane="bottomLeft" state="frozen"/>
      <selection activeCell="Q16" sqref="Q16"/>
      <selection pane="bottomLeft" activeCell="Q16" sqref="Q16"/>
    </sheetView>
  </sheetViews>
  <sheetFormatPr defaultColWidth="9.140625" defaultRowHeight="12.75" x14ac:dyDescent="0.2"/>
  <cols>
    <col min="1" max="1" width="47.42578125" style="441" customWidth="1"/>
    <col min="2" max="2" width="4.5703125" style="442" customWidth="1"/>
    <col min="3" max="14" width="13.570312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770840</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770840</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f>'Acct Summary 7-8'!C81</f>
        <v>770840</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770840</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M87"/>
  <sheetViews>
    <sheetView showGridLines="0" defaultGridColor="0" colorId="8" zoomScale="110" zoomScaleNormal="110" zoomScaleSheetLayoutView="100" workbookViewId="0">
      <pane ySplit="2" topLeftCell="A54" activePane="bottomLeft" state="frozen"/>
      <selection activeCell="Q16" sqref="Q16"/>
      <selection pane="bottomLeft" activeCell="Q16" sqref="Q16"/>
    </sheetView>
  </sheetViews>
  <sheetFormatPr defaultColWidth="9.140625" defaultRowHeight="12.75" x14ac:dyDescent="0.2"/>
  <cols>
    <col min="1" max="1" width="55.85546875" style="441" customWidth="1"/>
    <col min="2" max="2" width="4.5703125" style="442" customWidth="1"/>
    <col min="3" max="11" width="13.570312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839146</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598111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1437257</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1437257</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75652</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135280</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1142951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1353883</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1353883</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83374</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83374</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687466</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770840</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83374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0.10815992942763739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A1:L279"/>
  <sheetViews>
    <sheetView showGridLines="0" defaultGridColor="0" colorId="8" zoomScale="110" zoomScaleNormal="110" zoomScaleSheetLayoutView="75" workbookViewId="0">
      <pane ySplit="2" topLeftCell="A203" activePane="bottomLeft" state="frozen"/>
      <selection activeCell="Q16" sqref="Q16"/>
      <selection pane="bottomLeft" activeCell="C220" sqref="C220"/>
    </sheetView>
  </sheetViews>
  <sheetFormatPr defaultColWidth="9.140625" defaultRowHeight="12.75" x14ac:dyDescent="0.2"/>
  <cols>
    <col min="1" max="1" width="54.140625" style="490" customWidth="1"/>
    <col min="2" max="2" width="4.5703125" style="491" customWidth="1"/>
    <col min="3" max="11" width="13.570312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839146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839146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839146</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839146</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598111</v>
      </c>
      <c r="D220" s="1573"/>
      <c r="E220" s="1575"/>
      <c r="F220" s="1575"/>
      <c r="G220" s="1573"/>
      <c r="H220" s="1575"/>
      <c r="I220" s="1575"/>
      <c r="J220" s="1575"/>
      <c r="K220" s="1575"/>
    </row>
    <row r="221" spans="1:11" ht="12.75" customHeight="1" thickBot="1" x14ac:dyDescent="0.25">
      <c r="A221" s="1415" t="s">
        <v>1076</v>
      </c>
      <c r="B221" s="1416"/>
      <c r="C221" s="1633">
        <f>SUM(C219:C220)</f>
        <v>598111</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598111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598111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1437257</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sheetPr>
  <dimension ref="A1:N368"/>
  <sheetViews>
    <sheetView showGridLines="0" defaultGridColor="0" colorId="8" zoomScale="110" zoomScaleNormal="110" workbookViewId="0">
      <pane ySplit="2" topLeftCell="A84" activePane="bottomLeft" state="frozen"/>
      <selection pane="bottomLeft" activeCell="B89" sqref="B89"/>
    </sheetView>
  </sheetViews>
  <sheetFormatPr defaultColWidth="9.140625" defaultRowHeight="12.75" x14ac:dyDescent="0.2"/>
  <cols>
    <col min="1" max="1" width="48.5703125" style="574" customWidth="1"/>
    <col min="2" max="2" width="5" style="575" customWidth="1"/>
    <col min="3" max="8" width="13.42578125" style="501" customWidth="1"/>
    <col min="9" max="10" width="13.42578125" style="321" customWidth="1"/>
    <col min="11" max="11" width="13.425781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v>6982</v>
      </c>
      <c r="G13" s="1573"/>
      <c r="H13" s="1573"/>
      <c r="I13" s="1574">
        <v>68670</v>
      </c>
      <c r="J13" s="1574"/>
      <c r="K13" s="1672">
        <f t="shared" si="0"/>
        <v>75652</v>
      </c>
      <c r="L13" s="1573">
        <v>101730</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0</v>
      </c>
      <c r="F33" s="1674">
        <f t="shared" si="1"/>
        <v>6982</v>
      </c>
      <c r="G33" s="1674">
        <f t="shared" si="1"/>
        <v>0</v>
      </c>
      <c r="H33" s="1674">
        <f t="shared" si="1"/>
        <v>0</v>
      </c>
      <c r="I33" s="1674">
        <f t="shared" si="1"/>
        <v>68670</v>
      </c>
      <c r="J33" s="1674">
        <f t="shared" si="1"/>
        <v>0</v>
      </c>
      <c r="K33" s="1674">
        <f t="shared" si="1"/>
        <v>75652</v>
      </c>
      <c r="L33" s="1674">
        <f t="shared" si="1"/>
        <v>101730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54459</v>
      </c>
      <c r="D37" s="1573">
        <v>18932</v>
      </c>
      <c r="E37" s="1573">
        <v>14388</v>
      </c>
      <c r="F37" s="1573">
        <v>954</v>
      </c>
      <c r="G37" s="1573"/>
      <c r="H37" s="1573"/>
      <c r="I37" s="1574"/>
      <c r="J37" s="1574"/>
      <c r="K37" s="1672">
        <f t="shared" si="2"/>
        <v>88733</v>
      </c>
      <c r="L37" s="1573">
        <v>60479</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54459</v>
      </c>
      <c r="D42" s="1674">
        <f t="shared" ref="D42:L42" si="3">SUM(D36:D41)</f>
        <v>18932</v>
      </c>
      <c r="E42" s="1674">
        <f t="shared" si="3"/>
        <v>14388</v>
      </c>
      <c r="F42" s="1674">
        <f t="shared" si="3"/>
        <v>954</v>
      </c>
      <c r="G42" s="1674">
        <f t="shared" si="3"/>
        <v>0</v>
      </c>
      <c r="H42" s="1674">
        <f t="shared" si="3"/>
        <v>0</v>
      </c>
      <c r="I42" s="1674">
        <f t="shared" si="3"/>
        <v>0</v>
      </c>
      <c r="J42" s="1674">
        <f t="shared" si="3"/>
        <v>0</v>
      </c>
      <c r="K42" s="1674">
        <f t="shared" si="3"/>
        <v>88733</v>
      </c>
      <c r="L42" s="1674">
        <f t="shared" si="3"/>
        <v>60479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4384</v>
      </c>
      <c r="D44" s="1586">
        <v>1474</v>
      </c>
      <c r="E44" s="1586">
        <v>34072</v>
      </c>
      <c r="F44" s="1586"/>
      <c r="G44" s="1586"/>
      <c r="H44" s="1586"/>
      <c r="I44" s="1574"/>
      <c r="J44" s="1574"/>
      <c r="K44" s="1678">
        <f>SUM(C44:J44)</f>
        <v>39930</v>
      </c>
      <c r="L44" s="1586">
        <v>142830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4384</v>
      </c>
      <c r="D47" s="1674">
        <f t="shared" ref="D47:K47" si="4">SUM(D44:D46)</f>
        <v>1474</v>
      </c>
      <c r="E47" s="1674">
        <f t="shared" si="4"/>
        <v>34072</v>
      </c>
      <c r="F47" s="1674">
        <f t="shared" si="4"/>
        <v>0</v>
      </c>
      <c r="G47" s="1674">
        <f t="shared" si="4"/>
        <v>0</v>
      </c>
      <c r="H47" s="1674">
        <f t="shared" si="4"/>
        <v>0</v>
      </c>
      <c r="I47" s="1674">
        <f t="shared" si="4"/>
        <v>0</v>
      </c>
      <c r="J47" s="1674">
        <f t="shared" si="4"/>
        <v>0</v>
      </c>
      <c r="K47" s="1674">
        <f t="shared" si="4"/>
        <v>39930</v>
      </c>
      <c r="L47" s="1674">
        <f>SUM(L44:L46)</f>
        <v>142830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v>6617</v>
      </c>
      <c r="F51" s="1573"/>
      <c r="G51" s="1573"/>
      <c r="H51" s="1573"/>
      <c r="I51" s="1574"/>
      <c r="J51" s="1574"/>
      <c r="K51" s="1678">
        <f>SUM(C51:J51)</f>
        <v>6617</v>
      </c>
      <c r="L51" s="1573">
        <v>28096</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0</v>
      </c>
      <c r="D53" s="1674">
        <f t="shared" ref="D53:L53" si="5">SUM(D49:D52)</f>
        <v>0</v>
      </c>
      <c r="E53" s="1674">
        <f t="shared" si="5"/>
        <v>6617</v>
      </c>
      <c r="F53" s="1674">
        <f t="shared" si="5"/>
        <v>0</v>
      </c>
      <c r="G53" s="1674">
        <f t="shared" si="5"/>
        <v>0</v>
      </c>
      <c r="H53" s="1674">
        <f t="shared" si="5"/>
        <v>0</v>
      </c>
      <c r="I53" s="1674">
        <f t="shared" si="5"/>
        <v>0</v>
      </c>
      <c r="J53" s="1674">
        <f t="shared" si="5"/>
        <v>0</v>
      </c>
      <c r="K53" s="1674">
        <f t="shared" si="5"/>
        <v>6617</v>
      </c>
      <c r="L53" s="1674">
        <f t="shared" si="5"/>
        <v>28096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58843</v>
      </c>
      <c r="D74" s="1681">
        <f t="shared" ref="D74:K74" si="10">SUM(D42,D47,D53,D57,D65,D72,D73)</f>
        <v>20406</v>
      </c>
      <c r="E74" s="1681">
        <f t="shared" si="10"/>
        <v>55077</v>
      </c>
      <c r="F74" s="1681">
        <f t="shared" si="10"/>
        <v>954</v>
      </c>
      <c r="G74" s="1681">
        <f t="shared" si="10"/>
        <v>0</v>
      </c>
      <c r="H74" s="1681">
        <f t="shared" si="10"/>
        <v>0</v>
      </c>
      <c r="I74" s="1681">
        <f t="shared" si="10"/>
        <v>0</v>
      </c>
      <c r="J74" s="1681">
        <f t="shared" si="10"/>
        <v>0</v>
      </c>
      <c r="K74" s="1681">
        <f t="shared" si="10"/>
        <v>135280</v>
      </c>
      <c r="L74" s="1681">
        <f>SUM(L42,L47,L53,L57,L65,L72,L73)</f>
        <v>231405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1142951</v>
      </c>
      <c r="I81" s="1582"/>
      <c r="J81" s="1582"/>
      <c r="K81" s="1672">
        <f t="shared" si="11"/>
        <v>1142951</v>
      </c>
      <c r="L81" s="1573">
        <v>1457465</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1142951</v>
      </c>
      <c r="I84" s="1582"/>
      <c r="J84" s="1582"/>
      <c r="K84" s="1674">
        <f>SUM(K78:K83)</f>
        <v>1142951</v>
      </c>
      <c r="L84" s="1674">
        <f>SUM(L78:L83)</f>
        <v>1457465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1142951</v>
      </c>
      <c r="I102" s="1582"/>
      <c r="J102" s="1582"/>
      <c r="K102" s="1681">
        <f>SUM(K84,K92,K100,K101)</f>
        <v>1142951</v>
      </c>
      <c r="L102" s="1681">
        <f>SUM(L84,L92,L100,L101)</f>
        <v>1457465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58843</v>
      </c>
      <c r="D114" s="1674">
        <f t="shared" ref="D114:K114" si="13">SUM(D33,D74,D75,D102,D112,D113)</f>
        <v>20406</v>
      </c>
      <c r="E114" s="1674">
        <f t="shared" si="13"/>
        <v>55077</v>
      </c>
      <c r="F114" s="1674">
        <f t="shared" si="13"/>
        <v>7936</v>
      </c>
      <c r="G114" s="1674">
        <f t="shared" si="13"/>
        <v>0</v>
      </c>
      <c r="H114" s="1674">
        <f>SUM(H33,H74,H75,H102,H112,H113)</f>
        <v>1142951</v>
      </c>
      <c r="I114" s="1674">
        <f t="shared" si="13"/>
        <v>68670</v>
      </c>
      <c r="J114" s="1674">
        <f t="shared" si="13"/>
        <v>0</v>
      </c>
      <c r="K114" s="1674">
        <f t="shared" si="13"/>
        <v>1353883</v>
      </c>
      <c r="L114" s="1674">
        <f>SUM(L33,L74,L75,L102,L112,L113)</f>
        <v>1790600</v>
      </c>
    </row>
    <row r="115" spans="1:14" ht="13.5" thickTop="1" x14ac:dyDescent="0.2">
      <c r="A115" s="2261" t="s">
        <v>989</v>
      </c>
      <c r="B115" s="2262"/>
      <c r="C115" s="1675"/>
      <c r="D115" s="1675"/>
      <c r="E115" s="1675"/>
      <c r="F115" s="1675"/>
      <c r="G115" s="1675"/>
      <c r="H115" s="1675"/>
      <c r="I115" s="1675"/>
      <c r="J115" s="1675"/>
      <c r="K115" s="1689">
        <f>'Revenues 9-14'!C268-'Expenditures 15-22'!K114</f>
        <v>83374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6ce3111e-7420-4802-b50a-75d4e9a0b980"/>
    <ds:schemaRef ds:uri="http://schemas.openxmlformats.org/package/2006/metadata/core-properties"/>
    <ds:schemaRef ds:uri="http://schemas.microsoft.com/office/infopath/2007/PartnerControls"/>
    <ds:schemaRef ds:uri="http://purl.org/dc/dcmitype/"/>
    <ds:schemaRef ds:uri="http://purl.org/dc/elements/1.1/"/>
    <ds:schemaRef ds:uri="4d435f69-8686-490b-bd6d-b153bf22ab50"/>
    <ds:schemaRef ds:uri="http://schemas.microsoft.com/sharepoint/v3"/>
    <ds:schemaRef ds:uri="d21dc803-237d-4c68-8692-8d731fd2911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2020-12-17T19:01:42Z</cp:lastPrinted>
  <dcterms:created xsi:type="dcterms:W3CDTF">2003-10-29T19:06:34Z</dcterms:created>
  <dcterms:modified xsi:type="dcterms:W3CDTF">2020-12-21T20:24:44Z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