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CCED913-6ACE-4F75-B659-39285EC368C7}" xr6:coauthVersionLast="36" xr6:coauthVersionMax="36" xr10:uidLastSave="{00000000-0000-0000-0000-000000000000}"/>
  <bookViews>
    <workbookView xWindow="-60" yWindow="-60" windowWidth="28920" windowHeight="15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77" i="183" l="1"/>
  <c r="F76" i="183"/>
  <c r="F75" i="183"/>
  <c r="F73" i="183"/>
  <c r="F72" i="183"/>
  <c r="F71" i="183"/>
  <c r="F70" i="183"/>
  <c r="F69" i="183"/>
  <c r="F68" i="183"/>
  <c r="F67" i="183"/>
  <c r="F66" i="183"/>
  <c r="F65" i="183"/>
  <c r="F63" i="183"/>
  <c r="F62" i="183"/>
  <c r="F61" i="183"/>
  <c r="F59" i="183"/>
  <c r="F58" i="183"/>
  <c r="F57" i="183"/>
  <c r="F55" i="183"/>
  <c r="F54" i="183"/>
  <c r="F52" i="183"/>
  <c r="F51" i="183"/>
  <c r="F50" i="183"/>
  <c r="F48" i="183"/>
  <c r="F47" i="183"/>
  <c r="F46" i="183"/>
  <c r="F45" i="183"/>
  <c r="F44" i="183"/>
  <c r="F42" i="183"/>
  <c r="F41" i="183"/>
  <c r="F38" i="183"/>
  <c r="F37" i="183"/>
  <c r="F36" i="183"/>
  <c r="F35" i="183"/>
  <c r="F34" i="183"/>
  <c r="F31" i="183"/>
  <c r="F30" i="183"/>
  <c r="F29" i="183"/>
  <c r="F28" i="183"/>
  <c r="F26" i="183"/>
  <c r="F25" i="183"/>
  <c r="F23" i="183"/>
  <c r="F22" i="183"/>
  <c r="F21" i="183"/>
  <c r="F20" i="183"/>
  <c r="F19" i="183"/>
  <c r="E77" i="183"/>
  <c r="E76" i="183"/>
  <c r="E75" i="183"/>
  <c r="E74" i="183"/>
  <c r="F74" i="183" s="1"/>
  <c r="E73" i="183"/>
  <c r="E72" i="183"/>
  <c r="E71" i="183"/>
  <c r="E70" i="183"/>
  <c r="E69" i="183"/>
  <c r="E68" i="183"/>
  <c r="E67" i="183"/>
  <c r="E66" i="183"/>
  <c r="E65" i="183"/>
  <c r="E64" i="183"/>
  <c r="F64" i="183" s="1"/>
  <c r="E63" i="183"/>
  <c r="E62" i="183"/>
  <c r="E61" i="183"/>
  <c r="E60" i="183"/>
  <c r="F60" i="183" s="1"/>
  <c r="E59" i="183"/>
  <c r="E58" i="183"/>
  <c r="E57" i="183"/>
  <c r="E56" i="183"/>
  <c r="F56" i="183" s="1"/>
  <c r="E55" i="183"/>
  <c r="E54" i="183"/>
  <c r="E53" i="183"/>
  <c r="F53" i="183" s="1"/>
  <c r="E52" i="183"/>
  <c r="E51" i="183"/>
  <c r="E50" i="183"/>
  <c r="E49" i="183"/>
  <c r="F49" i="183" s="1"/>
  <c r="E48" i="183"/>
  <c r="E47" i="183"/>
  <c r="E46" i="183"/>
  <c r="E45" i="183"/>
  <c r="E44" i="183"/>
  <c r="E43" i="183"/>
  <c r="F43" i="183" s="1"/>
  <c r="E42" i="183"/>
  <c r="E41" i="183"/>
  <c r="E40" i="183"/>
  <c r="F40" i="183" s="1"/>
  <c r="E39" i="183"/>
  <c r="F39" i="183" s="1"/>
  <c r="E38" i="183"/>
  <c r="E37" i="183"/>
  <c r="E36" i="183"/>
  <c r="E35" i="183"/>
  <c r="E34" i="183"/>
  <c r="E33" i="183"/>
  <c r="F33" i="183" s="1"/>
  <c r="E32" i="183"/>
  <c r="F32" i="183" s="1"/>
  <c r="E31" i="183"/>
  <c r="E30" i="183"/>
  <c r="E29" i="183"/>
  <c r="E28" i="183"/>
  <c r="E27" i="183"/>
  <c r="F27" i="183" s="1"/>
  <c r="E26" i="183"/>
  <c r="E25" i="183"/>
  <c r="E24" i="183"/>
  <c r="F24" i="183" s="1"/>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78" i="183" l="1"/>
  <c r="A15" i="183"/>
  <c r="D82" i="36" l="1"/>
  <c r="F78" i="183"/>
  <c r="E7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3" i="127"/>
  <c r="B64" i="127"/>
  <c r="G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F52" i="34" l="1"/>
  <c r="B7831" i="106" s="1"/>
  <c r="D7831" i="106" s="1"/>
  <c r="D69" i="36"/>
  <c r="D22" i="37"/>
  <c r="H28" i="118"/>
  <c r="B7047" i="106"/>
  <c r="D7047" i="106" s="1"/>
  <c r="L22" i="37"/>
  <c r="F77" i="4"/>
  <c r="B3255" i="106" s="1"/>
  <c r="D3255" i="106" s="1"/>
  <c r="D24" i="37"/>
  <c r="B4270" i="106" s="1"/>
  <c r="D4270" i="106" s="1"/>
  <c r="D36" i="108"/>
  <c r="G30" i="108"/>
  <c r="B1274" i="106"/>
  <c r="D1274" i="106" s="1"/>
  <c r="G35" i="108"/>
  <c r="F37" i="34"/>
  <c r="B7829" i="106" s="1"/>
  <c r="D7829" i="106" s="1"/>
  <c r="F42" i="34"/>
  <c r="B6289" i="106"/>
  <c r="D6289" i="106" s="1"/>
  <c r="F50" i="34"/>
  <c r="D14" i="4"/>
  <c r="B2570" i="106" s="1"/>
  <c r="D2570" i="106" s="1"/>
  <c r="J210" i="29"/>
  <c r="B7072" i="106" s="1"/>
  <c r="D7072" i="106" s="1"/>
  <c r="F64" i="34"/>
  <c r="F56" i="34"/>
  <c r="B7832" i="106" s="1"/>
  <c r="D7832" i="106" s="1"/>
  <c r="F67" i="34"/>
  <c r="F69" i="34"/>
  <c r="F34" i="34"/>
  <c r="B7826" i="106" s="1"/>
  <c r="D7826" i="106" s="1"/>
  <c r="H342" i="29"/>
  <c r="B7221" i="106" s="1"/>
  <c r="D7221" i="106" s="1"/>
  <c r="F72" i="34"/>
  <c r="G14" i="4"/>
  <c r="B2609" i="106" s="1"/>
  <c r="D2609" i="106" s="1"/>
  <c r="F71" i="34"/>
  <c r="H76" i="4"/>
  <c r="B3298" i="106" s="1"/>
  <c r="D3298" i="106" s="1"/>
  <c r="G39" i="108"/>
  <c r="E34" i="108"/>
  <c r="I129" i="29"/>
  <c r="B7037" i="106" s="1"/>
  <c r="D7037" i="106" s="1"/>
  <c r="B2724" i="106"/>
  <c r="D2724" i="106" s="1"/>
  <c r="F70" i="34"/>
  <c r="B6995" i="106"/>
  <c r="D6995" i="106" s="1"/>
  <c r="H365" i="29"/>
  <c r="B7242" i="106" s="1"/>
  <c r="D7242" i="106" s="1"/>
  <c r="B2836" i="106"/>
  <c r="D2836" i="106" s="1"/>
  <c r="D68" i="36"/>
  <c r="H15" i="184"/>
  <c r="F36" i="34"/>
  <c r="B7828" i="106" s="1"/>
  <c r="D7828" i="106" s="1"/>
  <c r="I210" i="29"/>
  <c r="B7071" i="106" s="1"/>
  <c r="D7071" i="106" s="1"/>
  <c r="F68" i="34"/>
  <c r="F36" i="108"/>
  <c r="B7126" i="106"/>
  <c r="D7126" i="106" s="1"/>
  <c r="E57" i="184"/>
  <c r="N57" i="184" s="1"/>
  <c r="H12" i="184"/>
  <c r="C129" i="29"/>
  <c r="C151" i="29" s="1"/>
  <c r="B1226" i="106" s="1"/>
  <c r="D1226" i="106" s="1"/>
  <c r="D31" i="108"/>
  <c r="E16" i="184"/>
  <c r="H16" i="184" s="1"/>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C352" i="29"/>
  <c r="B3621" i="106" s="1"/>
  <c r="D3621" i="106" s="1"/>
  <c r="J129" i="29"/>
  <c r="B7038" i="106" s="1"/>
  <c r="D7038" i="106" s="1"/>
  <c r="C342" i="29"/>
  <c r="B7216" i="106" s="1"/>
  <c r="D7216" i="106" s="1"/>
  <c r="B7198" i="106"/>
  <c r="D7198" i="106" s="1"/>
  <c r="E65" i="184"/>
  <c r="N65" i="184" s="1"/>
  <c r="B7180" i="106"/>
  <c r="D7180" i="106" s="1"/>
  <c r="E63" i="184"/>
  <c r="N63" i="184" s="1"/>
  <c r="B7162" i="106"/>
  <c r="D7162" i="106" s="1"/>
  <c r="E61" i="184"/>
  <c r="N61"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K28" i="118"/>
  <c r="O27" i="118" s="1"/>
  <c r="O29" i="118" s="1"/>
  <c r="L16" i="11"/>
  <c r="B2061" i="106" s="1"/>
  <c r="D2061" i="106" s="1"/>
  <c r="B5527" i="106"/>
  <c r="D5527" i="106" s="1"/>
  <c r="K342" i="29"/>
  <c r="F13" i="34" s="1"/>
  <c r="B1266" i="106"/>
  <c r="D1266" i="106" s="1"/>
  <c r="F66" i="34"/>
  <c r="H77" i="4"/>
  <c r="B3299" i="106" s="1"/>
  <c r="D3299" i="106" s="1"/>
  <c r="C367" i="29"/>
  <c r="B3622" i="106" s="1"/>
  <c r="D3622" i="106" s="1"/>
  <c r="B1328" i="106"/>
  <c r="D1328" i="106" s="1"/>
  <c r="I7" i="4"/>
  <c r="B4444" i="106" s="1"/>
  <c r="D4444" i="106" s="1"/>
  <c r="J151" i="29"/>
  <c r="B7052" i="106" s="1"/>
  <c r="D7052" i="106" s="1"/>
  <c r="G170" i="5"/>
  <c r="B5778" i="106" s="1"/>
  <c r="D5778" i="106" s="1"/>
  <c r="K365" i="29"/>
  <c r="K16" i="4" s="1"/>
  <c r="B1381" i="106"/>
  <c r="D1381" i="106" s="1"/>
  <c r="J16" i="4"/>
  <c r="B6226" i="106" s="1"/>
  <c r="D6226" i="106" s="1"/>
  <c r="B7215" i="106"/>
  <c r="D7215" i="106" s="1"/>
  <c r="B2031" i="106"/>
  <c r="D2031" i="106" s="1"/>
  <c r="F41" i="108"/>
  <c r="G43" i="108" s="1"/>
  <c r="D44" i="36"/>
  <c r="K77" i="4"/>
  <c r="B3587" i="106" s="1"/>
  <c r="D3587" i="106" s="1"/>
  <c r="E19" i="184"/>
  <c r="H19" i="184"/>
  <c r="L20" i="184" s="1"/>
  <c r="B6216" i="106"/>
  <c r="D6216" i="106" s="1"/>
  <c r="E367" i="29"/>
  <c r="B3636" i="106" s="1"/>
  <c r="D3636" i="106" s="1"/>
  <c r="B3635" i="106"/>
  <c r="D3635" i="106" s="1"/>
  <c r="N58" i="184"/>
  <c r="N68" i="184" s="1"/>
  <c r="E68" i="184"/>
  <c r="B7220" i="106"/>
  <c r="D7220" i="106" s="1"/>
  <c r="F75" i="34"/>
  <c r="B7222" i="106"/>
  <c r="D7222" i="106" s="1"/>
  <c r="F76" i="34"/>
  <c r="B7887" i="106" s="1"/>
  <c r="D7887" i="106" s="1"/>
  <c r="L114" i="29"/>
  <c r="B7235" i="106"/>
  <c r="D7235" i="106" s="1"/>
  <c r="N23" i="3"/>
  <c r="B284" i="106" s="1"/>
  <c r="D284"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K367" i="29"/>
  <c r="B3678" i="106" s="1"/>
  <c r="D3678" i="106" s="1"/>
  <c r="G6" i="4"/>
  <c r="B2604" i="106" s="1"/>
  <c r="D2604" i="106" s="1"/>
  <c r="B7243" i="106"/>
  <c r="D7243" i="106" s="1"/>
  <c r="B1145" i="106"/>
  <c r="D1145" i="106" s="1"/>
  <c r="B7886" i="106"/>
  <c r="D7886"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F77" i="34"/>
  <c r="B7834" i="106" s="1"/>
  <c r="D7834" i="106" s="1"/>
  <c r="J10" i="4"/>
  <c r="B6225" i="106" s="1"/>
  <c r="D6225" i="106" s="1"/>
  <c r="J20" i="4"/>
  <c r="B6230" i="106" s="1"/>
  <c r="D6230" i="106" s="1"/>
  <c r="K17" i="4"/>
  <c r="B3575" i="106" s="1"/>
  <c r="D3575" i="106" s="1"/>
  <c r="B6227" i="106"/>
  <c r="D6227"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20" i="4"/>
  <c r="K78" i="4" s="1"/>
  <c r="K19" i="4"/>
  <c r="B4144" i="106" s="1"/>
  <c r="D4144" i="106" s="1"/>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c r="D3576" i="106" s="1"/>
  <c r="D10" i="146" l="1"/>
  <c r="D78" i="4"/>
  <c r="J81" i="4"/>
  <c r="D64" i="3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81" i="4"/>
  <c r="B3239" i="106"/>
  <c r="D3239" i="106" s="1"/>
  <c r="B6266" i="106" l="1"/>
  <c r="D6266" i="106" s="1"/>
  <c r="J82" i="4"/>
  <c r="B6274" i="106" s="1"/>
  <c r="D627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<sst xmlns="http://schemas.openxmlformats.org/spreadsheetml/2006/main" count="5283" uniqueCount="2177">
  <si>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</si>
  <si>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</si>
  <si>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</si>
  <si>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</si>
  <si>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</si>
  <si>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</si>
  <si>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</si>
  <si>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</si>
  <si>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</si>
  <si>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</si>
  <si>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</si>
  <si>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</si>
  <si>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</si>
  <si>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</si>
  <si>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</si>
  <si>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</si>
  <si>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</si>
  <si>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</si>
  <si>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</si>
  <si>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</si>
  <si>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</si>
  <si>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</si>
  <si>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</si>
  <si>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</si>
  <si>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</si>
  <si>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</si>
  <si>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</si>
  <si>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</si>
  <si>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</si>
  <si>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</si>
  <si>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</si>
  <si>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</si>
  <si>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</si>
  <si>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</si>
  <si>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</si>
  <si>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</si>
  <si>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</si>
  <si>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</si>
  <si>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</si>
  <si>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</si>
  <si>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</si>
  <si>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</si>
  <si>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</si>
  <si>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</si>
  <si>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</si>
  <si>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</si>
  <si>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</si>
  <si>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</si>
  <si>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</si>
  <si>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</si>
  <si>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</si>
  <si>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</si>
  <si>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</si>
  <si>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</si>
  <si>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</si>
  <si>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</si>
  <si>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</si>
  <si>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</si>
  <si>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</si>
  <si>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</si>
  <si>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</si>
  <si>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</si>
  <si>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</si>
  <si>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</si>
  <si>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</si>
  <si>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</si>
  <si>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</si>
  <si>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</si>
  <si>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</si>
  <si>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</si>
  <si>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</si>
  <si>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</si>
  <si>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</si>
  <si>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</si>
  <si>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</si>
  <si>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</si>
  <si>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</si>
  <si>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</si>
  <si>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</si>
  <si>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</si>
  <si>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</si>
  <si>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</si>
  <si>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</si>
  <si>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</si>
  <si>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</si>
  <si>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</si>
  <si>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</si>
  <si>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</si>
  <si>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</si>
  <si>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</si>
  <si>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</si>
  <si>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</si>
  <si>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</si>
  <si>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</si>
  <si>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</si>
  <si>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</si>
  <si>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</si>
  <si>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</si>
  <si>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</si>
  <si>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</si>
  <si>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</si>
  <si>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</si>
  <si>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</si>
  <si>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</si>
  <si>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</si>
  <si>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</si>
  <si>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</si>
  <si>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</si>
  <si>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</si>
  <si>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</si>
  <si>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</si>
  <si>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</si>
  <si>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</si>
  <si>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</si>
  <si>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</si>
  <si>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</si>
  <si>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</si>
  <si>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</si>
  <si>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</si>
  <si>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</si>
  <si>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</si>
  <si>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</si>
  <si>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</si>
  <si>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</si>
  <si>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</si>
  <si>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</si>
  <si>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</si>
  <si>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</si>
  <si>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</si>
  <si>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</si>
  <si>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</si>
  <si>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</si>
  <si>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</si>
  <si>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</si>
  <si>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</si>
  <si>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</si>
  <si>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</si>
  <si>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</si>
  <si>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</si>
  <si>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</si>
  <si>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</si>
  <si>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</si>
  <si>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</si>
  <si>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</si>
  <si>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</si>
  <si>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</si>
  <si>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</si>
  <si>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</si>
  <si>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</si>
  <si>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</si>
  <si>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</si>
  <si>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</si>
  <si>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</si>
  <si>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</si>
  <si>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</si>
  <si>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</si>
  <si>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</si>
  <si>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</si>
  <si>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</si>
  <si>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</si>
  <si>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</si>
  <si>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</si>
  <si>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</si>
  <si>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</si>
  <si>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</si>
  <si>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</si>
  <si>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</si>
  <si>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</si>
  <si>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</si>
  <si>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</si>
  <si>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</si>
  <si>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</si>
  <si>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</si>
  <si>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</si>
  <si>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</si>
  <si>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</si>
  <si>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</si>
  <si>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</si>
  <si>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</si>
  <si>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</si>
  <si>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</si>
  <si>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</si>
  <si>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</si>
  <si>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</si>
  <si>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</si>
  <si>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</si>
  <si>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</si>
  <si>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</si>
  <si>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</si>
  <si>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</si>
  <si>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</si>
  <si>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</si>
  <si>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</si>
  <si>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</si>
  <si>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</si>
  <si>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</si>
  <si>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</si>
  <si>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</si>
  <si>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</si>
  <si>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</si>
  <si>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</si>
  <si>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</si>
  <si>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</si>
  <si>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</si>
  <si>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</si>
  <si>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</si>
  <si>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</si>
  <si>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</si>
  <si>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</si>
  <si>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</si>
  <si>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</si>
  <si>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</si>
  <si>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</si>
  <si>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</si>
  <si>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</si>
  <si>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</si>
  <si>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</si>
  <si>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</si>
  <si>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</si>
  <si>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</si>
  <si>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</si>
  <si>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</si>
  <si>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</si>
  <si>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</si>
  <si>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</si>
  <si>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</si>
  <si>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</si>
  <si>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</si>
  <si>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</si>
  <si>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</si>
  <si>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</si>
  <si>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</si>
  <si>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</si>
  <si>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</si>
  <si>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</si>
  <si>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</si>
  <si>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</si>
  <si>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</si>
  <si>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</si>
  <si>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</si>
  <si>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</si>
  <si>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</si>
  <si>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</si>
  <si>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</si>
  <si>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</si>
  <si>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</si>
  <si>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</si>
  <si>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</si>
  <si>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</si>
  <si>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</si>
  <si>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</si>
  <si>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</si>
  <si>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</si>
  <si>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</si>
  <si>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</si>
  <si>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</si>
  <si>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</si>
  <si>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</si>
  <si>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</si>
  <si>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</si>
  <si>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</si>
  <si>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</si>
  <si>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</si>
  <si>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</si>
  <si>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</si>
  <si>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</si>
  <si>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</si>
  <si>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</si>
  <si>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</si>
  <si>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</si>
  <si>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</si>
  <si>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</si>
  <si>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</si>
  <si>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</si>
  <si>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</si>
  <si>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</si>
  <si>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</si>
  <si>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</si>
  <si>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</si>
  <si>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</si>
  <si>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</si>
  <si>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</si>
  <si>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</si>
  <si>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</si>
  <si>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</si>
  <si>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</si>
  <si>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</si>
  <si>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</si>
  <si>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</si>
  <si>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</si>
  <si>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</si>
  <si>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</si>
  <si>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</si>
  <si>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</si>
  <si>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</si>
  <si>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</si>
  <si>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</si>
  <si>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</si>
  <si>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</si>
  <si>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</si>
  <si>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</si>
  <si>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</si>
  <si>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</si>
  <si>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</si>
  <si>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</si>
  <si>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</si>
  <si>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</si>
  <si>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</si>
  <si>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</si>
  <si>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</si>
  <si>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</si>
  <si>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</si>
  <si>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</si>
  <si>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</si>
  <si>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</si>
  <si>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</si>
  <si>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</si>
  <si>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</si>
  <si>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</si>
  <si>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</si>
  <si>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</si>
  <si>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</si>
  <si>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</si>
  <si>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</si>
  <si>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</si>
  <si>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</si>
  <si>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</si>
  <si>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</si>
  <si>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</si>
  <si>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</si>
  <si>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</si>
  <si>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</si>
  <si>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</si>
  <si>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</si>
  <si>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</si>
  <si>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</si>
  <si>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</si>
  <si>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</si>
  <si>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</si>
  <si>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</si>
  <si>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</si>
  <si>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</si>
  <si>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</si>
  <si>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</si>
  <si>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</si>
  <si>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</si>
  <si>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</si>
  <si>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</si>
  <si>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</si>
  <si>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</si>
  <si>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</si>
  <si>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</si>
  <si>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</si>
  <si>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</si>
  <si>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</si>
  <si>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</si>
  <si>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</si>
  <si>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</si>
  <si>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</si>
  <si>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</si>
  <si>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</si>
  <si>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</si>
  <si>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</si>
  <si>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</si>
  <si>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</si>
  <si>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</si>
  <si>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</si>
  <si>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</si>
  <si>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</si>
  <si>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</si>
  <si>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</si>
  <si>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</si>
  <si>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</si>
  <si>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</si>
  <si>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</si>
  <si>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</si>
  <si>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</si>
  <si>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</si>
  <si>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</si>
  <si>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</si>
  <si>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</si>
  <si>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</si>
  <si>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</si>
  <si>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</si>
  <si>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</si>
  <si>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</si>
  <si>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</si>
  <si>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</si>
  <si>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</si>
  <si>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</si>
  <si>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</si>
  <si>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</si>
  <si>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</si>
  <si>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</si>
  <si>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</si>
  <si>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</si>
  <si>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</si>
  <si>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</si>
  <si>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</si>
  <si>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</si>
  <si>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</si>
  <si>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</si>
  <si>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</si>
  <si>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</si>
  <si>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</si>
  <si>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</si>
  <si>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</si>
  <si>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</si>
  <si>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</si>
  <si>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</si>
  <si>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</si>
  <si>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</si>
  <si>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</si>
  <si>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</si>
  <si>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</si>
  <si>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</si>
  <si>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</si>
  <si>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</si>
  <si>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</si>
  <si>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</si>
  <si>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</si>
  <si>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</si>
  <si>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</si>
  <si>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</si>
  <si>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</si>
  <si>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</si>
  <si>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</si>
  <si>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</si>
  <si>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</si>
  <si>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</si>
  <si>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</si>
  <si>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</si>
  <si>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</si>
  <si>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</si>
  <si>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</si>
  <si>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</si>
  <si>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</si>
  <si>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</si>
  <si>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</si>
  <si>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</si>
  <si>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</si>
  <si>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</si>
  <si>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</si>
  <si>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</si>
  <si>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</si>
  <si>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</si>
  <si>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</si>
  <si>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</si>
  <si>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</si>
  <si>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</si>
  <si>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</si>
  <si>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</si>
  <si>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</si>
  <si>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</si>
  <si>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</si>
  <si>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</si>
  <si>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</si>
  <si>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</si>
  <si>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</si>
  <si>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</si>
  <si>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</si>
  <si>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</si>
  <si>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</si>
  <si>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</si>
  <si>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</si>
  <si>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</si>
  <si>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</si>
  <si>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</si>
  <si>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</si>
  <si>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</si>
  <si>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</si>
  <si>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</si>
  <si>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</si>
  <si>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</si>
  <si>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</si>
  <si>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</si>
  <si>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</si>
  <si>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</si>
  <si>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</si>
  <si>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</si>
  <si>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</si>
  <si>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</si>
  <si>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</si>
  <si>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</si>
  <si>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</si>
  <si>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</si>
  <si>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</si>
  <si>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</si>
  <si>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</si>
  <si>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</si>
  <si>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</si>
  <si>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</si>
  <si>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</si>
  <si>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</si>
  <si>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</si>
  <si>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</si>
  <si>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</si>
  <si>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</si>
  <si>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</si>
  <si>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</si>
  <si>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</si>
  <si>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</si>
  <si>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</si>
  <si>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</si>
  <si>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</si>
  <si>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</si>
  <si>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</si>
  <si>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</si>
  <si>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</si>
  <si>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</si>
  <si>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</si>
  <si>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</si>
  <si>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</si>
  <si>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</si>
  <si>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</si>
  <si>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</si>
  <si>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</si>
  <si>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</si>
  <si>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</si>
  <si>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</si>
  <si>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</si>
  <si>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</si>
  <si>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</si>
  <si>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</si>
  <si>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</si>
  <si>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</si>
  <si>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</si>
  <si>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</si>
  <si>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</si>
  <si>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</si>
  <si>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</si>
  <si>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</si>
  <si>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</si>
  <si>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</si>
  <si>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</si>
  <si>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</si>
  <si>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</si>
  <si>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</si>
  <si>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</si>
  <si>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</si>
  <si>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</si>
  <si>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</si>
  <si>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</si>
  <si>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</si>
  <si>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</si>
  <si>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</si>
  <si>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</si>
  <si>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</si>
  <si>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</si>
  <si>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</si>
  <si>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</si>
  <si>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</si>
  <si>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</si>
  <si>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</si>
  <si>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</si>
  <si>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</si>
  <si>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</si>
  <si>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</si>
  <si>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</si>
  <si>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</si>
  <si>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</si>
  <si>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</si>
  <si>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</si>
  <si>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</si>
  <si>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</si>
  <si>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</si>
  <si>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</si>
  <si>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</si>
  <si>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</si>
  <si>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</si>
  <si>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</si>
  <si>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</si>
  <si>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</si>
  <si>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</si>
  <si>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</si>
  <si>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</si>
  <si>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</si>
  <si>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</si>
  <si>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</si>
  <si>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</si>
  <si>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</si>
  <si>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</si>
  <si>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</si>
  <si>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</si>
  <si>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</si>
  <si>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</si>
  <si>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</si>
  <si>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</si>
  <si>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</si>
  <si>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</si>
  <si>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</si>
  <si>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</si>
  <si>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</si>
  <si>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</si>
  <si>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</si>
  <si>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</si>
  <si>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</si>
  <si>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</si>
  <si>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</si>
  <si>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</si>
  <si>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</si>
  <si>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</si>
  <si>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</si>
  <si>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</si>
  <si>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</si>
  <si>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</si>
  <si>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</si>
  <si>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</si>
  <si>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</si>
  <si>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</si>
  <si>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</si>
  <si>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</si>
  <si>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</si>
  <si>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</si>
  <si>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</si>
  <si>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</si>
  <si>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</si>
  <si>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</si>
  <si>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</si>
  <si>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</si>
  <si>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</si>
  <si>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</si>
  <si>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</si>
  <si>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</si>
  <si>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</si>
  <si>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</si>
  <si>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</si>
  <si>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</si>
  <si>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</si>
  <si>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</si>
  <si>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</si>
  <si>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</si>
  <si>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</si>
  <si>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</si>
  <si>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</si>
  <si>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</si>
  <si>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</si>
  <si>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</si>
  <si>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</si>
  <si>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</si>
  <si>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</si>
  <si>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</si>
  <si>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</si>
  <si>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</si>
  <si>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</si>
  <si>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</si>
  <si>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</si>
  <si>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</si>
  <si>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</si>
  <si>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</si>
  <si>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</si>
  <si>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</si>
  <si>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</si>
  <si>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</si>
  <si>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</si>
  <si>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</si>
  <si>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</si>
  <si>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</si>
  <si>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</si>
  <si>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</si>
  <si>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</si>
  <si>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</si>
  <si>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</si>
  <si>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</si>
  <si>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</si>
  <si>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</si>
  <si>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</si>
  <si>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</si>
  <si>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</si>
  <si>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</si>
  <si>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</si>
  <si>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</si>
  <si>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</si>
  <si>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</si>
  <si>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</si>
  <si>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</si>
  <si>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</si>
  <si>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</si>
  <si>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</si>
  <si>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</si>
  <si>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</si>
  <si>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</si>
  <si>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</si>
  <si>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</si>
  <si>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</si>
  <si>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</si>
  <si>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</si>
  <si>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</si>
  <si>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</si>
  <si>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</si>
  <si>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</si>
  <si>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</si>
  <si>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</si>
  <si>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</si>
  <si>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</si>
  <si>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</si>
  <si>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</si>
  <si>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</si>
  <si>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</si>
  <si>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</si>
  <si>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</si>
  <si>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</si>
  <si>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</si>
  <si>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</si>
  <si>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</si>
  <si>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</si>
  <si>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</si>
  <si>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</si>
  <si>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</si>
  <si>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</si>
  <si>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</si>
  <si>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</si>
  <si>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</si>
  <si>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</si>
  <si>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</si>
  <si>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</si>
  <si>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</si>
  <si>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</si>
  <si>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</si>
  <si>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</si>
  <si>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</si>
  <si>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</si>
  <si>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</si>
  <si>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</si>
  <si>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</si>
  <si>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</si>
  <si>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</si>
  <si>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</si>
  <si>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</si>
  <si>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</si>
  <si>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</si>
  <si>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</si>
  <si>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</si>
  <si>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</si>
  <si>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</si>
  <si>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</si>
  <si>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</si>
  <si>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</si>
  <si>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</si>
  <si>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</si>
  <si>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</si>
  <si>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</si>
  <si>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</si>
  <si>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</si>
  <si>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</si>
  <si>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</si>
  <si>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</si>
  <si>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</si>
  <si>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</si>
  <si>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</si>
  <si>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</si>
  <si>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</si>
  <si>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</si>
  <si>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</si>
  <si>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</si>
  <si>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</si>
  <si>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</si>
  <si>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</si>
  <si>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</si>
  <si>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</si>
  <si>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</si>
  <si>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</si>
  <si>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</si>
  <si>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</si>
  <si>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</si>
  <si>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</si>
  <si>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</si>
  <si>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</si>
  <si>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</si>
  <si>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</si>
  <si>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</si>
  <si>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</si>
  <si>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</si>
  <si>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</si>
  <si>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</si>
  <si>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</si>
  <si>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</si>
  <si>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</si>
  <si>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</si>
  <si>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</si>
  <si>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</si>
  <si>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</si>
  <si>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</si>
  <si>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</si>
  <si>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</si>
  <si>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</si>
  <si>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</si>
  <si>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</si>
  <si>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</si>
  <si>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</si>
  <si>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</si>
  <si>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</si>
  <si>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</si>
  <si>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</si>
  <si>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</si>
  <si>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</si>
  <si>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</si>
  <si>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</si>
  <si>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</si>
  <si>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</si>
  <si>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</si>
  <si>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</si>
  <si>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</si>
  <si>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</si>
  <si>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</si>
  <si>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</si>
  <si>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</si>
  <si>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</si>
  <si>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</si>
  <si>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</si>
  <si>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</si>
  <si>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</si>
  <si>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</si>
  <si>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</si>
  <si>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</si>
  <si>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</si>
  <si>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</si>
  <si>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</si>
  <si>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</si>
  <si>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</si>
  <si>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</si>
  <si>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</si>
  <si>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</si>
  <si>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</si>
  <si>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</si>
  <si>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</si>
  <si>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</si>
  <si>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</si>
  <si>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</si>
  <si>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</si>
  <si>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</si>
  <si>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</si>
  <si>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</si>
  <si>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</si>
  <si>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</si>
  <si>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</si>
  <si>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</si>
  <si>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</si>
  <si>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</si>
  <si>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</si>
  <si>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</si>
  <si>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</si>
  <si>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</si>
  <si>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</si>
  <si>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</si>
  <si>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</si>
  <si>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</si>
  <si>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</si>
  <si>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</si>
  <si>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</si>
  <si>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</si>
  <si>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</si>
  <si>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</si>
  <si>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</si>
  <si>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</si>
  <si>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</si>
  <si>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</si>
  <si>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</si>
  <si>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</si>
  <si>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</si>
  <si>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</si>
  <si>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</si>
  <si>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</si>
  <si>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</si>
  <si>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</si>
  <si>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</si>
  <si>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</si>
  <si>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</si>
  <si>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</si>
  <si>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</si>
  <si>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</si>
  <si>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</si>
  <si>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</si>
  <si>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</si>
  <si>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</si>
  <si>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</si>
  <si>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</si>
  <si>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</si>
  <si>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</si>
  <si>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</si>
  <si>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</si>
  <si>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</si>
  <si>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</si>
  <si>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</si>
  <si>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</si>
  <si>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</si>
  <si>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</si>
  <si>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</si>
  <si>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</si>
  <si>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</si>
  <si>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</si>
  <si>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</si>
  <si>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</si>
  <si>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</si>
  <si>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</si>
  <si>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</si>
  <si>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</si>
  <si>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</si>
  <si>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</si>
  <si>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</si>
  <si>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</si>
  <si>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</si>
  <si>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</si>
  <si>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</si>
  <si>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</si>
  <si>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</si>
  <si>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</si>
  <si>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</si>
  <si>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</si>
  <si>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</si>
  <si>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</si>
  <si>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</si>
  <si>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</si>
  <si>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</si>
  <si>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</si>
  <si>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</si>
  <si>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</si>
  <si>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</si>
  <si>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</si>
  <si>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</si>
  <si>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</si>
  <si>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</si>
  <si>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</si>
  <si>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</si>
  <si>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</si>
  <si>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</si>
  <si>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</si>
  <si>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</si>
  <si>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</si>
  <si>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</si>
  <si>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</si>
  <si>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</si>
  <si>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</si>
  <si>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</si>
  <si>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</si>
  <si>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</si>
  <si>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</si>
  <si>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</si>
  <si>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</si>
  <si>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</si>
  <si>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</si>
  <si>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</si>
  <si>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</si>
  <si>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</si>
  <si>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</si>
  <si>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</si>
  <si>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</si>
  <si>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</si>
  <si>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</si>
  <si>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</si>
  <si>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</si>
  <si>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</si>
  <si>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</si>
  <si>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</si>
  <si>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</si>
  <si>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</si>
  <si>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</si>
  <si>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</si>
  <si>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</si>
  <si>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</si>
  <si>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</si>
  <si>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</si>
  <si>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</si>
  <si>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</si>
  <si>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</si>
  <si>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</si>
  <si>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</si>
  <si>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</si>
  <si>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</si>
  <si>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</si>
  <si>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</si>
  <si>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</si>
  <si>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</si>
  <si>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</si>
  <si>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</si>
  <si>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</si>
  <si>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</si>
  <si>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</si>
  <si>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</si>
  <si>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</si>
  <si>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</si>
  <si>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</si>
  <si>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</si>
  <si>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</si>
  <si>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</si>
  <si>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</si>
  <si>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</si>
  <si>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</si>
  <si>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</si>
  <si>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</si>
  <si>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</si>
  <si>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</si>
  <si>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</si>
  <si>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</si>
  <si>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</si>
  <si>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</si>
  <si>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</si>
  <si>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</si>
  <si>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</si>
  <si>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</si>
  <si>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</si>
  <si>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</si>
  <si>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</si>
  <si>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</si>
  <si>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</si>
  <si>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</si>
  <si>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</si>
  <si>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</si>
  <si>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</si>
  <si>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</si>
  <si>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</si>
  <si>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</si>
  <si>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</si>
  <si>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</si>
  <si>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</si>
  <si>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</si>
  <si>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</si>
  <si>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</si>
  <si>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</si>
  <si>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</si>
  <si>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</si>
  <si>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</si>
  <si>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</si>
  <si>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</si>
  <si>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</si>
  <si>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</si>
  <si>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</si>
  <si>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</si>
  <si>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</si>
  <si>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</si>
  <si>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</si>
  <si>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</si>
  <si>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</si>
  <si>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</si>
  <si>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</si>
  <si>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</si>
  <si>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</si>
  <si>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</si>
  <si>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</si>
  <si>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</si>
  <si>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</si>
  <si>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</si>
  <si>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</si>
  <si>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</si>
  <si>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</si>
  <si>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</si>
  <si>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</si>
  <si>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</si>
  <si>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</si>
  <si>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</si>
  <si>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</si>
  <si>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</si>
  <si>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</si>
  <si>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</si>
  <si>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</si>
  <si>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</si>
  <si>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</si>
  <si>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</si>
  <si>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</si>
  <si>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</si>
  <si>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</si>
  <si>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</si>
  <si>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</si>
  <si>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</si>
  <si>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</si>
  <si>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</si>
  <si>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</si>
  <si>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</si>
  <si>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</si>
  <si>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</si>
  <si>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</si>
  <si>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</si>
  <si>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</si>
  <si>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</si>
  <si>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</si>
  <si>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</si>
  <si>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</si>
  <si>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</si>
  <si>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</si>
  <si>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</si>
  <si>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</si>
  <si>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</si>
  <si>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</si>
  <si>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</si>
  <si>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</si>
  <si>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</si>
  <si>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</si>
  <si>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</si>
  <si>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</si>
  <si>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</si>
  <si>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</si>
  <si>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</si>
  <si>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</si>
  <si>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</si>
  <si>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</si>
  <si>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</si>
  <si>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</si>
  <si>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</si>
  <si>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</si>
  <si>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</si>
  <si>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</si>
  <si>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</si>
  <si>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</si>
  <si>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</si>
  <si>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</si>
  <si>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</si>
  <si>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</si>
  <si>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</si>
  <si>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</si>
  <si>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</si>
  <si>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</si>
  <si>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</si>
  <si>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</si>
  <si>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</si>
  <si>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</si>
  <si>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</si>
  <si>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</si>
  <si>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</si>
  <si>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</si>
  <si>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</si>
  <si>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</si>
  <si>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</si>
  <si>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</si>
  <si>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</si>
  <si>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</si>
  <si>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</si>
  <si>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</si>
  <si>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</si>
  <si>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</si>
  <si>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</si>
  <si>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</si>
  <si>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</si>
  <si>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</si>
  <si>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</si>
  <si>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</si>
  <si>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</si>
  <si>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</si>
  <si>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</si>
  <si>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</si>
  <si>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</si>
  <si>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</si>
  <si>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</si>
  <si>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</si>
  <si>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</si>
  <si>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</si>
  <si>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</si>
  <si>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</si>
  <si>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</si>
  <si>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</si>
  <si>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</si>
  <si>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</si>
  <si>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</si>
  <si>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</si>
  <si>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</si>
  <si>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</si>
  <si>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</si>
  <si>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</si>
  <si>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</si>
  <si>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</si>
  <si>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</si>
  <si>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</si>
  <si>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</si>
  <si>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</si>
  <si>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</si>
  <si>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</si>
  <si>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</si>
  <si>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</si>
  <si>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</si>
  <si>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</si>
  <si>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</si>
  <si>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</si>
  <si>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</si>
  <si>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</si>
  <si>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</si>
  <si>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</si>
  <si>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</si>
  <si>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</si>
  <si>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</si>
  <si>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</si>
  <si>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</si>
  <si>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</si>
  <si>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</si>
  <si>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</si>
  <si>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</si>
  <si>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</si>
  <si>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</si>
  <si>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</si>
  <si>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</si>
  <si>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</si>
  <si>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</si>
  <si>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</si>
  <si>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</si>
  <si>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</si>
  <si>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</si>
  <si>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</si>
  <si>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</si>
  <si>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</si>
  <si>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</si>
  <si>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</si>
  <si>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</si>
  <si>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</si>
  <si>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</si>
  <si>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</si>
  <si>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</si>
  <si>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</si>
  <si>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</si>
  <si>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</si>
  <si>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</si>
  <si>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</si>
  <si>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</si>
  <si>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</si>
  <si>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</si>
  <si>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</si>
  <si>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</si>
  <si>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</si>
  <si>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</si>
  <si>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</si>
  <si>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</si>
  <si>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</si>
  <si>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</si>
  <si>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</si>
  <si>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</si>
  <si>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</si>
  <si>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</si>
  <si>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</si>
  <si>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</si>
  <si>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</si>
  <si>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</si>
  <si>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</si>
  <si>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</si>
  <si>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</si>
  <si>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</si>
  <si>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</si>
  <si>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</si>
  <si>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</si>
  <si>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</si>
  <si>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</si>
  <si>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</si>
  <si>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</si>
  <si>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</si>
  <si>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</si>
  <si>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</si>
  <si>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</si>
  <si>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</si>
  <si>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</si>
  <si>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</si>
  <si>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</si>
  <si>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</si>
  <si>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</si>
  <si>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</si>
  <si>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</si>
  <si>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</si>
  <si>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</si>
  <si>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</si>
  <si>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</si>
  <si>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</si>
  <si>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</si>
  <si>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</si>
  <si>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</si>
  <si>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</si>
  <si>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</si>
  <si>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</si>
  <si>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</si>
  <si>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</si>
  <si>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</si>
  <si>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</si>
  <si>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</si>
  <si>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</si>
  <si>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</si>
  <si>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</si>
  <si>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</si>
  <si>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</si>
  <si>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</si>
  <si>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</si>
  <si>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</si>
  <si>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</si>
  <si>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</si>
  <si>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</si>
  <si>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</si>
  <si>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</si>
  <si>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</si>
  <si>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</si>
  <si>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</si>
  <si>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</si>
  <si>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</si>
  <si>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</si>
  <si>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</si>
  <si>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</si>
  <si>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</si>
  <si>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</si>
  <si>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</si>
  <si>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</si>
  <si>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</si>
  <si>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</si>
  <si>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</si>
  <si>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</si>
  <si>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</si>
  <si>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</si>
  <si>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</si>
  <si>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</si>
  <si>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</si>
  <si>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</si>
  <si>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</si>
  <si>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</si>
  <si>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</si>
  <si>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</si>
  <si>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</si>
  <si>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</si>
  <si>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</si>
  <si>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</si>
  <si>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</si>
  <si>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</si>
  <si>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</si>
  <si>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</si>
  <si>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</si>
  <si>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</si>
  <si>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</si>
  <si>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</si>
  <si>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</si>
  <si>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</si>
  <si>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</si>
  <si>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</si>
  <si>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</si>
  <si>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</si>
  <si>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</si>
  <si>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</si>
  <si>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</si>
  <si>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</si>
  <si>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</si>
  <si>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</si>
  <si>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</si>
  <si>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</si>
  <si>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</si>
  <si>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</si>
  <si>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</si>
  <si>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</si>
  <si>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</si>
  <si>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</si>
  <si>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</si>
  <si>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</si>
  <si>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</si>
  <si>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</si>
  <si>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</si>
  <si>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</si>
  <si>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</si>
  <si>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</si>
  <si>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</si>
  <si>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</si>
  <si>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</si>
  <si>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</si>
  <si>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</si>
  <si>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</si>
  <si>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</si>
  <si>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</si>
  <si>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</si>
  <si>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</si>
  <si>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</si>
  <si>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</si>
  <si>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</si>
  <si>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</si>
  <si>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</si>
  <si>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</si>
  <si>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</si>
  <si>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</si>
  <si>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</si>
  <si>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</si>
  <si>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</si>
  <si>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</si>
  <si>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</si>
  <si>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</si>
  <si>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</si>
  <si>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</si>
  <si>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</si>
  <si>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</si>
  <si>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</si>
  <si>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</si>
  <si>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</si>
  <si>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</si>
  <si>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</si>
  <si>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</si>
  <si>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</si>
  <si>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</si>
  <si>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</si>
  <si>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</si>
  <si>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</si>
  <si>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</si>
  <si>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</si>
  <si>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</si>
  <si>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</si>
  <si>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</si>
  <si>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</si>
  <si>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</si>
  <si>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</si>
  <si>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</si>
  <si>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</si>
  <si>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</si>
  <si>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</si>
  <si>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</si>
  <si>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</si>
  <si>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</si>
  <si>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</si>
  <si>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</si>
  <si>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</si>
  <si>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</si>
  <si>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</si>
  <si>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</si>
  <si>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</si>
  <si>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</si>
  <si>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</si>
  <si>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</si>
  <si>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</si>
  <si>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</si>
  <si>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</si>
  <si>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</si>
  <si>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</si>
  <si>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</si>
  <si>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</si>
  <si>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</si>
  <si>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</si>
  <si>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</si>
  <si>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</si>
  <si>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</si>
  <si>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</si>
  <si>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</si>
  <si>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</si>
  <si>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</si>
  <si>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</si>
  <si>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</si>
  <si>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</si>
  <si>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</si>
  <si>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</si>
  <si>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</si>
  <si>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</si>
  <si>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</si>
  <si>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</si>
  <si>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</si>
  <si>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</si>
  <si>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</si>
  <si>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</si>
  <si>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</si>
  <si>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</si>
  <si>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</si>
  <si>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</si>
  <si>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</si>
  <si>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</si>
  <si>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</si>
  <si>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</si>
  <si>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</si>
  <si>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</si>
  <si>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</si>
  <si>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</si>
  <si>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</si>
  <si>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</si>
  <si>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</si>
  <si>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</si>
  <si>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</si>
  <si>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</si>
  <si>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</si>
  <si>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</si>
  <si>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</si>
  <si>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</si>
  <si>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</si>
  <si>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</si>
  <si>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</si>
  <si>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</si>
  <si>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</si>
  <si>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</si>
  <si>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</si>
  <si>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</si>
  <si>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</si>
  <si>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</si>
  <si>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</si>
  <si>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</si>
  <si>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</si>
  <si>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</si>
  <si>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</si>
  <si>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</si>
  <si>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</si>
  <si>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</si>
  <si>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</si>
  <si>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</si>
  <si>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</si>
  <si>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</si>
  <si>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</si>
  <si>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</si>
  <si>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</si>
  <si>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</si>
  <si>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</si>
  <si>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</si>
  <si>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</si>
  <si>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</si>
  <si>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</si>
  <si>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</si>
  <si>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</si>
  <si>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</si>
  <si>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</si>
  <si>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</si>
  <si>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</si>
  <si>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</si>
  <si>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</si>
  <si>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</si>
  <si>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</si>
  <si>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</si>
  <si>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</si>
  <si>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</si>
  <si>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</si>
  <si>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</si>
  <si>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</si>
  <si>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</si>
  <si>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</si>
  <si>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</si>
  <si>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</si>
  <si>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</si>
  <si>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</si>
  <si>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</si>
  <si>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</si>
  <si>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</si>
  <si>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</si>
  <si>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</si>
  <si>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</si>
  <si>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</si>
  <si>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</si>
  <si>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</si>
  <si>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</si>
  <si>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</si>
  <si>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</si>
  <si>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</si>
  <si>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</si>
  <si>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</si>
  <si>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</si>
  <si>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</si>
  <si>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</si>
  <si>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</si>
  <si>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</si>
  <si>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</si>
  <si>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</si>
  <si>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</si>
  <si>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</si>
  <si>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</si>
  <si>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</si>
  <si>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</si>
  <si>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</si>
  <si>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</si>
  <si>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</si>
  <si>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</si>
  <si>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</si>
  <si>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</si>
  <si>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</si>
  <si>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</si>
  <si>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</si>
  <si>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</si>
  <si>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</si>
  <si>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</si>
  <si>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</si>
  <si>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</si>
  <si>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</si>
  <si>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</si>
  <si>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</si>
  <si>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</si>
  <si>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</si>
  <si>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</si>
  <si>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</si>
  <si>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</si>
  <si>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</si>
  <si>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</si>
  <si>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</si>
  <si>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</si>
  <si>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</si>
  <si>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</si>
  <si>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</si>
  <si>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</si>
  <si>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</si>
  <si>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</si>
  <si>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</si>
  <si>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</si>
  <si>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</si>
  <si>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</si>
  <si>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</si>
  <si>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</si>
  <si>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</si>
  <si>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</si>
  <si>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</si>
  <si>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</si>
  <si>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</si>
  <si>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</si>
  <si>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</si>
  <si>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</si>
  <si>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</si>
  <si>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</si>
  <si>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</si>
  <si>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</si>
  <si>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</si>
  <si>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</si>
  <si>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</si>
  <si>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</si>
  <si>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</si>
  <si>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</si>
  <si>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</si>
  <si>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</si>
  <si>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</si>
  <si>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</si>
  <si>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</si>
  <si>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</si>
  <si>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</si>
  <si>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</si>
  <si>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</si>
  <si>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</si>
  <si>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</si>
  <si>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</si>
  <si>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</si>
  <si>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</si>
  <si>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</si>
  <si>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</si>
  <si>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</si>
  <si>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</si>
  <si>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</si>
  <si>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</si>
  <si>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</si>
  <si>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</si>
  <si>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</si>
  <si>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</si>
  <si>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</si>
  <si>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</si>
  <si>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</si>
  <si>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</si>
  <si>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</si>
  <si>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</si>
  <si>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</si>
  <si>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</si>
  <si>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</si>
  <si>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</si>
  <si>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</si>
  <si>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</si>
  <si>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</si>
  <si>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</si>
  <si>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</si>
  <si>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</si>
  <si>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</si>
  <si>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</si>
  <si>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</si>
  <si>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</si>
  <si>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</si>
  <si>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</si>
  <si>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</si>
  <si>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</si>
  <si>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</si>
  <si>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</si>
  <si>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</si>
  <si>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</si>
  <si>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</si>
  <si>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</si>
  <si>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</si>
  <si>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</si>
  <si>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</si>
  <si>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</si>
  <si>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</si>
  <si>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</si>
  <si>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</si>
  <si>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</si>
  <si>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</si>
  <si>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</si>
  <si>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</si>
  <si>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</si>
  <si>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</si>
  <si>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</si>
  <si>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</si>
  <si>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</si>
  <si>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</si>
  <si>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</si>
  <si>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</si>
  <si>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</si>
  <si>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</si>
  <si>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</si>
  <si>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</si>
  <si>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</si>
  <si>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</si>
  <si>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</si>
  <si>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</si>
  <si>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</si>
  <si>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</si>
  <si>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</si>
  <si>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</si>
  <si>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</si>
  <si>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</si>
  <si>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</si>
  <si>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</si>
  <si>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</si>
  <si>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</si>
  <si>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</si>
  <si>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</si>
  <si>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</si>
  <si>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</si>
  <si>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</si>
  <si>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</si>
  <si>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</si>
  <si>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</si>
  <si>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</si>
  <si>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</si>
  <si>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</si>
  <si>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</si>
  <si>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</si>
  <si>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</si>
  <si>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</si>
  <si>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</si>
  <si>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</si>
  <si>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</si>
  <si>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</si>
  <si>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</si>
  <si>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</si>
  <si>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</si>
  <si>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</si>
  <si>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</si>
  <si>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</si>
  <si>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</si>
  <si>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</si>
  <si>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</si>
  <si>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</si>
  <si>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</si>
  <si>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</si>
  <si>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</si>
  <si>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</si>
  <si>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</si>
  <si>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</si>
  <si>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</si>
  <si>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</si>
  <si>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</si>
  <si>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</si>
  <si>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</si>
  <si>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</si>
  <si>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</si>
  <si>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</si>
  <si>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</si>
  <si>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</si>
  <si>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</si>
  <si>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</si>
  <si>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</si>
  <si>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</si>
  <si>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</si>
  <si>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</si>
  <si>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</si>
  <si>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</si>
  <si>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</si>
  <si>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</si>
  <si>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</si>
  <si>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</si>
  <si>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</si>
  <si>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</si>
  <si>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</si>
  <si>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</si>
  <si>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</si>
  <si>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</si>
  <si>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</si>
  <si>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</si>
  <si>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</si>
  <si>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</si>
  <si>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</si>
  <si>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</si>
  <si>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</si>
  <si>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</si>
  <si>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</si>
  <si>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</si>
  <si>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</si>
  <si>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</si>
  <si>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</si>
  <si>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</si>
  <si>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</si>
  <si>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</si>
  <si>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</si>
  <si>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</si>
  <si>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</si>
  <si>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</si>
  <si>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</si>
  <si>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</si>
  <si>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</si>
  <si>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</si>
  <si>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</si>
  <si>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</si>
  <si>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</si>
  <si>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</si>
  <si>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</si>
  <si>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</si>
  <si>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</si>
  <si>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</si>
  <si>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</si>
  <si>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</si>
  <si>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</si>
  <si>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</si>
  <si>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</si>
  <si>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</si>
  <si>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</si>
  <si>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</si>
  <si>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</si>
  <si>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</si>
  <si>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</si>
  <si>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</si>
  <si>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</si>
  <si>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</si>
  <si>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</si>
  <si>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</si>
  <si>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</si>
  <si>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</si>
  <si>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</si>
  <si>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</si>
  <si>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</si>
  <si>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</si>
  <si>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</si>
  <si>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</si>
  <si>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</si>
  <si>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</si>
  <si>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</si>
  <si>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</si>
  <si>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</si>
  <si>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</si>
  <si>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</si>
  <si>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</si>
  <si>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</si>
  <si>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</si>
  <si>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</si>
  <si>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</si>
  <si>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</si>
  <si>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</si>
  <si>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</si>
  <si>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</si>
  <si>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</si>
  <si>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</si>
  <si>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</si>
  <si>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</si>
  <si>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</si>
  <si>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</si>
  <si>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</si>
  <si>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</si>
  <si>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</si>
  <si>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</si>
  <si>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</si>
  <si>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</si>
  <si>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</si>
  <si>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</si>
  <si>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</si>
  <si>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</si>
  <si>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</si>
  <si>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</si>
  <si>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</si>
  <si>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</si>
  <si>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</si>
  <si>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</si>
  <si>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</si>
  <si>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</si>
  <si>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</si>
  <si>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</si>
  <si>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</si>
  <si>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</si>
  <si>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</si>
  <si>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</si>
  <si>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</si>
  <si>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</si>
  <si>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</si>
  <si>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</si>
  <si>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</si>
  <si>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</si>
  <si>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</si>
  <si>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</si>
  <si>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</si>
  <si>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</si>
  <si>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</si>
  <si>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</si>
  <si>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</si>
  <si>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</si>
  <si>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</si>
  <si>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</si>
  <si>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</si>
  <si>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</si>
  <si>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</si>
  <si>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</si>
  <si>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</si>
  <si>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</si>
  <si>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</si>
  <si>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</si>
  <si>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</si>
  <si>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</si>
  <si>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</si>
  <si>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</si>
  <si>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</si>
  <si>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</si>
  <si>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</si>
  <si>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</si>
  <si>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</si>
  <si>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</si>
  <si>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</si>
  <si>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</si>
  <si>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</si>
  <si>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</si>
  <si>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</si>
  <si>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</si>
  <si>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</si>
  <si>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</si>
  <si>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</si>
  <si>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</si>
  <si>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</si>
  <si>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</si>
  <si>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</si>
  <si>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</si>
  <si>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</si>
  <si>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</si>
  <si>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</si>
  <si>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</si>
  <si>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</si>
  <si>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</si>
  <si>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</si>
  <si>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</si>
  <si>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</si>
  <si>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</si>
  <si>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</si>
  <si>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</si>
  <si>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</si>
  <si>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</si>
  <si>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</si>
  <si>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</si>
  <si>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</si>
  <si>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</si>
  <si>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</si>
  <si>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</si>
  <si>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</si>
  <si>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</si>
  <si>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</si>
  <si>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</si>
  <si>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</si>
  <si>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</si>
  <si>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</si>
  <si>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</si>
  <si>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</si>
  <si>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</si>
  <si>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</si>
  <si>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</si>
  <si>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</si>
  <si>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</si>
  <si>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</si>
  <si>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</si>
  <si>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</si>
  <si>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</si>
  <si>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</si>
  <si>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</si>
  <si>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</si>
  <si>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</si>
  <si>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</si>
  <si>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</si>
  <si>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</si>
  <si>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</si>
  <si>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</si>
  <si>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</si>
  <si>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</si>
  <si>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</si>
  <si>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</si>
  <si>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</si>
  <si>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</si>
  <si>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</si>
  <si>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</si>
  <si>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</si>
  <si>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</si>
  <si>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</si>
  <si>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</si>
  <si>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</si>
  <si>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</si>
  <si>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</si>
  <si>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</si>
  <si>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</si>
  <si>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</si>
  <si>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</si>
  <si>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</si>
  <si>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</si>
  <si>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</si>
  <si>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</si>
  <si>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</si>
  <si>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</si>
  <si>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</si>
  <si>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</si>
  <si>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</si>
  <si>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</si>
  <si>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</si>
  <si>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</si>
  <si>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</si>
  <si>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</si>
  <si>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</si>
  <si>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</si>
  <si>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</si>
  <si>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</si>
  <si>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</si>
  <si>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</si>
  <si>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</si>
  <si>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</si>
  <si>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</si>
  <si>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</si>
  <si>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</si>
  <si>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</si>
  <si>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</si>
  <si>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</si>
  <si>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</si>
  <si>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</si>
  <si>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</si>
  <si>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</si>
  <si>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</si>
  <si>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</si>
  <si>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</si>
  <si>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</si>
  <si>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</si>
  <si>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</si>
  <si>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</si>
  <si>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</si>
  <si>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</si>
  <si>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</si>
  <si>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</si>
  <si>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</si>
  <si>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</si>
  <si>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</si>
  <si>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</si>
  <si>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</si>
  <si>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</si>
  <si>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</si>
  <si>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</si>
  <si>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</si>
  <si>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</si>
  <si>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</si>
  <si>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</si>
  <si>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</si>
  <si>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</si>
  <si>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</si>
  <si>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</si>
  <si>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</si>
  <si>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</si>
  <si>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</si>
  <si>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</si>
  <si>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</si>
  <si>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</si>
  <si>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</si>
  <si>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</si>
  <si>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</si>
  <si>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</si>
  <si>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</si>
  <si>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</si>
  <si>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</si>
  <si>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</si>
  <si>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</si>
  <si>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</si>
  <si>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</si>
  <si>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</si>
  <si>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</si>
  <si>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</si>
  <si>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</si>
  <si>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</si>
  <si>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</si>
  <si>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</si>
  <si>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</si>
  <si>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</si>
  <si>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Jackson, Perry, and Union</t>
  </si>
  <si>
    <t>1335 N. Cedar Court</t>
  </si>
  <si>
    <t>Carbondale</t>
  </si>
  <si>
    <t>revans@tcse.us</t>
  </si>
  <si>
    <t>Jan Pearcy</t>
  </si>
  <si>
    <t>jpearcy@tcse.us</t>
  </si>
  <si>
    <t>618-684-2109</t>
  </si>
  <si>
    <t>618-708-3403</t>
  </si>
  <si>
    <t>Kemper CPA Group, LLP</t>
  </si>
  <si>
    <t>Kimberly Walker, CPA</t>
  </si>
  <si>
    <t>3401 Professional Park Drive, PO BOX 129</t>
  </si>
  <si>
    <t>Marion</t>
  </si>
  <si>
    <t>IL</t>
  </si>
  <si>
    <t>618-997-3055</t>
  </si>
  <si>
    <t>618-997-5121</t>
  </si>
  <si>
    <t>066-003998</t>
  </si>
  <si>
    <t>kwalker@kcpag.com</t>
  </si>
  <si>
    <t>Cheryl Graff</t>
  </si>
  <si>
    <t>cgraff@roe30.org</t>
  </si>
  <si>
    <t>618-687-7290</t>
  </si>
  <si>
    <t>618-687-7296</t>
  </si>
  <si>
    <t>Page 10, Line 72 - Sales to Pupils - Other _ Student Smart Snacks - Dewey</t>
  </si>
  <si>
    <t>Page 11, Line 106 - Other Local fees- Student Restitution</t>
  </si>
  <si>
    <t>Page 13, Line 208 - Title IV - Other - Career Tech Step Grant ($150,841), Transition ($99,009)</t>
  </si>
  <si>
    <t>Page 16, Line 73 - Other Support Services - [100] Salaries - School Resource Officers ($11,354), [200] Employee Beneifits - FICA ($869)</t>
  </si>
  <si>
    <t>#23 - The Joint Agreement has prepared these financial statements using accounting practices prescribed or permitted by the Illinois State Board of Education, which practices differ from accounting principles generally accepeted in the United States of America.  Also, the Joint Agrement prepares its financial statements on the modified cash basis of accounting, which is a comprehensive basis of accounting other than accounting principles generally accepted in the United States of America.
The report was also qualified due to the omission of the disclosures regading postemployment healthcare benefits required by the financial reporting provisions of the ISBE.</t>
  </si>
  <si>
    <t>Kemper CPA GrouP LLP</t>
  </si>
  <si>
    <t>The accompanying notes are an integral part of these financial statements.</t>
  </si>
  <si>
    <t>The Joint Agreement is responsible for the design implementation of programs and internal controls over receipts and disbursements to prevent and detect errors or fraud.  A fundamental concept in a good system of internal controls is that of segregation of duties.</t>
  </si>
  <si>
    <t>There is limited segregation of duties over cash receipts and disbursements, receiving and purchasing, recording of transactions, and reconciliation of bank accounts; therefore, causing internal controls to be weakened in these areas.</t>
  </si>
  <si>
    <t>Deficiencies in the design of internal controls procedures over receipts and disbursements due to a lack of segregation of duties were noted.</t>
  </si>
  <si>
    <t>Risk of loss or financial misstatement due to intentional or unintentional error.</t>
  </si>
  <si>
    <t>The Joint Agreement has limited resources to hire additional staff in order to properly segregate duties; however, procedures may not be properly designed and/or segregated for its current fiscal staff.</t>
  </si>
  <si>
    <t>The Joint Agreement should review the internal controls in place relative to its current fiscal employees.  A basic premise is that no one employee should have access to all phases of a specific transaction.  While the Joint Agreement's current staffing arrangement may not permit an adequate segregation of duties, it is important that management and personnel are aware of this condition.</t>
  </si>
  <si>
    <t>The Joint Agreement is aware of this condition.  They will review their staffing arrangement and assignment of duties.</t>
  </si>
  <si>
    <t>SCHEDULE OF FINDINGS AND RESPONSES</t>
  </si>
  <si>
    <t>2019-003</t>
  </si>
  <si>
    <t xml:space="preserve">The Joint Agreement is providing the certification to the Illinois State Board of Education, the funding agency for the Fed. - Sp. Ed. - IDEA - Flow Through program, when required.  However, the certifications were not obtained from the subrecipients of this program.
We also noted there are no formal documented procedures for monitoring subrecipients, including formal documentation of an assessed level of risk of noncompliance for each subrecipient as required by the Uniform Guidance.  In addition, the Joint Agreement is not obtaining copies of the external audits of its subrecipients and is relying on its subrecipients to self-report any deficiencies pertaining to the federal award provided to them.
</t>
  </si>
  <si>
    <t>Not Repeated</t>
  </si>
  <si>
    <t>2019-002</t>
  </si>
  <si>
    <t>The Joint Agreement prepares interim financial reports using software specifically designed for school district financial reporting.  For year end reporting purposes, the Joint Agreement relies on the auditor to prepare a draft of full disclosure financial statements (including footnotes) in a format acceptable by ISBE.  The Joint Agreement currently lacks sufficient expertise to prepare year end, full disclosure financial statements without significant assistance from the auditor, but does possess sufficient skills, knowledge or experience to approve the journal entries and the draft financial statements.</t>
  </si>
  <si>
    <t>Local-Food Services-Rentals</t>
  </si>
  <si>
    <t>Anna-Jonesboro High School #81</t>
  </si>
  <si>
    <t>IDEA-Executive Administration Services-Communications</t>
  </si>
  <si>
    <t>AT&amp;T</t>
  </si>
  <si>
    <t>IDEA-Improvement of Instruction Services-Travel</t>
  </si>
  <si>
    <t>Elizabeth Riggs</t>
  </si>
  <si>
    <t>IDEA-Data Processing Services-Data Processing Services</t>
  </si>
  <si>
    <t>Brechts Database Solutions, Inc.</t>
  </si>
  <si>
    <t>IDEA-Improvements of Instruction Services-Professional Employee Training &amp; Development Services</t>
  </si>
  <si>
    <t>Carbondale Civic Center</t>
  </si>
  <si>
    <t>Carbondale H.S. Dist. #165</t>
  </si>
  <si>
    <t>Local-Executive Administration Services-Communications</t>
  </si>
  <si>
    <t>Clearwave</t>
  </si>
  <si>
    <t>IDEA-Operation and Maintenance-Property Services</t>
  </si>
  <si>
    <t>Courtice Grason LLC</t>
  </si>
  <si>
    <t>CSGS LLC</t>
  </si>
  <si>
    <t>IDEA-Executive Administration Services-Rentals</t>
  </si>
  <si>
    <t>CTS Technology Solutions Inc.</t>
  </si>
  <si>
    <t>IDEA-Operation and Maintenance-Professional &amp; Technical Services</t>
  </si>
  <si>
    <t>Customized Technology Inc.</t>
  </si>
  <si>
    <t>Local-Speech Pathology and Audiology Services-Professional &amp; Technical Services</t>
  </si>
  <si>
    <t>Julie Draper</t>
  </si>
  <si>
    <t>DuQuoin District #300</t>
  </si>
  <si>
    <t>Local-Pupil Transportation Services-Pupil Transportation</t>
  </si>
  <si>
    <t>Durham School Services</t>
  </si>
  <si>
    <t>e2e Exchange, LLC</t>
  </si>
  <si>
    <t>IDEA-Improvement of Instruction Services-Professional Employee Training &amp; Development Services</t>
  </si>
  <si>
    <t>Teri E. Engler</t>
  </si>
  <si>
    <t>Epiphany Solutions LLC</t>
  </si>
  <si>
    <t>Suzanne Foley</t>
  </si>
  <si>
    <t>Frontier</t>
  </si>
  <si>
    <t>Go Solutions</t>
  </si>
  <si>
    <t>Local-Data Processing Services-Data Processing Services</t>
  </si>
  <si>
    <t>IDEA-Executive Administration Services-Legal Services</t>
  </si>
  <si>
    <t>Guin Mundorf LLC</t>
  </si>
  <si>
    <t>IDEA-Executive Administration Services-Professional Services-Administrative</t>
  </si>
  <si>
    <t>IASB</t>
  </si>
  <si>
    <t>IDEA-Operations and Maintenance-Insurance</t>
  </si>
  <si>
    <t>IL School District Agency</t>
  </si>
  <si>
    <t>Jonesboro Com School District 43</t>
  </si>
  <si>
    <t>IDEA-Operations and maintenance-Property Services</t>
  </si>
  <si>
    <t>KAM Services Inc.</t>
  </si>
  <si>
    <t>Local-Operations and Maintenance-Property Services</t>
  </si>
  <si>
    <t>IDEA-Fiscal Services-Audit/Financial Services</t>
  </si>
  <si>
    <t>Kemper CPA Group</t>
  </si>
  <si>
    <t>Kuypers Consulting, Inc.</t>
  </si>
  <si>
    <t>IDEA-Opersations and Maintenance-Insurance</t>
  </si>
  <si>
    <t>Liberty Mutual Insurance</t>
  </si>
  <si>
    <t>Ginger Meyer</t>
  </si>
  <si>
    <t>IDEA-Opersations and Maintenance-Sanitation Services</t>
  </si>
  <si>
    <t>Milams Disposal Service</t>
  </si>
  <si>
    <t>Miller, Tracy, Braud, Funk &amp; Miller Ltd</t>
  </si>
  <si>
    <t>Murphysboro Dist. #186</t>
  </si>
  <si>
    <t>News-2-You, Inc.</t>
  </si>
  <si>
    <t>Newwave</t>
  </si>
  <si>
    <t>IDEA-Executive Administration Services-Professional &amp; Technical Services</t>
  </si>
  <si>
    <t>Northbridge Professional Technologies</t>
  </si>
  <si>
    <t>IDEA-Special Education Programs-Professional &amp; Technical Services</t>
  </si>
  <si>
    <t>Perry County Sheriff's Office</t>
  </si>
  <si>
    <t>Pitney Bowes</t>
  </si>
  <si>
    <t>PowerSchool Group LLC</t>
  </si>
  <si>
    <t>IDEA-Speech Pathology and Audiology Services-Professional &amp; Technical Services</t>
  </si>
  <si>
    <t>PresenceLearning Inc.</t>
  </si>
  <si>
    <t>IDEA-Operations and Maintenance-Sanitation Services</t>
  </si>
  <si>
    <t>Republic Services #732</t>
  </si>
  <si>
    <t>Security Alarm</t>
  </si>
  <si>
    <t>Shred-It</t>
  </si>
  <si>
    <t>SIU</t>
  </si>
  <si>
    <t>Specialized Data Systems</t>
  </si>
  <si>
    <t>TALX Corporation</t>
  </si>
  <si>
    <t>Terminix</t>
  </si>
  <si>
    <t>Unity Point District #140</t>
  </si>
  <si>
    <t>Verizon Wireless</t>
  </si>
  <si>
    <t>West Bus Service, Inc</t>
  </si>
  <si>
    <t>Xerox Corporation</t>
  </si>
  <si>
    <t>IDEA-Operations and Maintenance-Rentals</t>
  </si>
  <si>
    <t>Xerox Financial Services</t>
  </si>
  <si>
    <t>Gail Van Tatenhove</t>
  </si>
  <si>
    <t>Garden Grove Event Center</t>
  </si>
  <si>
    <t>Districts #186, 165, 140, 300, 43, 81</t>
  </si>
  <si>
    <t>JAMP, WCES, Kaskaskia Sp Ed, Franklin-Jefferson Sp Ed, Dist #300</t>
  </si>
  <si>
    <t>Districts #300,50,101,5,86,165,140,186,176,84,43,37,81,66,16,17,130,95,196,204</t>
  </si>
  <si>
    <t>Page 11, Line 107 - Other Local Revenues - Other Income - Insurance Claim ($24,461), Other Income - Reimbursement ($8,491), E Rate - Reimbursement ($2,187), Cell Phone Payments ($12,876), Miscellaneous ($5,733)</t>
  </si>
  <si>
    <t>Tri County Special Ed 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</si>
</sst>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Alignment="1">
      <alignment wrapText="1"/>
    </xf>
    <xf numFmtId="164" fontId="62" fillId="0" borderId="0" xfId="0" applyNumberFormat="1" applyFont="1" applyAlignment="1"/>
    <xf numFmtId="164" fontId="62" fillId="0" borderId="0" xfId="0" applyNumberFormat="1" applyFont="1" applyAlignment="1">
      <alignment vertical="top"/>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horizontal="center"/>
      <protection locked="0"/>
    </xf>
    <xf numFmtId="0" fontId="57" fillId="0" borderId="0" xfId="3" applyFont="1" applyBorder="1" applyAlignment="1" applyProtection="1">
      <alignmen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57" fillId="0" borderId="0" xfId="0" applyFont="1" applyAlignment="1">
      <alignment horizontal="justify" vertical="top" wrapText="1"/>
    </xf>
    <xf numFmtId="0" fontId="57" fillId="0" borderId="0" xfId="0" applyFont="1" applyAlignment="1">
      <alignment horizontal="justify" wrapText="1"/>
    </xf>
    <xf numFmtId="0" fontId="0" fillId="0" borderId="0" xfId="0" applyAlignment="1">
      <alignment horizontal="justify" vertical="top"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3952875</xdr:colOff>
          <xdr:row>4</xdr:row>
          <xdr:rowOff>38100</xdr:rowOff>
        </xdr:from>
        <xdr:to>
          <xdr:col>3</xdr:col>
          <xdr:colOff>276225</xdr:colOff>
          <xdr:row>8</xdr:row>
          <xdr:rowOff>76200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47</xdr:row>
      <xdr:rowOff>0</xdr:rowOff>
    </xdr:from>
    <xdr:to>
      <xdr:col>2</xdr:col>
      <xdr:colOff>76200</xdr:colOff>
      <xdr:row>48</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1">
        <f>+'AFR20'!E4</f>
        <v>44119</v>
      </c>
      <c r="C1" s="2041"/>
      <c r="D1" s="2042"/>
      <c r="I1" s="2120" t="s">
        <v>402</v>
      </c>
      <c r="J1" s="2121"/>
      <c r="K1" s="2121"/>
      <c r="L1" s="2121"/>
      <c r="M1" s="2121"/>
      <c r="N1" s="2121"/>
      <c r="O1" s="2121"/>
      <c r="P1" s="2121"/>
      <c r="Q1" s="2121"/>
      <c r="R1" s="2121"/>
      <c r="S1" s="2121"/>
    </row>
    <row r="2" spans="1:32" ht="12" customHeight="1" x14ac:dyDescent="0.2">
      <c r="A2" s="1831" t="str">
        <f>"Due to ISBE on "</f>
        <v xml:space="preserve">Due to ISBE on </v>
      </c>
      <c r="B2" s="2043">
        <f>+'AFR20'!F4</f>
        <v>44151</v>
      </c>
      <c r="C2" s="2043"/>
      <c r="D2" s="2044"/>
      <c r="I2" s="2122" t="s">
        <v>2006</v>
      </c>
      <c r="J2" s="2121"/>
      <c r="K2" s="2121"/>
      <c r="L2" s="2121"/>
      <c r="M2" s="2121"/>
      <c r="N2" s="2121"/>
      <c r="O2" s="2121"/>
      <c r="P2" s="2121"/>
      <c r="Q2" s="2121"/>
      <c r="R2" s="2121"/>
      <c r="S2" s="2121"/>
    </row>
    <row r="3" spans="1:32" ht="12" customHeight="1" x14ac:dyDescent="0.2">
      <c r="A3" s="1834" t="str">
        <f>"SD/JA"&amp;MID('AFR20'!E2,3,2)</f>
        <v>SD/JA20</v>
      </c>
      <c r="B3" s="151"/>
      <c r="C3" s="151"/>
      <c r="D3" s="152"/>
      <c r="I3" s="2122" t="s">
        <v>52</v>
      </c>
      <c r="J3" s="2121"/>
      <c r="K3" s="2121"/>
      <c r="L3" s="2121"/>
      <c r="M3" s="2121"/>
      <c r="N3" s="2121"/>
      <c r="O3" s="2121"/>
      <c r="P3" s="2121"/>
      <c r="Q3" s="2121"/>
      <c r="R3" s="2121"/>
      <c r="S3" s="2121"/>
    </row>
    <row r="4" spans="1:32" ht="12" customHeight="1" x14ac:dyDescent="0.2">
      <c r="A4" s="37"/>
      <c r="I4" s="2122" t="s">
        <v>521</v>
      </c>
      <c r="J4" s="2121"/>
      <c r="K4" s="2121"/>
      <c r="L4" s="2121"/>
      <c r="M4" s="2121"/>
      <c r="N4" s="2121"/>
      <c r="O4" s="2121"/>
      <c r="P4" s="2121"/>
      <c r="Q4" s="2121"/>
      <c r="R4" s="2121"/>
      <c r="S4" s="2121"/>
    </row>
    <row r="5" spans="1:32" ht="14.1" customHeight="1" x14ac:dyDescent="0.2">
      <c r="B5" s="101"/>
      <c r="C5" s="26" t="s">
        <v>904</v>
      </c>
      <c r="D5" s="81"/>
      <c r="E5" s="81"/>
      <c r="H5" s="38"/>
      <c r="I5" s="2129" t="s">
        <v>675</v>
      </c>
      <c r="J5" s="2074"/>
      <c r="K5" s="2074"/>
      <c r="L5" s="2074"/>
      <c r="M5" s="2074"/>
      <c r="N5" s="2074"/>
      <c r="O5" s="2074"/>
      <c r="P5" s="2074"/>
      <c r="Q5" s="2074"/>
      <c r="R5" s="2074"/>
      <c r="S5" s="2074"/>
      <c r="AF5" s="1827"/>
    </row>
    <row r="6" spans="1:32" ht="14.1" customHeight="1" x14ac:dyDescent="0.2">
      <c r="B6" s="101" t="s">
        <v>2051</v>
      </c>
      <c r="C6" s="26" t="s">
        <v>905</v>
      </c>
      <c r="D6" s="81"/>
      <c r="E6" s="81"/>
      <c r="I6" s="2128" t="s">
        <v>877</v>
      </c>
      <c r="J6" s="2074"/>
      <c r="K6" s="2074"/>
      <c r="L6" s="2074"/>
      <c r="M6" s="2074"/>
      <c r="N6" s="2074"/>
      <c r="O6" s="2074"/>
      <c r="P6" s="2074"/>
      <c r="Q6" s="2074"/>
      <c r="R6" s="2074"/>
      <c r="S6" s="2074"/>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669</v>
      </c>
      <c r="J9" s="2126"/>
      <c r="K9" s="2126"/>
      <c r="L9" s="2126"/>
      <c r="M9" s="2126"/>
      <c r="N9" s="2126"/>
      <c r="O9" s="2126"/>
      <c r="P9" s="2126"/>
      <c r="Q9" s="2126"/>
      <c r="R9" s="2126"/>
      <c r="S9" s="2127"/>
      <c r="T9" s="2070" t="s">
        <v>530</v>
      </c>
      <c r="U9" s="2071"/>
      <c r="V9" s="2071"/>
      <c r="W9" s="2071"/>
      <c r="X9" s="2071"/>
      <c r="Y9" s="2071"/>
      <c r="Z9" s="2071"/>
      <c r="AA9" s="2072"/>
    </row>
    <row r="10" spans="1:32" ht="13.5" customHeight="1" x14ac:dyDescent="0.2">
      <c r="A10" s="2079" t="s">
        <v>670</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949</v>
      </c>
      <c r="B11" s="2083"/>
      <c r="C11" s="2083"/>
      <c r="D11" s="2083"/>
      <c r="E11" s="2083"/>
      <c r="F11" s="2083"/>
      <c r="G11" s="2083"/>
      <c r="H11" s="2084"/>
      <c r="I11" s="27"/>
      <c r="J11" s="71"/>
      <c r="K11" s="27"/>
      <c r="O11" s="144" t="s">
        <v>2051</v>
      </c>
      <c r="P11" s="97" t="s">
        <v>199</v>
      </c>
      <c r="Q11" s="30"/>
      <c r="R11" s="28"/>
      <c r="S11" s="27"/>
      <c r="T11" s="2076"/>
      <c r="U11" s="2077"/>
      <c r="V11" s="2077"/>
      <c r="W11" s="2077"/>
      <c r="X11" s="2077"/>
      <c r="Y11" s="2077"/>
      <c r="Z11" s="2077"/>
      <c r="AA11" s="207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0">
        <v>30039186061</v>
      </c>
      <c r="B13" s="2091"/>
      <c r="C13" s="2091"/>
      <c r="D13" s="2091"/>
      <c r="E13" s="2091"/>
      <c r="F13" s="2091"/>
      <c r="G13" s="2091"/>
      <c r="H13" s="2092"/>
      <c r="I13" s="31"/>
      <c r="J13" s="30"/>
      <c r="K13" s="28"/>
      <c r="L13" s="30"/>
      <c r="M13" s="30"/>
      <c r="N13" s="30"/>
      <c r="O13" s="30"/>
      <c r="P13" s="30"/>
      <c r="Q13" s="30"/>
      <c r="R13" s="30"/>
      <c r="S13" s="30"/>
      <c r="T13" s="2095" t="s">
        <v>2060</v>
      </c>
      <c r="U13" s="2096"/>
      <c r="V13" s="2096"/>
      <c r="W13" s="2096"/>
      <c r="X13" s="2096"/>
      <c r="Y13" s="2097"/>
      <c r="Z13" s="2097"/>
      <c r="AA13" s="209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8" t="s">
        <v>2052</v>
      </c>
      <c r="B15" s="2093"/>
      <c r="C15" s="2093"/>
      <c r="D15" s="2093"/>
      <c r="E15" s="2093"/>
      <c r="F15" s="2093"/>
      <c r="G15" s="2093"/>
      <c r="H15" s="2094"/>
      <c r="T15" s="2056" t="s">
        <v>2061</v>
      </c>
      <c r="U15" s="2057"/>
      <c r="V15" s="2057"/>
      <c r="W15" s="2057"/>
      <c r="X15" s="2057"/>
      <c r="Y15" s="2099"/>
      <c r="Z15" s="2099"/>
      <c r="AA15" s="21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8" t="s">
        <v>2176</v>
      </c>
      <c r="B17" s="2118"/>
      <c r="C17" s="2118"/>
      <c r="D17" s="2118"/>
      <c r="E17" s="2118"/>
      <c r="F17" s="2118"/>
      <c r="G17" s="2118"/>
      <c r="H17" s="2119"/>
      <c r="T17" s="2105" t="s">
        <v>2062</v>
      </c>
      <c r="U17" s="2106"/>
      <c r="V17" s="2106"/>
      <c r="W17" s="2106"/>
      <c r="X17" s="2106"/>
      <c r="Y17" s="2106"/>
      <c r="Z17" s="2106"/>
      <c r="AA17" s="2107"/>
    </row>
    <row r="18" spans="1:27" ht="13.5" customHeight="1" x14ac:dyDescent="0.2">
      <c r="A18" s="82" t="s">
        <v>527</v>
      </c>
      <c r="B18" s="73"/>
      <c r="C18" s="69"/>
      <c r="D18" s="73"/>
      <c r="E18" s="73"/>
      <c r="F18" s="73"/>
      <c r="G18" s="73"/>
      <c r="H18" s="53"/>
      <c r="I18" s="211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088" t="s">
        <v>2053</v>
      </c>
      <c r="B19" s="2089"/>
      <c r="C19" s="2089"/>
      <c r="D19" s="2089"/>
      <c r="E19" s="2089"/>
      <c r="F19" s="2089"/>
      <c r="G19" s="2089"/>
      <c r="H19" s="2087"/>
      <c r="I19" s="30"/>
      <c r="J19" s="96"/>
      <c r="K19" s="40"/>
      <c r="L19" s="38"/>
      <c r="M19" s="109" t="s">
        <v>312</v>
      </c>
      <c r="P19" s="27"/>
      <c r="Q19" s="27"/>
      <c r="R19" s="27"/>
      <c r="S19" s="31"/>
      <c r="T19" s="2088" t="s">
        <v>2063</v>
      </c>
      <c r="U19" s="2086"/>
      <c r="V19" s="2086"/>
      <c r="W19" s="2087"/>
      <c r="X19" s="2103" t="s">
        <v>2064</v>
      </c>
      <c r="Y19" s="2104"/>
      <c r="Z19" s="2101">
        <v>62959</v>
      </c>
      <c r="AA19" s="210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5" t="s">
        <v>2054</v>
      </c>
      <c r="B21" s="2086"/>
      <c r="C21" s="2086"/>
      <c r="D21" s="2086"/>
      <c r="E21" s="2086"/>
      <c r="F21" s="2086"/>
      <c r="G21" s="2086"/>
      <c r="H21" s="2087"/>
      <c r="I21" s="2111" t="s">
        <v>673</v>
      </c>
      <c r="J21" s="2074"/>
      <c r="K21" s="2074"/>
      <c r="L21" s="2074"/>
      <c r="M21" s="2074"/>
      <c r="N21" s="2074"/>
      <c r="O21" s="2074"/>
      <c r="P21" s="2074"/>
      <c r="Q21" s="2074"/>
      <c r="R21" s="2074"/>
      <c r="S21" s="2075"/>
      <c r="T21" s="2053" t="s">
        <v>2065</v>
      </c>
      <c r="U21" s="2054"/>
      <c r="V21" s="2054"/>
      <c r="W21" s="2054"/>
      <c r="X21" s="2067" t="s">
        <v>2066</v>
      </c>
      <c r="Y21" s="2068"/>
      <c r="Z21" s="2068"/>
      <c r="AA21" s="2069"/>
    </row>
    <row r="22" spans="1:27" ht="13.5" customHeight="1" x14ac:dyDescent="0.2">
      <c r="A22" s="84" t="s">
        <v>528</v>
      </c>
      <c r="B22" s="56"/>
      <c r="C22" s="56"/>
      <c r="D22" s="56"/>
      <c r="E22" s="56"/>
      <c r="F22" s="56"/>
      <c r="G22" s="56"/>
      <c r="H22" s="57"/>
      <c r="I22" s="2112" t="s">
        <v>1415</v>
      </c>
      <c r="J22" s="2113"/>
      <c r="K22" s="2113"/>
      <c r="L22" s="2113"/>
      <c r="M22" s="2113"/>
      <c r="N22" s="2113"/>
      <c r="O22" s="2113"/>
      <c r="P22" s="2113"/>
      <c r="Q22" s="2113"/>
      <c r="R22" s="2113"/>
      <c r="S22" s="2114"/>
      <c r="T22" s="82" t="s">
        <v>1502</v>
      </c>
      <c r="U22" s="48"/>
      <c r="V22" s="69"/>
      <c r="W22" s="48"/>
      <c r="X22" s="155" t="s">
        <v>1309</v>
      </c>
      <c r="Z22" s="43"/>
      <c r="AA22" s="44"/>
    </row>
    <row r="23" spans="1:27" ht="13.5" customHeight="1" x14ac:dyDescent="0.2">
      <c r="A23" s="2108" t="s">
        <v>2055</v>
      </c>
      <c r="B23" s="2109"/>
      <c r="C23" s="2109"/>
      <c r="D23" s="2109"/>
      <c r="E23" s="2109"/>
      <c r="F23" s="2109"/>
      <c r="G23" s="2109"/>
      <c r="H23" s="2110"/>
      <c r="T23" s="2048" t="s">
        <v>2067</v>
      </c>
      <c r="U23" s="2049"/>
      <c r="V23" s="2049"/>
      <c r="W23" s="2049"/>
      <c r="X23" s="2064">
        <v>44530</v>
      </c>
      <c r="Y23" s="2065"/>
      <c r="Z23" s="2065"/>
      <c r="AA23" s="2066"/>
    </row>
    <row r="24" spans="1:27" ht="14.1" customHeight="1" x14ac:dyDescent="0.2">
      <c r="A24" s="85" t="s">
        <v>672</v>
      </c>
      <c r="B24" s="46"/>
      <c r="C24" s="46"/>
      <c r="D24" s="46"/>
      <c r="E24" s="46"/>
      <c r="F24" s="46"/>
      <c r="G24" s="46"/>
      <c r="H24" s="58"/>
      <c r="J24" s="2150" t="str">
        <f>IF(B5="x",IF(AUDITCHECK!D29="AFR form Incomplete.","",IF(AUDITCHECK!D29="Deficit reduction plan is required.","School District must complete a deficit reduction plan in the 2019-2020 Budget",)),"")</f>
        <v/>
      </c>
      <c r="K24" s="2150"/>
      <c r="L24" s="2150"/>
      <c r="M24" s="2150"/>
      <c r="N24" s="2150"/>
      <c r="O24" s="2150"/>
      <c r="P24" s="2150"/>
      <c r="Q24" s="2150"/>
      <c r="R24" s="2150"/>
      <c r="S24" s="2151"/>
      <c r="T24" s="102" t="s">
        <v>528</v>
      </c>
      <c r="U24" s="103"/>
      <c r="V24" s="103"/>
      <c r="W24" s="103"/>
      <c r="X24" s="104"/>
      <c r="Y24" s="104"/>
      <c r="Z24" s="104"/>
      <c r="AA24" s="105"/>
    </row>
    <row r="25" spans="1:27" ht="14.1" customHeight="1" x14ac:dyDescent="0.2">
      <c r="A25" s="2085">
        <v>62901</v>
      </c>
      <c r="B25" s="2086"/>
      <c r="C25" s="2086"/>
      <c r="D25" s="2086"/>
      <c r="E25" s="2086"/>
      <c r="F25" s="2086"/>
      <c r="G25" s="2086"/>
      <c r="H25" s="2087"/>
      <c r="I25" s="110"/>
      <c r="J25" s="2152"/>
      <c r="K25" s="2152"/>
      <c r="L25" s="2152"/>
      <c r="M25" s="2152"/>
      <c r="N25" s="2152"/>
      <c r="O25" s="2152"/>
      <c r="P25" s="2152"/>
      <c r="Q25" s="2152"/>
      <c r="R25" s="2152"/>
      <c r="S25" s="2153"/>
      <c r="T25" s="2045" t="s">
        <v>2068</v>
      </c>
      <c r="U25" s="2046"/>
      <c r="V25" s="2046"/>
      <c r="W25" s="2046"/>
      <c r="X25" s="2046"/>
      <c r="Y25" s="2046"/>
      <c r="Z25" s="2046"/>
      <c r="AA25" s="20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3" t="s">
        <v>1497</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t="s">
        <v>2051</v>
      </c>
      <c r="C30" s="121" t="s">
        <v>1156</v>
      </c>
      <c r="D30" s="28"/>
      <c r="E30" s="28"/>
      <c r="F30" s="136"/>
      <c r="G30" s="111"/>
      <c r="H30" s="111"/>
      <c r="I30" s="51"/>
      <c r="J30" s="99"/>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86"/>
      <c r="R35" s="20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8" t="s">
        <v>2056</v>
      </c>
      <c r="B38" s="2118"/>
      <c r="C38" s="2118"/>
      <c r="D38" s="2118"/>
      <c r="E38" s="2118"/>
      <c r="F38" s="2086"/>
      <c r="G38" s="2086"/>
      <c r="H38" s="2087"/>
      <c r="I38" s="2137"/>
      <c r="J38" s="2057"/>
      <c r="K38" s="2057"/>
      <c r="L38" s="2057"/>
      <c r="M38" s="2057"/>
      <c r="N38" s="2057"/>
      <c r="O38" s="2057"/>
      <c r="P38" s="2058"/>
      <c r="Q38" s="2058"/>
      <c r="R38" s="2058"/>
      <c r="S38" s="2059"/>
      <c r="T38" s="2056" t="s">
        <v>2069</v>
      </c>
      <c r="U38" s="2057"/>
      <c r="V38" s="2057"/>
      <c r="W38" s="2057"/>
      <c r="X38" s="2058"/>
      <c r="Y38" s="2058"/>
      <c r="Z38" s="2058"/>
      <c r="AA38" s="2059"/>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4" t="s">
        <v>2057</v>
      </c>
      <c r="B40" s="2145"/>
      <c r="C40" s="2146"/>
      <c r="D40" s="2146"/>
      <c r="E40" s="2146"/>
      <c r="F40" s="2147"/>
      <c r="G40" s="2147"/>
      <c r="H40" s="2148"/>
      <c r="I40" s="2060"/>
      <c r="J40" s="2062"/>
      <c r="K40" s="2062"/>
      <c r="L40" s="2062"/>
      <c r="M40" s="2062"/>
      <c r="N40" s="2062"/>
      <c r="O40" s="2062"/>
      <c r="P40" s="2062"/>
      <c r="Q40" s="2062"/>
      <c r="R40" s="2062"/>
      <c r="S40" s="2063"/>
      <c r="T40" s="2060" t="s">
        <v>2070</v>
      </c>
      <c r="U40" s="2061"/>
      <c r="V40" s="2062"/>
      <c r="W40" s="2062"/>
      <c r="X40" s="2062"/>
      <c r="Y40" s="2062"/>
      <c r="Z40" s="2062"/>
      <c r="AA40" s="206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2058</v>
      </c>
      <c r="B42" s="2135"/>
      <c r="C42" s="2136"/>
      <c r="D42" s="2149" t="s">
        <v>2059</v>
      </c>
      <c r="E42" s="2135"/>
      <c r="F42" s="2135"/>
      <c r="G42" s="2135"/>
      <c r="H42" s="2136"/>
      <c r="I42" s="2055"/>
      <c r="J42" s="2051"/>
      <c r="K42" s="2051"/>
      <c r="L42" s="2051"/>
      <c r="M42" s="2051"/>
      <c r="N42" s="2051"/>
      <c r="O42" s="2052"/>
      <c r="P42" s="2050"/>
      <c r="Q42" s="2051"/>
      <c r="R42" s="2051"/>
      <c r="S42" s="2052"/>
      <c r="T42" s="2055" t="s">
        <v>2071</v>
      </c>
      <c r="U42" s="2051"/>
      <c r="V42" s="2051"/>
      <c r="W42" s="2052"/>
      <c r="X42" s="2050" t="s">
        <v>2072</v>
      </c>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2" sqref="H3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1147</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1171</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0</v>
      </c>
      <c r="C16" s="1664"/>
      <c r="D16" s="1725">
        <f t="shared" si="0"/>
        <v>0</v>
      </c>
      <c r="E16" s="1664"/>
      <c r="F16" s="1725">
        <f t="shared" si="1"/>
        <v>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8" t="s">
        <v>625</v>
      </c>
      <c r="B1" s="2299"/>
      <c r="C1" s="585"/>
    </row>
    <row r="2" spans="1:7" ht="33.75" x14ac:dyDescent="0.2">
      <c r="A2" s="2307" t="s">
        <v>1782</v>
      </c>
      <c r="B2" s="230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1" t="s">
        <v>1106</v>
      </c>
      <c r="B3" s="2312"/>
      <c r="C3" s="2300"/>
      <c r="D3" s="2301"/>
      <c r="E3" s="2301"/>
      <c r="F3" s="2302"/>
    </row>
    <row r="4" spans="1:7" ht="12.75" customHeight="1" thickBot="1" x14ac:dyDescent="0.25">
      <c r="A4" s="2309" t="s">
        <v>626</v>
      </c>
      <c r="B4" s="2310"/>
      <c r="C4" s="1656"/>
      <c r="D4" s="1656"/>
      <c r="E4" s="1656"/>
      <c r="F4" s="1732">
        <f>SUM(C4+D4)-E4</f>
        <v>0</v>
      </c>
    </row>
    <row r="5" spans="1:7" ht="15.75" customHeight="1" thickTop="1" x14ac:dyDescent="0.2">
      <c r="A5" s="2294" t="s">
        <v>1103</v>
      </c>
      <c r="B5" s="2295"/>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75" customHeight="1" thickTop="1" x14ac:dyDescent="0.2">
      <c r="A16" s="2306" t="s">
        <v>1104</v>
      </c>
      <c r="B16" s="2295"/>
      <c r="C16" s="2303"/>
      <c r="D16" s="2304"/>
      <c r="E16" s="2304"/>
      <c r="F16" s="2305"/>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75" customHeight="1" thickTop="1" x14ac:dyDescent="0.2">
      <c r="A22" s="2321" t="s">
        <v>1105</v>
      </c>
      <c r="B22" s="2295"/>
      <c r="C22" s="2303"/>
      <c r="D22" s="2304"/>
      <c r="E22" s="2304"/>
      <c r="F22" s="2305"/>
    </row>
    <row r="23" spans="1:11" ht="13.5" thickBot="1" x14ac:dyDescent="0.25">
      <c r="A23" s="2309" t="s">
        <v>629</v>
      </c>
      <c r="B23" s="2310"/>
      <c r="C23" s="1656"/>
      <c r="D23" s="1656"/>
      <c r="E23" s="1656"/>
      <c r="F23" s="1732">
        <f>SUM(C23+D23)-E23</f>
        <v>0</v>
      </c>
      <c r="G23" s="473"/>
    </row>
    <row r="24" spans="1:11" ht="15.75" customHeight="1" thickTop="1" x14ac:dyDescent="0.2">
      <c r="A24" s="2321" t="s">
        <v>2009</v>
      </c>
      <c r="B24" s="2295"/>
      <c r="C24" s="2303"/>
      <c r="D24" s="2304"/>
      <c r="E24" s="2304"/>
      <c r="F24" s="2305"/>
    </row>
    <row r="25" spans="1:11" ht="13.5" thickBot="1" x14ac:dyDescent="0.25">
      <c r="A25" s="2309" t="s">
        <v>2010</v>
      </c>
      <c r="B25" s="2310"/>
      <c r="C25" s="1656"/>
      <c r="D25" s="1656"/>
      <c r="E25" s="1656"/>
      <c r="F25" s="1732">
        <f>SUM(C25+D25)-E25</f>
        <v>0</v>
      </c>
      <c r="G25" s="473"/>
    </row>
    <row r="26" spans="1:11" ht="15.75" customHeight="1" thickTop="1" x14ac:dyDescent="0.2">
      <c r="A26" s="2294" t="s">
        <v>652</v>
      </c>
      <c r="B26" s="2295"/>
      <c r="C26" s="589"/>
      <c r="D26" s="589"/>
      <c r="E26" s="589"/>
      <c r="F26" s="590"/>
    </row>
    <row r="27" spans="1:11" ht="13.5" thickBot="1" x14ac:dyDescent="0.25">
      <c r="A27" s="2296" t="s">
        <v>1063</v>
      </c>
      <c r="B27" s="2297"/>
      <c r="C27" s="1664"/>
      <c r="D27" s="1664"/>
      <c r="E27" s="1664"/>
      <c r="F27" s="1732">
        <f>SUM(C27+D27)-E27</f>
        <v>0</v>
      </c>
      <c r="G27" s="473"/>
    </row>
    <row r="28" spans="1:11" ht="7.5" customHeight="1" thickTop="1" x14ac:dyDescent="0.2">
      <c r="A28" s="489"/>
    </row>
    <row r="29" spans="1:11" ht="23.25" customHeight="1" x14ac:dyDescent="0.2">
      <c r="A29" s="2322" t="s">
        <v>578</v>
      </c>
      <c r="B29" s="2299"/>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N31" sqref="N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8"/>
      <c r="I1" s="614"/>
      <c r="J1" s="400"/>
    </row>
    <row r="2" spans="1:11" ht="26.25" x14ac:dyDescent="0.2">
      <c r="A2" s="2326" t="s">
        <v>1661</v>
      </c>
      <c r="B2" s="2327"/>
      <c r="C2" s="2327"/>
      <c r="D2" s="2327"/>
      <c r="E2" s="2328"/>
      <c r="F2" s="615" t="s">
        <v>898</v>
      </c>
      <c r="G2" s="616" t="s">
        <v>1658</v>
      </c>
      <c r="H2" s="616" t="s">
        <v>407</v>
      </c>
      <c r="I2" s="616" t="s">
        <v>1150</v>
      </c>
      <c r="J2" s="616" t="s">
        <v>1792</v>
      </c>
      <c r="K2" s="616" t="s">
        <v>137</v>
      </c>
    </row>
    <row r="3" spans="1:11" x14ac:dyDescent="0.2">
      <c r="A3" s="2329" t="str">
        <f>"Cash Basis Fund Balance as of July 1, "&amp;'AFR20'!E2-1</f>
        <v>Cash Basis Fund Balance as of July 1, 2019</v>
      </c>
      <c r="B3" s="2330"/>
      <c r="C3" s="2330"/>
      <c r="D3" s="2330"/>
      <c r="E3" s="2331"/>
      <c r="F3" s="617"/>
      <c r="G3" s="1744"/>
      <c r="H3" s="1744"/>
      <c r="I3" s="1744"/>
      <c r="J3" s="1745"/>
      <c r="K3" s="1745"/>
    </row>
    <row r="4" spans="1:11" x14ac:dyDescent="0.2">
      <c r="A4" s="2332" t="s">
        <v>366</v>
      </c>
      <c r="B4" s="2333"/>
      <c r="C4" s="2333"/>
      <c r="D4" s="2333"/>
      <c r="E4" s="2314"/>
      <c r="F4" s="620"/>
      <c r="G4" s="1746"/>
      <c r="H4" s="1747"/>
      <c r="I4" s="1746"/>
      <c r="J4" s="1748"/>
      <c r="K4" s="1748"/>
    </row>
    <row r="5" spans="1:11" x14ac:dyDescent="0.2">
      <c r="A5" s="2352" t="s">
        <v>1062</v>
      </c>
      <c r="B5" s="2323"/>
      <c r="C5" s="2323"/>
      <c r="D5" s="2323"/>
      <c r="E5" s="2353"/>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2" t="s">
        <v>1793</v>
      </c>
      <c r="B10" s="2323"/>
      <c r="C10" s="2323"/>
      <c r="D10" s="2323"/>
      <c r="E10" s="2354"/>
      <c r="F10" s="633" t="s">
        <v>857</v>
      </c>
      <c r="G10" s="1753"/>
      <c r="H10" s="1754"/>
      <c r="I10" s="1744"/>
      <c r="J10" s="1745"/>
      <c r="K10" s="1745"/>
    </row>
    <row r="11" spans="1:11" x14ac:dyDescent="0.2">
      <c r="A11" s="2352" t="s">
        <v>159</v>
      </c>
      <c r="B11" s="2323"/>
      <c r="C11" s="2323"/>
      <c r="D11" s="2323"/>
      <c r="E11" s="2353"/>
      <c r="F11" s="622" t="s">
        <v>847</v>
      </c>
      <c r="G11" s="1749"/>
      <c r="H11" s="1744"/>
      <c r="I11" s="1744"/>
      <c r="J11" s="1745"/>
      <c r="K11" s="1751"/>
    </row>
    <row r="12" spans="1:11" ht="13.5" thickBot="1" x14ac:dyDescent="0.25">
      <c r="A12" s="2340" t="s">
        <v>899</v>
      </c>
      <c r="B12" s="2341"/>
      <c r="C12" s="2341"/>
      <c r="D12" s="2341"/>
      <c r="E12" s="2342"/>
      <c r="F12" s="1433"/>
      <c r="G12" s="1755">
        <f>SUM(G5:G11)</f>
        <v>0</v>
      </c>
      <c r="H12" s="1755">
        <f>SUM(H5:H11)</f>
        <v>0</v>
      </c>
      <c r="I12" s="1755">
        <f>SUM(I5:I11)</f>
        <v>0</v>
      </c>
      <c r="J12" s="1755">
        <f>SUM(J5:J11)</f>
        <v>0</v>
      </c>
      <c r="K12" s="1755">
        <f>SUM(K5:K11)</f>
        <v>0</v>
      </c>
    </row>
    <row r="13" spans="1:11" ht="13.5" thickTop="1" x14ac:dyDescent="0.2">
      <c r="A13" s="2334" t="s">
        <v>367</v>
      </c>
      <c r="B13" s="2335"/>
      <c r="C13" s="2335"/>
      <c r="D13" s="2335"/>
      <c r="E13" s="2336"/>
      <c r="F13" s="634"/>
      <c r="G13" s="1756"/>
      <c r="H13" s="1757"/>
      <c r="I13" s="1758"/>
      <c r="J13" s="1758"/>
      <c r="K13" s="1758"/>
    </row>
    <row r="14" spans="1:11" x14ac:dyDescent="0.2">
      <c r="A14" s="2358" t="s">
        <v>453</v>
      </c>
      <c r="B14" s="2358"/>
      <c r="C14" s="2358"/>
      <c r="D14" s="2358"/>
      <c r="E14" s="2359"/>
      <c r="F14" s="635" t="s">
        <v>849</v>
      </c>
      <c r="G14" s="1753"/>
      <c r="H14" s="1744"/>
      <c r="I14" s="1749"/>
      <c r="J14" s="1751"/>
      <c r="K14" s="1745"/>
    </row>
    <row r="15" spans="1:11" x14ac:dyDescent="0.2">
      <c r="A15" s="2323" t="s">
        <v>4</v>
      </c>
      <c r="B15" s="2323"/>
      <c r="C15" s="2323"/>
      <c r="D15" s="2323"/>
      <c r="E15" s="2353"/>
      <c r="F15" s="635" t="s">
        <v>850</v>
      </c>
      <c r="G15" s="1749"/>
      <c r="H15" s="1744"/>
      <c r="I15" s="1744"/>
      <c r="J15" s="1745"/>
      <c r="K15" s="1745"/>
    </row>
    <row r="16" spans="1:11" x14ac:dyDescent="0.2">
      <c r="A16" s="2323" t="s">
        <v>295</v>
      </c>
      <c r="B16" s="2323"/>
      <c r="C16" s="2323"/>
      <c r="D16" s="2323"/>
      <c r="E16" s="2353"/>
      <c r="F16" s="635" t="s">
        <v>917</v>
      </c>
      <c r="G16" s="1750"/>
      <c r="H16" s="1746"/>
      <c r="I16" s="1746"/>
      <c r="J16" s="1748"/>
      <c r="K16" s="1748"/>
    </row>
    <row r="17" spans="1:15" x14ac:dyDescent="0.2">
      <c r="A17" s="2347" t="s">
        <v>929</v>
      </c>
      <c r="B17" s="2347"/>
      <c r="C17" s="2347"/>
      <c r="D17" s="2347"/>
      <c r="E17" s="2348"/>
      <c r="F17" s="636"/>
      <c r="G17" s="1759"/>
      <c r="H17" s="1760"/>
      <c r="I17" s="1760"/>
      <c r="J17" s="1761"/>
      <c r="K17" s="1762"/>
    </row>
    <row r="18" spans="1:15" x14ac:dyDescent="0.2">
      <c r="A18" s="2337" t="s">
        <v>365</v>
      </c>
      <c r="B18" s="2338"/>
      <c r="C18" s="2338"/>
      <c r="D18" s="2338"/>
      <c r="E18" s="2339"/>
      <c r="F18" s="635" t="s">
        <v>926</v>
      </c>
      <c r="G18" s="1753"/>
      <c r="H18" s="1753"/>
      <c r="I18" s="1753"/>
      <c r="J18" s="1745"/>
      <c r="K18" s="1763"/>
    </row>
    <row r="19" spans="1:15" ht="21.75" customHeight="1" x14ac:dyDescent="0.2">
      <c r="A19" s="2360" t="s">
        <v>1789</v>
      </c>
      <c r="B19" s="2360"/>
      <c r="C19" s="2360"/>
      <c r="D19" s="2360"/>
      <c r="E19" s="2361"/>
      <c r="F19" s="635" t="s">
        <v>927</v>
      </c>
      <c r="G19" s="1753"/>
      <c r="H19" s="1753"/>
      <c r="I19" s="1753"/>
      <c r="J19" s="1745"/>
      <c r="K19" s="1763"/>
    </row>
    <row r="20" spans="1:15" x14ac:dyDescent="0.2">
      <c r="A20" s="2337" t="s">
        <v>1794</v>
      </c>
      <c r="B20" s="2338"/>
      <c r="C20" s="2338"/>
      <c r="D20" s="2338"/>
      <c r="E20" s="2339"/>
      <c r="F20" s="635" t="s">
        <v>928</v>
      </c>
      <c r="G20" s="1753"/>
      <c r="H20" s="1753"/>
      <c r="I20" s="1753"/>
      <c r="J20" s="1745"/>
      <c r="K20" s="1763"/>
    </row>
    <row r="21" spans="1:15" ht="13.5" thickBot="1" x14ac:dyDescent="0.25">
      <c r="A21" s="2343" t="s">
        <v>633</v>
      </c>
      <c r="B21" s="2343"/>
      <c r="C21" s="2343"/>
      <c r="D21" s="2343"/>
      <c r="E21" s="2343"/>
      <c r="F21" s="1434"/>
      <c r="G21" s="1760"/>
      <c r="H21" s="1764"/>
      <c r="I21" s="1764"/>
      <c r="J21" s="1765">
        <f>SUM(J18:J20)</f>
        <v>0</v>
      </c>
      <c r="K21" s="1761"/>
    </row>
    <row r="22" spans="1:15" ht="13.5" thickTop="1" x14ac:dyDescent="0.2">
      <c r="A22" s="2323" t="s">
        <v>1795</v>
      </c>
      <c r="B22" s="2323"/>
      <c r="C22" s="2323"/>
      <c r="D22" s="2323"/>
      <c r="E22" s="2353"/>
      <c r="F22" s="635" t="s">
        <v>857</v>
      </c>
      <c r="G22" s="1753"/>
      <c r="H22" s="1744"/>
      <c r="I22" s="1744"/>
      <c r="J22" s="1766"/>
      <c r="K22" s="1745"/>
    </row>
    <row r="23" spans="1:15" ht="13.5" thickBot="1" x14ac:dyDescent="0.25">
      <c r="A23" s="2344" t="s">
        <v>900</v>
      </c>
      <c r="B23" s="2343"/>
      <c r="C23" s="2343"/>
      <c r="D23" s="2343"/>
      <c r="E23" s="234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5" t="str">
        <f>"Ending Cash Basis Fund Balance as of June 30, "&amp;'AFR20'!E2</f>
        <v>Ending Cash Basis Fund Balance as of June 30, 2020</v>
      </c>
      <c r="B24" s="2346"/>
      <c r="C24" s="2346"/>
      <c r="D24" s="2346"/>
      <c r="E24" s="234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5"/>
      <c r="I31" s="2356"/>
      <c r="J31" s="2356"/>
      <c r="K31" s="2356"/>
    </row>
    <row r="32" spans="1:15" x14ac:dyDescent="0.2">
      <c r="A32" s="649"/>
      <c r="B32" s="232"/>
      <c r="C32" s="232"/>
      <c r="D32" s="232"/>
      <c r="E32" s="645"/>
      <c r="F32" s="651" t="s">
        <v>537</v>
      </c>
      <c r="G32" s="618"/>
      <c r="H32" s="2357"/>
      <c r="I32" s="2356"/>
      <c r="J32" s="2356"/>
      <c r="K32" s="2356"/>
    </row>
    <row r="33" spans="1:11" ht="1.5" customHeight="1" x14ac:dyDescent="0.2">
      <c r="A33" s="652" t="s">
        <v>1161</v>
      </c>
      <c r="B33" s="341"/>
      <c r="C33" s="341"/>
      <c r="D33" s="341"/>
      <c r="E33" s="341"/>
      <c r="F33" s="341"/>
      <c r="G33" s="653"/>
      <c r="H33" s="2357"/>
      <c r="I33" s="2356"/>
      <c r="J33" s="2356"/>
      <c r="K33" s="235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24"/>
      <c r="C41" s="2324"/>
      <c r="D41" s="2324"/>
      <c r="E41" s="2324"/>
      <c r="F41" s="23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1878</v>
      </c>
      <c r="B1" s="2365"/>
      <c r="C1" s="2366"/>
      <c r="D1" s="666"/>
      <c r="E1" s="667"/>
      <c r="F1" s="667"/>
      <c r="G1" s="668"/>
      <c r="H1" s="669"/>
      <c r="I1" s="670"/>
      <c r="J1" s="2362"/>
      <c r="K1" s="2363"/>
      <c r="L1" s="2363"/>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37553</v>
      </c>
      <c r="D5" s="1770"/>
      <c r="E5" s="1770"/>
      <c r="F5" s="1765">
        <f>(C5+D5)-E5</f>
        <v>37553</v>
      </c>
      <c r="G5" s="676"/>
      <c r="H5" s="680"/>
      <c r="I5" s="680"/>
      <c r="J5" s="680"/>
      <c r="K5" s="637"/>
      <c r="L5" s="1442">
        <f>F5-K5</f>
        <v>37553</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1299597</v>
      </c>
      <c r="D8" s="1771">
        <v>4176</v>
      </c>
      <c r="E8" s="1771"/>
      <c r="F8" s="1765">
        <f>(C8+D8)-E8</f>
        <v>1303773</v>
      </c>
      <c r="G8" s="681">
        <v>50</v>
      </c>
      <c r="H8" s="619">
        <v>301534</v>
      </c>
      <c r="I8" s="619">
        <v>23527</v>
      </c>
      <c r="J8" s="619"/>
      <c r="K8" s="1442">
        <f>(H8+I8)-J8</f>
        <v>325061</v>
      </c>
      <c r="L8" s="1442">
        <f>F8-K8</f>
        <v>978712</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81842</v>
      </c>
      <c r="D10" s="1772">
        <v>7102</v>
      </c>
      <c r="E10" s="1772"/>
      <c r="F10" s="1773">
        <f>(C10+D10)-E10</f>
        <v>88944</v>
      </c>
      <c r="G10" s="681">
        <v>20</v>
      </c>
      <c r="H10" s="683">
        <v>52135</v>
      </c>
      <c r="I10" s="683">
        <v>3350</v>
      </c>
      <c r="J10" s="683"/>
      <c r="K10" s="1442">
        <f>(H10+I10)-J10</f>
        <v>55485</v>
      </c>
      <c r="L10" s="1442">
        <f>F10-K10</f>
        <v>33459</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712346</v>
      </c>
      <c r="D12" s="1771">
        <v>103060</v>
      </c>
      <c r="E12" s="1771">
        <v>55648</v>
      </c>
      <c r="F12" s="1765">
        <f>(C12+D12)-E12</f>
        <v>759758</v>
      </c>
      <c r="G12" s="681">
        <v>10</v>
      </c>
      <c r="H12" s="619">
        <v>288045</v>
      </c>
      <c r="I12" s="619">
        <v>76784</v>
      </c>
      <c r="J12" s="619">
        <v>55648</v>
      </c>
      <c r="K12" s="1442">
        <f>(H12+I12)-J12</f>
        <v>309181</v>
      </c>
      <c r="L12" s="1442">
        <f>F12-K12</f>
        <v>450577</v>
      </c>
    </row>
    <row r="13" spans="1:14" ht="14.25" thickTop="1" thickBot="1" x14ac:dyDescent="0.25">
      <c r="A13" s="684" t="s">
        <v>1114</v>
      </c>
      <c r="B13" s="679">
        <v>252</v>
      </c>
      <c r="C13" s="1771"/>
      <c r="D13" s="1771">
        <v>30000</v>
      </c>
      <c r="E13" s="1771"/>
      <c r="F13" s="1765">
        <f>(C13+D13)-E13</f>
        <v>30000</v>
      </c>
      <c r="G13" s="681">
        <v>5</v>
      </c>
      <c r="H13" s="619"/>
      <c r="I13" s="619">
        <v>3500</v>
      </c>
      <c r="J13" s="619"/>
      <c r="K13" s="1442">
        <f>(H13+I13)-J13</f>
        <v>3500</v>
      </c>
      <c r="L13" s="1442">
        <f>F13-K13</f>
        <v>26500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2131338</v>
      </c>
      <c r="D16" s="1765">
        <f>SUM(D3,D5:D6,D8:D10,D12:D15)</f>
        <v>144338</v>
      </c>
      <c r="E16" s="1765">
        <f>SUM(E3,E5:E6,E8:E10,E12:E15)</f>
        <v>55648</v>
      </c>
      <c r="F16" s="1765">
        <f>SUM(F3,F5:F6,F8:F10,F12:F15)</f>
        <v>2220028</v>
      </c>
      <c r="G16" s="681"/>
      <c r="H16" s="1435">
        <f>SUM(H3,H6,H8:H10,H12:H14,)</f>
        <v>641714</v>
      </c>
      <c r="I16" s="1435">
        <f>SUM(I3,I6,I8:I10,I12:I14,)</f>
        <v>107161</v>
      </c>
      <c r="J16" s="1435">
        <f>SUM(J3,J6,J8:J10,J12:J14,)</f>
        <v>55648</v>
      </c>
      <c r="K16" s="1435">
        <f>(H16+I16)-J16</f>
        <v>693227</v>
      </c>
      <c r="L16" s="1435">
        <f>F16-K16</f>
        <v>1526801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107161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1097</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12794475</v>
      </c>
      <c r="G8" s="701"/>
    </row>
    <row r="9" spans="1:9" x14ac:dyDescent="0.2">
      <c r="A9" s="705" t="s">
        <v>457</v>
      </c>
      <c r="B9" s="706" t="s">
        <v>1851</v>
      </c>
      <c r="C9" s="707"/>
      <c r="D9" s="705" t="s">
        <v>498</v>
      </c>
      <c r="E9" s="704"/>
      <c r="F9" s="1775">
        <f>'Expenditures 15-22'!K151</f>
        <v>0</v>
      </c>
      <c r="G9" s="708"/>
    </row>
    <row r="10" spans="1:9" x14ac:dyDescent="0.2">
      <c r="A10" s="705" t="s">
        <v>496</v>
      </c>
      <c r="B10" s="706" t="s">
        <v>1852</v>
      </c>
      <c r="C10" s="707"/>
      <c r="D10" s="705" t="s">
        <v>498</v>
      </c>
      <c r="E10" s="704"/>
      <c r="F10" s="1775">
        <f>'Expenditures 15-22'!K174</f>
        <v>0</v>
      </c>
      <c r="G10" s="708"/>
    </row>
    <row r="11" spans="1:9" x14ac:dyDescent="0.2">
      <c r="A11" s="705" t="s">
        <v>458</v>
      </c>
      <c r="B11" s="706" t="s">
        <v>1853</v>
      </c>
      <c r="C11" s="707"/>
      <c r="D11" s="705" t="s">
        <v>498</v>
      </c>
      <c r="E11" s="704"/>
      <c r="F11" s="1775">
        <f>'Expenditures 15-22'!K210</f>
        <v>0</v>
      </c>
      <c r="G11" s="708"/>
    </row>
    <row r="12" spans="1:9" x14ac:dyDescent="0.2">
      <c r="A12" s="705" t="s">
        <v>459</v>
      </c>
      <c r="B12" s="706" t="s">
        <v>1854</v>
      </c>
      <c r="C12" s="707"/>
      <c r="D12" s="705" t="s">
        <v>498</v>
      </c>
      <c r="E12" s="704"/>
      <c r="F12" s="1775">
        <f>'Expenditures 15-22'!K295</f>
        <v>0</v>
      </c>
      <c r="G12" s="708"/>
    </row>
    <row r="13" spans="1:9" x14ac:dyDescent="0.2">
      <c r="A13" s="705" t="s">
        <v>106</v>
      </c>
      <c r="B13" s="706" t="s">
        <v>1855</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12794475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766492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16771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353500</v>
      </c>
      <c r="G53" s="701"/>
    </row>
    <row r="54" spans="1:7" x14ac:dyDescent="0.2">
      <c r="A54" s="705" t="s">
        <v>456</v>
      </c>
      <c r="B54" s="705" t="s">
        <v>1462</v>
      </c>
      <c r="C54" s="724" t="s">
        <v>975</v>
      </c>
      <c r="D54" s="720" t="s">
        <v>1088</v>
      </c>
      <c r="E54" s="704"/>
      <c r="F54" s="1782">
        <f>'Expenditures 15-22'!G114</f>
        <v>144338</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0</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1281101</v>
      </c>
      <c r="G77" s="701"/>
    </row>
    <row r="78" spans="1:9" s="728" customFormat="1" ht="12" customHeight="1" thickTop="1" thickBot="1" x14ac:dyDescent="0.25">
      <c r="A78" s="1450"/>
      <c r="B78" s="1448"/>
      <c r="C78" s="1445"/>
      <c r="D78" s="1449" t="s">
        <v>2015</v>
      </c>
      <c r="E78" s="1447"/>
      <c r="F78" s="1788">
        <f>(F14-F77)</f>
        <v>11513374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2016</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7" t="s">
        <v>1098</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13115</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1226623</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21</v>
      </c>
      <c r="G105" s="745"/>
    </row>
    <row r="106" spans="1:7" x14ac:dyDescent="0.2">
      <c r="A106" s="741" t="s">
        <v>500</v>
      </c>
      <c r="B106" s="741" t="s">
        <v>1913</v>
      </c>
      <c r="C106" s="746">
        <v>3100</v>
      </c>
      <c r="D106" s="752" t="str">
        <f>'Revenues 9-14'!A132</f>
        <v>Total Special Education</v>
      </c>
      <c r="E106" s="739"/>
      <c r="F106" s="1793">
        <f>SUM('Revenues 9-14'!C132:D132,'Revenues 9-14'!F132)</f>
        <v>0</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4007</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32641</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210158</v>
      </c>
      <c r="G126" s="763"/>
    </row>
    <row r="127" spans="1:7" x14ac:dyDescent="0.2">
      <c r="A127" s="760" t="s">
        <v>663</v>
      </c>
      <c r="B127" s="760" t="s">
        <v>1934</v>
      </c>
      <c r="C127" s="765">
        <v>4300</v>
      </c>
      <c r="D127" s="766" t="str">
        <f>'Revenues 9-14'!A204</f>
        <v>Total Title I</v>
      </c>
      <c r="E127" s="739"/>
      <c r="F127" s="1793">
        <f>SUM('Revenues 9-14'!C204,'Revenues 9-14'!D204,'Revenues 9-14'!F204,'Revenues 9-14'!G204)</f>
        <v>0</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249850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457144</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131194</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940583</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c r="G172" s="760"/>
    </row>
    <row r="173" spans="1:7" x14ac:dyDescent="0.2">
      <c r="A173" s="1529" t="s">
        <v>659</v>
      </c>
      <c r="B173" s="1530" t="s">
        <v>1888</v>
      </c>
      <c r="C173" s="1531">
        <v>3300</v>
      </c>
      <c r="D173" s="1532" t="s">
        <v>1891</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3265336</v>
      </c>
    </row>
    <row r="176" spans="1:7" ht="12" customHeight="1" x14ac:dyDescent="0.2">
      <c r="A176" s="1443"/>
      <c r="B176" s="1453"/>
      <c r="C176" s="1454"/>
      <c r="D176" s="1455" t="s">
        <v>2017</v>
      </c>
      <c r="E176" s="1456"/>
      <c r="F176" s="1793">
        <f>'PCTC-OEPP 27-28'!F78-F175</f>
        <v>8248038</v>
      </c>
    </row>
    <row r="177" spans="1:9" ht="12" customHeight="1" x14ac:dyDescent="0.2">
      <c r="A177" s="1443"/>
      <c r="B177" s="1453"/>
      <c r="C177" s="1454"/>
      <c r="D177" s="1455" t="s">
        <v>1797</v>
      </c>
      <c r="E177" s="1456"/>
      <c r="F177" s="1793">
        <f>'Cap Outlay Deprec 26'!I18</f>
        <v>107161</v>
      </c>
    </row>
    <row r="178" spans="1:9" ht="12" customHeight="1" x14ac:dyDescent="0.2">
      <c r="A178" s="1443"/>
      <c r="B178" s="1453"/>
      <c r="C178" s="1454"/>
      <c r="D178" s="1455" t="s">
        <v>2018</v>
      </c>
      <c r="E178" s="1456"/>
      <c r="F178" s="1793">
        <f>F176+F177</f>
        <v>8355199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2020</v>
      </c>
      <c r="E180" s="1456" t="s">
        <v>1531</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78"/>
  <sheetViews>
    <sheetView showGridLines="0" topLeftCell="A58" zoomScaleNormal="100" workbookViewId="0">
      <selection activeCell="E77" sqref="E77"/>
    </sheetView>
  </sheetViews>
  <sheetFormatPr defaultRowHeight="15" x14ac:dyDescent="0.25"/>
  <cols>
    <col min="1" max="1" width="52.42578125"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1810</v>
      </c>
      <c r="B1" s="1860"/>
      <c r="C1" s="1861"/>
      <c r="D1" s="1861"/>
      <c r="E1" s="1861"/>
      <c r="F1" s="1861"/>
    </row>
    <row r="2" spans="1:6" x14ac:dyDescent="0.25">
      <c r="A2" s="1863"/>
      <c r="B2" s="1864"/>
      <c r="C2" s="1910" t="s">
        <v>2006</v>
      </c>
      <c r="D2" s="1863"/>
      <c r="E2" s="1863"/>
      <c r="F2" s="1863"/>
    </row>
    <row r="3" spans="1:6" ht="5.25" customHeight="1" x14ac:dyDescent="0.25">
      <c r="A3" s="1865"/>
      <c r="B3" s="1866"/>
      <c r="C3" s="1865"/>
      <c r="D3" s="1865"/>
      <c r="E3" s="1865"/>
      <c r="F3" s="1865"/>
    </row>
    <row r="4" spans="1:6" ht="18.75" customHeight="1" x14ac:dyDescent="0.25">
      <c r="A4" s="2381" t="s">
        <v>1798</v>
      </c>
      <c r="B4" s="2382"/>
      <c r="C4" s="2382"/>
      <c r="D4" s="2382"/>
      <c r="E4" s="2382"/>
      <c r="F4" s="2383"/>
    </row>
    <row r="5" spans="1:6" x14ac:dyDescent="0.25">
      <c r="A5" s="2384"/>
      <c r="B5" s="2385"/>
      <c r="C5" s="2385"/>
      <c r="D5" s="2385"/>
      <c r="E5" s="2385"/>
      <c r="F5" s="2386"/>
    </row>
    <row r="6" spans="1:6" ht="18.75" x14ac:dyDescent="0.25">
      <c r="A6" s="1867" t="s">
        <v>1799</v>
      </c>
      <c r="B6" s="1868"/>
      <c r="C6" s="1869"/>
      <c r="D6" s="1869"/>
      <c r="E6" s="1869"/>
      <c r="F6" s="1870"/>
    </row>
    <row r="7" spans="1:6" ht="47.25" customHeight="1" x14ac:dyDescent="0.25">
      <c r="A7" s="2387" t="s">
        <v>1988</v>
      </c>
      <c r="B7" s="2388"/>
      <c r="C7" s="2388"/>
      <c r="D7" s="2388"/>
      <c r="E7" s="2388"/>
      <c r="F7" s="2389"/>
    </row>
    <row r="8" spans="1:6" ht="20.25" customHeight="1" x14ac:dyDescent="0.25">
      <c r="A8" s="1900" t="s">
        <v>1990</v>
      </c>
      <c r="B8" s="1901"/>
      <c r="C8" s="1901"/>
      <c r="D8" s="1901"/>
      <c r="E8" s="1871"/>
      <c r="F8" s="1872"/>
    </row>
    <row r="9" spans="1:6" ht="18" customHeight="1" x14ac:dyDescent="0.25">
      <c r="A9" s="1873" t="s">
        <v>1987</v>
      </c>
      <c r="B9" s="1875"/>
      <c r="C9" s="1875"/>
      <c r="D9" s="1875"/>
      <c r="E9" s="1871"/>
      <c r="F9" s="1872"/>
    </row>
    <row r="10" spans="1:6" ht="15.75" customHeight="1" x14ac:dyDescent="0.25">
      <c r="A10" s="2390" t="s">
        <v>1984</v>
      </c>
      <c r="B10" s="2391"/>
      <c r="C10" s="2391"/>
      <c r="D10" s="2391"/>
      <c r="E10" s="2391"/>
      <c r="F10" s="2392"/>
    </row>
    <row r="11" spans="1:6" ht="33" customHeight="1" x14ac:dyDescent="0.25">
      <c r="A11" s="2387" t="s">
        <v>1989</v>
      </c>
      <c r="B11" s="2388"/>
      <c r="C11" s="2388"/>
      <c r="D11" s="2388"/>
      <c r="E11" s="2388"/>
      <c r="F11" s="2389"/>
    </row>
    <row r="12" spans="1:6" ht="15" customHeight="1" x14ac:dyDescent="0.25">
      <c r="A12" s="1873" t="s">
        <v>1985</v>
      </c>
      <c r="B12" s="1874"/>
      <c r="C12" s="1875"/>
      <c r="D12" s="1875"/>
      <c r="E12" s="1875"/>
      <c r="F12" s="1876"/>
    </row>
    <row r="13" spans="1:6" ht="17.25" customHeight="1" x14ac:dyDescent="0.25">
      <c r="A13" s="2387" t="s">
        <v>1986</v>
      </c>
      <c r="B13" s="2388"/>
      <c r="C13" s="2388"/>
      <c r="D13" s="2388"/>
      <c r="E13" s="2388"/>
      <c r="F13" s="2389"/>
    </row>
    <row r="14" spans="1:6" ht="15" customHeight="1" x14ac:dyDescent="0.25">
      <c r="A14" s="1873" t="s">
        <v>1803</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5" t="s">
        <v>1802</v>
      </c>
      <c r="C17" s="1881" t="s">
        <v>1800</v>
      </c>
      <c r="D17" s="1882">
        <v>500000</v>
      </c>
      <c r="E17" s="1882" t="str">
        <f>IF(D17&lt;25000,D17,"25,000")</f>
        <v>25,000</v>
      </c>
      <c r="F17" s="1883">
        <f>IF(D17&gt;=25000,(D17-E17),"0")</f>
        <v>475000</v>
      </c>
    </row>
    <row r="18" spans="1:7" x14ac:dyDescent="0.25">
      <c r="A18" s="2038" t="s">
        <v>2093</v>
      </c>
      <c r="B18" s="1906">
        <v>102560300</v>
      </c>
      <c r="C18" s="2039" t="s">
        <v>2094</v>
      </c>
      <c r="D18" s="1884">
        <v>5591</v>
      </c>
      <c r="E18" s="1904">
        <f t="shared" ref="E18:E77" si="0">IF(D18&lt;25000,D18,"25,000")</f>
        <v>5591</v>
      </c>
      <c r="F18" s="1904" t="str">
        <f t="shared" ref="F18:F77" si="1">IF(D18&gt;=25000,(D18-E18),"0")</f>
        <v>0</v>
      </c>
      <c r="G18" s="1885"/>
    </row>
    <row r="19" spans="1:7" ht="30" x14ac:dyDescent="0.25">
      <c r="A19" s="2038" t="s">
        <v>2095</v>
      </c>
      <c r="B19" s="1906">
        <v>102300300</v>
      </c>
      <c r="C19" s="2039" t="s">
        <v>2096</v>
      </c>
      <c r="D19" s="1884">
        <v>1564</v>
      </c>
      <c r="E19" s="1904">
        <f t="shared" si="0"/>
        <v>1564</v>
      </c>
      <c r="F19" s="1904" t="str">
        <f t="shared" si="1"/>
        <v>0</v>
      </c>
    </row>
    <row r="20" spans="1:7" x14ac:dyDescent="0.25">
      <c r="A20" s="2038" t="s">
        <v>2097</v>
      </c>
      <c r="B20" s="1906">
        <v>102200300</v>
      </c>
      <c r="C20" s="2039" t="s">
        <v>2098</v>
      </c>
      <c r="D20" s="1884">
        <v>1034</v>
      </c>
      <c r="E20" s="1904">
        <f t="shared" si="0"/>
        <v>1034</v>
      </c>
      <c r="F20" s="1904" t="str">
        <f t="shared" si="1"/>
        <v>0</v>
      </c>
    </row>
    <row r="21" spans="1:7" x14ac:dyDescent="0.25">
      <c r="A21" s="2038" t="s">
        <v>2099</v>
      </c>
      <c r="B21" s="1906">
        <v>102660300</v>
      </c>
      <c r="C21" s="2039" t="s">
        <v>2100</v>
      </c>
      <c r="D21" s="1884">
        <v>22412</v>
      </c>
      <c r="E21" s="1904">
        <f t="shared" si="0"/>
        <v>22412</v>
      </c>
      <c r="F21" s="1904" t="str">
        <f t="shared" si="1"/>
        <v>0</v>
      </c>
    </row>
    <row r="22" spans="1:7" ht="30" x14ac:dyDescent="0.25">
      <c r="A22" s="2038" t="s">
        <v>2101</v>
      </c>
      <c r="B22" s="1906">
        <v>102200300</v>
      </c>
      <c r="C22" s="2039" t="s">
        <v>2102</v>
      </c>
      <c r="D22" s="1884">
        <v>1543</v>
      </c>
      <c r="E22" s="1904">
        <f t="shared" si="0"/>
        <v>1543</v>
      </c>
      <c r="F22" s="1904" t="str">
        <f t="shared" si="1"/>
        <v>0</v>
      </c>
    </row>
    <row r="23" spans="1:7" x14ac:dyDescent="0.25">
      <c r="A23" s="2038" t="s">
        <v>2093</v>
      </c>
      <c r="B23" s="1906">
        <v>102560300</v>
      </c>
      <c r="C23" s="2039" t="s">
        <v>2103</v>
      </c>
      <c r="D23" s="1884">
        <v>13082</v>
      </c>
      <c r="E23" s="1904">
        <f t="shared" si="0"/>
        <v>13082</v>
      </c>
      <c r="F23" s="1904" t="str">
        <f t="shared" si="1"/>
        <v>0</v>
      </c>
    </row>
    <row r="24" spans="1:7" ht="30" x14ac:dyDescent="0.25">
      <c r="A24" s="2038" t="s">
        <v>2104</v>
      </c>
      <c r="B24" s="1906">
        <v>102300300</v>
      </c>
      <c r="C24" s="2039" t="s">
        <v>2105</v>
      </c>
      <c r="D24" s="1884">
        <v>33302</v>
      </c>
      <c r="E24" s="1904" t="str">
        <f t="shared" si="0"/>
        <v>25,000</v>
      </c>
      <c r="F24" s="1904">
        <f t="shared" si="1"/>
        <v>8302</v>
      </c>
    </row>
    <row r="25" spans="1:7" x14ac:dyDescent="0.25">
      <c r="A25" s="2038" t="s">
        <v>2106</v>
      </c>
      <c r="B25" s="1906">
        <v>102540300</v>
      </c>
      <c r="C25" s="2039" t="s">
        <v>2107</v>
      </c>
      <c r="D25" s="1884">
        <v>12750</v>
      </c>
      <c r="E25" s="1904">
        <f t="shared" si="0"/>
        <v>12750</v>
      </c>
      <c r="F25" s="1904" t="str">
        <f t="shared" si="1"/>
        <v>0</v>
      </c>
    </row>
    <row r="26" spans="1:7" x14ac:dyDescent="0.25">
      <c r="A26" s="2038" t="s">
        <v>2109</v>
      </c>
      <c r="B26" s="1906">
        <v>102300300</v>
      </c>
      <c r="C26" s="2039" t="s">
        <v>2108</v>
      </c>
      <c r="D26" s="1884">
        <v>9000</v>
      </c>
      <c r="E26" s="1904">
        <f t="shared" si="0"/>
        <v>9000</v>
      </c>
      <c r="F26" s="1904" t="str">
        <f t="shared" si="1"/>
        <v>0</v>
      </c>
    </row>
    <row r="27" spans="1:7" ht="30" x14ac:dyDescent="0.25">
      <c r="A27" s="2038" t="s">
        <v>2095</v>
      </c>
      <c r="B27" s="1906">
        <v>102300300</v>
      </c>
      <c r="C27" s="2039" t="s">
        <v>2110</v>
      </c>
      <c r="D27" s="1884">
        <v>35466</v>
      </c>
      <c r="E27" s="1904" t="str">
        <f t="shared" si="0"/>
        <v>25,000</v>
      </c>
      <c r="F27" s="1904">
        <f t="shared" si="1"/>
        <v>10466</v>
      </c>
    </row>
    <row r="28" spans="1:7" x14ac:dyDescent="0.25">
      <c r="A28" s="2038" t="s">
        <v>2106</v>
      </c>
      <c r="B28" s="1906">
        <v>102540300</v>
      </c>
      <c r="C28" s="2039" t="s">
        <v>2110</v>
      </c>
      <c r="D28" s="1884">
        <v>18283</v>
      </c>
      <c r="E28" s="1904">
        <f t="shared" si="0"/>
        <v>18283</v>
      </c>
      <c r="F28" s="1904" t="str">
        <f t="shared" si="1"/>
        <v>0</v>
      </c>
    </row>
    <row r="29" spans="1:7" ht="30" x14ac:dyDescent="0.25">
      <c r="A29" s="2038" t="s">
        <v>2111</v>
      </c>
      <c r="B29" s="1906">
        <v>102540300</v>
      </c>
      <c r="C29" s="2039" t="s">
        <v>2110</v>
      </c>
      <c r="D29" s="1884">
        <v>1782</v>
      </c>
      <c r="E29" s="1904">
        <f t="shared" si="0"/>
        <v>1782</v>
      </c>
      <c r="F29" s="1904" t="str">
        <f t="shared" si="1"/>
        <v>0</v>
      </c>
    </row>
    <row r="30" spans="1:7" x14ac:dyDescent="0.25">
      <c r="A30" s="2038" t="s">
        <v>2099</v>
      </c>
      <c r="B30" s="1906">
        <v>102660300</v>
      </c>
      <c r="C30" s="2039" t="s">
        <v>2112</v>
      </c>
      <c r="D30" s="1884">
        <v>1500</v>
      </c>
      <c r="E30" s="1904">
        <f t="shared" si="0"/>
        <v>1500</v>
      </c>
      <c r="F30" s="1904" t="str">
        <f t="shared" si="1"/>
        <v>0</v>
      </c>
    </row>
    <row r="31" spans="1:7" ht="30" x14ac:dyDescent="0.25">
      <c r="A31" s="2038" t="s">
        <v>2113</v>
      </c>
      <c r="B31" s="1906">
        <v>102100300</v>
      </c>
      <c r="C31" s="2039" t="s">
        <v>2114</v>
      </c>
      <c r="D31" s="1884">
        <v>2150</v>
      </c>
      <c r="E31" s="1904">
        <f t="shared" si="0"/>
        <v>2150</v>
      </c>
      <c r="F31" s="1904" t="str">
        <f t="shared" si="1"/>
        <v>0</v>
      </c>
    </row>
    <row r="32" spans="1:7" x14ac:dyDescent="0.25">
      <c r="A32" s="2038" t="s">
        <v>2093</v>
      </c>
      <c r="B32" s="1906">
        <v>102560300</v>
      </c>
      <c r="C32" s="2039" t="s">
        <v>2115</v>
      </c>
      <c r="D32" s="1884">
        <v>27042</v>
      </c>
      <c r="E32" s="1904" t="str">
        <f t="shared" si="0"/>
        <v>25,000</v>
      </c>
      <c r="F32" s="1904">
        <f t="shared" si="1"/>
        <v>2042</v>
      </c>
    </row>
    <row r="33" spans="1:6" x14ac:dyDescent="0.25">
      <c r="A33" s="2038" t="s">
        <v>2116</v>
      </c>
      <c r="B33" s="1906">
        <v>102550300</v>
      </c>
      <c r="C33" s="2039" t="s">
        <v>2117</v>
      </c>
      <c r="D33" s="1884">
        <v>43881</v>
      </c>
      <c r="E33" s="1904" t="str">
        <f t="shared" si="0"/>
        <v>25,000</v>
      </c>
      <c r="F33" s="1904">
        <f t="shared" si="1"/>
        <v>18881</v>
      </c>
    </row>
    <row r="34" spans="1:6" ht="30" x14ac:dyDescent="0.25">
      <c r="A34" s="2038" t="s">
        <v>2104</v>
      </c>
      <c r="B34" s="1906">
        <v>102300300</v>
      </c>
      <c r="C34" s="2039" t="s">
        <v>2118</v>
      </c>
      <c r="D34" s="1884">
        <v>6783</v>
      </c>
      <c r="E34" s="1904">
        <f t="shared" si="0"/>
        <v>6783</v>
      </c>
      <c r="F34" s="1904" t="str">
        <f t="shared" si="1"/>
        <v>0</v>
      </c>
    </row>
    <row r="35" spans="1:6" ht="30" x14ac:dyDescent="0.25">
      <c r="A35" s="2038" t="s">
        <v>2119</v>
      </c>
      <c r="B35" s="1906">
        <v>102200300</v>
      </c>
      <c r="C35" s="2039" t="s">
        <v>2120</v>
      </c>
      <c r="D35" s="1884">
        <v>5180</v>
      </c>
      <c r="E35" s="1904">
        <f t="shared" si="0"/>
        <v>5180</v>
      </c>
      <c r="F35" s="1904" t="str">
        <f t="shared" si="1"/>
        <v>0</v>
      </c>
    </row>
    <row r="36" spans="1:6" ht="30" x14ac:dyDescent="0.25">
      <c r="A36" s="2038" t="s">
        <v>2119</v>
      </c>
      <c r="B36" s="1906">
        <v>102200300</v>
      </c>
      <c r="C36" s="2039" t="s">
        <v>2121</v>
      </c>
      <c r="D36" s="1884">
        <v>12000</v>
      </c>
      <c r="E36" s="1904">
        <f t="shared" si="0"/>
        <v>12000</v>
      </c>
      <c r="F36" s="1904" t="str">
        <f t="shared" si="1"/>
        <v>0</v>
      </c>
    </row>
    <row r="37" spans="1:6" ht="30" x14ac:dyDescent="0.25">
      <c r="A37" s="2038" t="s">
        <v>2119</v>
      </c>
      <c r="B37" s="1906">
        <v>102200300</v>
      </c>
      <c r="C37" s="2039" t="s">
        <v>2122</v>
      </c>
      <c r="D37" s="1884">
        <v>1500</v>
      </c>
      <c r="E37" s="1904">
        <f t="shared" si="0"/>
        <v>1500</v>
      </c>
      <c r="F37" s="1904" t="str">
        <f t="shared" si="1"/>
        <v>0</v>
      </c>
    </row>
    <row r="38" spans="1:6" ht="30" x14ac:dyDescent="0.25">
      <c r="A38" s="2038" t="s">
        <v>2104</v>
      </c>
      <c r="B38" s="1906">
        <v>102300300</v>
      </c>
      <c r="C38" s="2039" t="s">
        <v>2123</v>
      </c>
      <c r="D38" s="1884">
        <v>13230</v>
      </c>
      <c r="E38" s="1904">
        <f t="shared" si="0"/>
        <v>13230</v>
      </c>
      <c r="F38" s="1904" t="str">
        <f t="shared" si="1"/>
        <v>0</v>
      </c>
    </row>
    <row r="39" spans="1:6" x14ac:dyDescent="0.25">
      <c r="A39" s="2038" t="s">
        <v>2099</v>
      </c>
      <c r="B39" s="1907">
        <v>102660300</v>
      </c>
      <c r="C39" s="2039" t="s">
        <v>2124</v>
      </c>
      <c r="D39" s="1884">
        <v>44299</v>
      </c>
      <c r="E39" s="1904" t="str">
        <f t="shared" si="0"/>
        <v>25,000</v>
      </c>
      <c r="F39" s="1904">
        <f t="shared" si="1"/>
        <v>19299</v>
      </c>
    </row>
    <row r="40" spans="1:6" x14ac:dyDescent="0.25">
      <c r="A40" s="2038" t="s">
        <v>2125</v>
      </c>
      <c r="B40" s="1907">
        <v>102660300</v>
      </c>
      <c r="C40" s="2039" t="s">
        <v>2124</v>
      </c>
      <c r="D40" s="1884">
        <v>44299</v>
      </c>
      <c r="E40" s="1904" t="str">
        <f t="shared" si="0"/>
        <v>25,000</v>
      </c>
      <c r="F40" s="1904">
        <f t="shared" si="1"/>
        <v>19299</v>
      </c>
    </row>
    <row r="41" spans="1:6" x14ac:dyDescent="0.25">
      <c r="A41" s="2038" t="s">
        <v>2126</v>
      </c>
      <c r="B41" s="1907">
        <v>102300300</v>
      </c>
      <c r="C41" s="2039" t="s">
        <v>2127</v>
      </c>
      <c r="D41" s="1884">
        <v>24521</v>
      </c>
      <c r="E41" s="1904">
        <f t="shared" si="0"/>
        <v>24521</v>
      </c>
      <c r="F41" s="1904" t="str">
        <f t="shared" si="1"/>
        <v>0</v>
      </c>
    </row>
    <row r="42" spans="1:6" ht="30" x14ac:dyDescent="0.25">
      <c r="A42" s="2038" t="s">
        <v>2128</v>
      </c>
      <c r="B42" s="1907">
        <v>102300300</v>
      </c>
      <c r="C42" s="2039" t="s">
        <v>2129</v>
      </c>
      <c r="D42" s="1884">
        <v>4775</v>
      </c>
      <c r="E42" s="1904">
        <f t="shared" si="0"/>
        <v>4775</v>
      </c>
      <c r="F42" s="1904" t="str">
        <f t="shared" si="1"/>
        <v>0</v>
      </c>
    </row>
    <row r="43" spans="1:6" x14ac:dyDescent="0.25">
      <c r="A43" s="2038" t="s">
        <v>2130</v>
      </c>
      <c r="B43" s="1907">
        <v>102540300</v>
      </c>
      <c r="C43" s="2039" t="s">
        <v>2131</v>
      </c>
      <c r="D43" s="1884">
        <v>61678</v>
      </c>
      <c r="E43" s="1904" t="str">
        <f t="shared" si="0"/>
        <v>25,000</v>
      </c>
      <c r="F43" s="1904">
        <f t="shared" si="1"/>
        <v>36678</v>
      </c>
    </row>
    <row r="44" spans="1:6" x14ac:dyDescent="0.25">
      <c r="A44" s="2038" t="s">
        <v>2093</v>
      </c>
      <c r="B44" s="1907">
        <v>102560300</v>
      </c>
      <c r="C44" s="2039" t="s">
        <v>2132</v>
      </c>
      <c r="D44" s="1884">
        <v>18776</v>
      </c>
      <c r="E44" s="1904">
        <f t="shared" si="0"/>
        <v>18776</v>
      </c>
      <c r="F44" s="1904" t="str">
        <f t="shared" si="1"/>
        <v>0</v>
      </c>
    </row>
    <row r="45" spans="1:6" x14ac:dyDescent="0.25">
      <c r="A45" s="2038" t="s">
        <v>2133</v>
      </c>
      <c r="B45" s="1907">
        <v>102540300</v>
      </c>
      <c r="C45" s="2039" t="s">
        <v>2134</v>
      </c>
      <c r="D45" s="1884">
        <v>12710</v>
      </c>
      <c r="E45" s="1904">
        <f t="shared" si="0"/>
        <v>12710</v>
      </c>
      <c r="F45" s="1904" t="str">
        <f t="shared" si="1"/>
        <v>0</v>
      </c>
    </row>
    <row r="46" spans="1:6" x14ac:dyDescent="0.25">
      <c r="A46" s="2038" t="s">
        <v>2135</v>
      </c>
      <c r="B46" s="1907">
        <v>102540300</v>
      </c>
      <c r="C46" s="2039" t="s">
        <v>2134</v>
      </c>
      <c r="D46" s="1884">
        <v>7730</v>
      </c>
      <c r="E46" s="1904">
        <f t="shared" si="0"/>
        <v>7730</v>
      </c>
      <c r="F46" s="1904" t="str">
        <f t="shared" si="1"/>
        <v>0</v>
      </c>
    </row>
    <row r="47" spans="1:6" x14ac:dyDescent="0.25">
      <c r="A47" s="2038" t="s">
        <v>2136</v>
      </c>
      <c r="B47" s="1907">
        <v>102520300</v>
      </c>
      <c r="C47" s="2039" t="s">
        <v>2137</v>
      </c>
      <c r="D47" s="1884">
        <v>13995</v>
      </c>
      <c r="E47" s="1904">
        <f t="shared" si="0"/>
        <v>13995</v>
      </c>
      <c r="F47" s="1904" t="str">
        <f t="shared" si="1"/>
        <v>0</v>
      </c>
    </row>
    <row r="48" spans="1:6" ht="30" x14ac:dyDescent="0.25">
      <c r="A48" s="2038" t="s">
        <v>2119</v>
      </c>
      <c r="B48" s="1907">
        <v>102200300</v>
      </c>
      <c r="C48" s="2039" t="s">
        <v>2138</v>
      </c>
      <c r="D48" s="1884">
        <v>2250</v>
      </c>
      <c r="E48" s="1904">
        <f t="shared" si="0"/>
        <v>2250</v>
      </c>
      <c r="F48" s="1904" t="str">
        <f t="shared" si="1"/>
        <v>0</v>
      </c>
    </row>
    <row r="49" spans="1:6" x14ac:dyDescent="0.25">
      <c r="A49" s="2038" t="s">
        <v>2139</v>
      </c>
      <c r="B49" s="1907">
        <v>102540300</v>
      </c>
      <c r="C49" s="2039" t="s">
        <v>2140</v>
      </c>
      <c r="D49" s="1884">
        <v>156016</v>
      </c>
      <c r="E49" s="1904" t="str">
        <f t="shared" si="0"/>
        <v>25,000</v>
      </c>
      <c r="F49" s="1904">
        <f t="shared" si="1"/>
        <v>131016</v>
      </c>
    </row>
    <row r="50" spans="1:6" ht="30" x14ac:dyDescent="0.25">
      <c r="A50" s="2038" t="s">
        <v>2119</v>
      </c>
      <c r="B50" s="1907">
        <v>102200300</v>
      </c>
      <c r="C50" s="2039" t="s">
        <v>2141</v>
      </c>
      <c r="D50" s="1884">
        <v>750</v>
      </c>
      <c r="E50" s="1904">
        <f t="shared" si="0"/>
        <v>750</v>
      </c>
      <c r="F50" s="1904" t="str">
        <f t="shared" si="1"/>
        <v>0</v>
      </c>
    </row>
    <row r="51" spans="1:6" x14ac:dyDescent="0.25">
      <c r="A51" s="2038" t="s">
        <v>2142</v>
      </c>
      <c r="B51" s="1907">
        <v>102540300</v>
      </c>
      <c r="C51" s="2039" t="s">
        <v>2143</v>
      </c>
      <c r="D51" s="1884">
        <v>630</v>
      </c>
      <c r="E51" s="1904">
        <f t="shared" si="0"/>
        <v>630</v>
      </c>
      <c r="F51" s="1904" t="str">
        <f t="shared" si="1"/>
        <v>0</v>
      </c>
    </row>
    <row r="52" spans="1:6" ht="30" x14ac:dyDescent="0.25">
      <c r="A52" s="2038" t="s">
        <v>2119</v>
      </c>
      <c r="B52" s="1907">
        <v>102200300</v>
      </c>
      <c r="C52" s="2039" t="s">
        <v>2144</v>
      </c>
      <c r="D52" s="1884">
        <v>2750</v>
      </c>
      <c r="E52" s="1904">
        <f t="shared" si="0"/>
        <v>2750</v>
      </c>
      <c r="F52" s="1904" t="str">
        <f t="shared" si="1"/>
        <v>0</v>
      </c>
    </row>
    <row r="53" spans="1:6" x14ac:dyDescent="0.25">
      <c r="A53" s="2038" t="s">
        <v>2093</v>
      </c>
      <c r="B53" s="1907">
        <v>102560300</v>
      </c>
      <c r="C53" s="2039" t="s">
        <v>2145</v>
      </c>
      <c r="D53" s="1884">
        <v>28996</v>
      </c>
      <c r="E53" s="1904" t="str">
        <f t="shared" si="0"/>
        <v>25,000</v>
      </c>
      <c r="F53" s="1904">
        <f t="shared" si="1"/>
        <v>3996</v>
      </c>
    </row>
    <row r="54" spans="1:6" ht="30" x14ac:dyDescent="0.25">
      <c r="A54" s="2038" t="s">
        <v>2119</v>
      </c>
      <c r="B54" s="1907">
        <v>102200300</v>
      </c>
      <c r="C54" s="2039" t="s">
        <v>2146</v>
      </c>
      <c r="D54" s="1884">
        <v>5250</v>
      </c>
      <c r="E54" s="1904">
        <f t="shared" si="0"/>
        <v>5250</v>
      </c>
      <c r="F54" s="1904" t="str">
        <f t="shared" si="1"/>
        <v>0</v>
      </c>
    </row>
    <row r="55" spans="1:6" ht="30" x14ac:dyDescent="0.25">
      <c r="A55" s="2038" t="s">
        <v>2104</v>
      </c>
      <c r="B55" s="1907">
        <v>102300300</v>
      </c>
      <c r="C55" s="2039" t="s">
        <v>2147</v>
      </c>
      <c r="D55" s="1884">
        <v>2415</v>
      </c>
      <c r="E55" s="1904">
        <f t="shared" si="0"/>
        <v>2415</v>
      </c>
      <c r="F55" s="1904" t="str">
        <f t="shared" si="1"/>
        <v>0</v>
      </c>
    </row>
    <row r="56" spans="1:6" ht="30" x14ac:dyDescent="0.25">
      <c r="A56" s="2038" t="s">
        <v>2148</v>
      </c>
      <c r="B56" s="1907">
        <v>102300300</v>
      </c>
      <c r="C56" s="2040" t="s">
        <v>2149</v>
      </c>
      <c r="D56" s="1884">
        <v>35714</v>
      </c>
      <c r="E56" s="1904" t="str">
        <f t="shared" si="0"/>
        <v>25,000</v>
      </c>
      <c r="F56" s="1904">
        <f t="shared" si="1"/>
        <v>10714</v>
      </c>
    </row>
    <row r="57" spans="1:6" ht="30" x14ac:dyDescent="0.25">
      <c r="A57" s="2038" t="s">
        <v>2150</v>
      </c>
      <c r="B57" s="1907">
        <v>101000300</v>
      </c>
      <c r="C57" s="2039" t="s">
        <v>2151</v>
      </c>
      <c r="D57" s="1884">
        <v>8281</v>
      </c>
      <c r="E57" s="1904">
        <f t="shared" si="0"/>
        <v>8281</v>
      </c>
      <c r="F57" s="1904" t="str">
        <f t="shared" si="1"/>
        <v>0</v>
      </c>
    </row>
    <row r="58" spans="1:6" ht="30" x14ac:dyDescent="0.25">
      <c r="A58" s="2038" t="s">
        <v>2095</v>
      </c>
      <c r="B58" s="1907">
        <v>102300300</v>
      </c>
      <c r="C58" s="2039" t="s">
        <v>2152</v>
      </c>
      <c r="D58" s="1884">
        <v>3566</v>
      </c>
      <c r="E58" s="1904">
        <f t="shared" si="0"/>
        <v>3566</v>
      </c>
      <c r="F58" s="1904" t="str">
        <f t="shared" si="1"/>
        <v>0</v>
      </c>
    </row>
    <row r="59" spans="1:6" x14ac:dyDescent="0.25">
      <c r="A59" s="2038" t="s">
        <v>2099</v>
      </c>
      <c r="B59" s="1907">
        <v>102660300</v>
      </c>
      <c r="C59" s="2039" t="s">
        <v>2153</v>
      </c>
      <c r="D59" s="1884">
        <v>6365</v>
      </c>
      <c r="E59" s="1904">
        <f t="shared" si="0"/>
        <v>6365</v>
      </c>
      <c r="F59" s="1904" t="str">
        <f t="shared" si="1"/>
        <v>0</v>
      </c>
    </row>
    <row r="60" spans="1:6" ht="30" x14ac:dyDescent="0.25">
      <c r="A60" s="2038" t="s">
        <v>2154</v>
      </c>
      <c r="B60" s="1907">
        <v>102100300</v>
      </c>
      <c r="C60" s="2039" t="s">
        <v>2155</v>
      </c>
      <c r="D60" s="1884">
        <v>79591</v>
      </c>
      <c r="E60" s="1904" t="str">
        <f t="shared" si="0"/>
        <v>25,000</v>
      </c>
      <c r="F60" s="1904">
        <f t="shared" si="1"/>
        <v>54591</v>
      </c>
    </row>
    <row r="61" spans="1:6" x14ac:dyDescent="0.25">
      <c r="A61" s="2038" t="s">
        <v>2156</v>
      </c>
      <c r="B61" s="1907">
        <v>102540300</v>
      </c>
      <c r="C61" s="2039" t="s">
        <v>2157</v>
      </c>
      <c r="D61" s="1884">
        <v>6072</v>
      </c>
      <c r="E61" s="1904">
        <f t="shared" si="0"/>
        <v>6072</v>
      </c>
      <c r="F61" s="1904" t="str">
        <f t="shared" si="1"/>
        <v>0</v>
      </c>
    </row>
    <row r="62" spans="1:6" x14ac:dyDescent="0.25">
      <c r="A62" s="2038" t="s">
        <v>2133</v>
      </c>
      <c r="B62" s="1907">
        <v>102540300</v>
      </c>
      <c r="C62" s="2039" t="s">
        <v>2158</v>
      </c>
      <c r="D62" s="1884">
        <v>645</v>
      </c>
      <c r="E62" s="1904">
        <f t="shared" si="0"/>
        <v>645</v>
      </c>
      <c r="F62" s="1904" t="str">
        <f t="shared" si="1"/>
        <v>0</v>
      </c>
    </row>
    <row r="63" spans="1:6" x14ac:dyDescent="0.25">
      <c r="A63" s="2038" t="s">
        <v>2109</v>
      </c>
      <c r="B63" s="1907">
        <v>102300300</v>
      </c>
      <c r="C63" s="2039" t="s">
        <v>2159</v>
      </c>
      <c r="D63" s="1884">
        <v>1228</v>
      </c>
      <c r="E63" s="1904">
        <f t="shared" si="0"/>
        <v>1228</v>
      </c>
      <c r="F63" s="1904" t="str">
        <f t="shared" si="1"/>
        <v>0</v>
      </c>
    </row>
    <row r="64" spans="1:6" ht="30" x14ac:dyDescent="0.25">
      <c r="A64" s="2038" t="s">
        <v>2150</v>
      </c>
      <c r="B64" s="1907">
        <v>101000300</v>
      </c>
      <c r="C64" s="2039" t="s">
        <v>2160</v>
      </c>
      <c r="D64" s="1884">
        <v>28592</v>
      </c>
      <c r="E64" s="1904" t="str">
        <f t="shared" si="0"/>
        <v>25,000</v>
      </c>
      <c r="F64" s="1904">
        <f t="shared" si="1"/>
        <v>3592</v>
      </c>
    </row>
    <row r="65" spans="1:6" x14ac:dyDescent="0.25">
      <c r="A65" s="2038" t="s">
        <v>2099</v>
      </c>
      <c r="B65" s="1907">
        <v>102660300</v>
      </c>
      <c r="C65" s="2039" t="s">
        <v>2161</v>
      </c>
      <c r="D65" s="1884">
        <v>8600</v>
      </c>
      <c r="E65" s="1904">
        <f t="shared" si="0"/>
        <v>8600</v>
      </c>
      <c r="F65" s="1904" t="str">
        <f t="shared" si="1"/>
        <v>0</v>
      </c>
    </row>
    <row r="66" spans="1:6" ht="30" x14ac:dyDescent="0.25">
      <c r="A66" s="2038" t="s">
        <v>2128</v>
      </c>
      <c r="B66" s="1907">
        <v>102300300</v>
      </c>
      <c r="C66" s="2039" t="s">
        <v>2162</v>
      </c>
      <c r="D66" s="1884">
        <v>1331</v>
      </c>
      <c r="E66" s="1904">
        <f t="shared" si="0"/>
        <v>1331</v>
      </c>
      <c r="F66" s="1904" t="str">
        <f t="shared" si="1"/>
        <v>0</v>
      </c>
    </row>
    <row r="67" spans="1:6" x14ac:dyDescent="0.25">
      <c r="A67" s="2038" t="s">
        <v>2156</v>
      </c>
      <c r="B67" s="1907">
        <v>102540300</v>
      </c>
      <c r="C67" s="2039" t="s">
        <v>2163</v>
      </c>
      <c r="D67" s="1884">
        <v>2097</v>
      </c>
      <c r="E67" s="1904">
        <f t="shared" si="0"/>
        <v>2097</v>
      </c>
      <c r="F67" s="1904" t="str">
        <f t="shared" si="1"/>
        <v>0</v>
      </c>
    </row>
    <row r="68" spans="1:6" x14ac:dyDescent="0.25">
      <c r="A68" s="2038" t="s">
        <v>2133</v>
      </c>
      <c r="B68" s="1907">
        <v>102540300</v>
      </c>
      <c r="C68" s="2039" t="s">
        <v>2163</v>
      </c>
      <c r="D68" s="1884">
        <v>1575</v>
      </c>
      <c r="E68" s="1904">
        <f t="shared" si="0"/>
        <v>1575</v>
      </c>
      <c r="F68" s="1904" t="str">
        <f t="shared" si="1"/>
        <v>0</v>
      </c>
    </row>
    <row r="69" spans="1:6" x14ac:dyDescent="0.25">
      <c r="A69" s="2038" t="s">
        <v>2093</v>
      </c>
      <c r="B69" s="1907">
        <v>102560300</v>
      </c>
      <c r="C69" s="2039" t="s">
        <v>2164</v>
      </c>
      <c r="D69" s="1884">
        <v>12396</v>
      </c>
      <c r="E69" s="1904">
        <f t="shared" si="0"/>
        <v>12396</v>
      </c>
      <c r="F69" s="1904" t="str">
        <f t="shared" si="1"/>
        <v>0</v>
      </c>
    </row>
    <row r="70" spans="1:6" ht="30" x14ac:dyDescent="0.25">
      <c r="A70" s="2038" t="s">
        <v>2095</v>
      </c>
      <c r="B70" s="1907">
        <v>102300300</v>
      </c>
      <c r="C70" s="2039" t="s">
        <v>2165</v>
      </c>
      <c r="D70" s="1884">
        <v>23212</v>
      </c>
      <c r="E70" s="1904">
        <f t="shared" si="0"/>
        <v>23212</v>
      </c>
      <c r="F70" s="1904" t="str">
        <f t="shared" si="1"/>
        <v>0</v>
      </c>
    </row>
    <row r="71" spans="1:6" x14ac:dyDescent="0.25">
      <c r="A71" s="2038" t="s">
        <v>2116</v>
      </c>
      <c r="B71" s="1907">
        <v>102550300</v>
      </c>
      <c r="C71" s="2039" t="s">
        <v>2166</v>
      </c>
      <c r="D71" s="1884">
        <v>17135</v>
      </c>
      <c r="E71" s="1904">
        <f t="shared" si="0"/>
        <v>17135</v>
      </c>
      <c r="F71" s="1904" t="str">
        <f t="shared" si="1"/>
        <v>0</v>
      </c>
    </row>
    <row r="72" spans="1:6" x14ac:dyDescent="0.25">
      <c r="A72" s="2038" t="s">
        <v>2109</v>
      </c>
      <c r="B72" s="1907">
        <v>102300300</v>
      </c>
      <c r="C72" s="2039" t="s">
        <v>2167</v>
      </c>
      <c r="D72" s="1884">
        <v>5167</v>
      </c>
      <c r="E72" s="1904">
        <f t="shared" si="0"/>
        <v>5167</v>
      </c>
      <c r="F72" s="1904" t="str">
        <f t="shared" si="1"/>
        <v>0</v>
      </c>
    </row>
    <row r="73" spans="1:6" x14ac:dyDescent="0.25">
      <c r="A73" s="2038" t="s">
        <v>2168</v>
      </c>
      <c r="B73" s="1907">
        <v>102540300</v>
      </c>
      <c r="C73" s="2039" t="s">
        <v>2167</v>
      </c>
      <c r="D73" s="1884">
        <v>1494</v>
      </c>
      <c r="E73" s="1904">
        <f t="shared" si="0"/>
        <v>1494</v>
      </c>
      <c r="F73" s="1904" t="str">
        <f t="shared" si="1"/>
        <v>0</v>
      </c>
    </row>
    <row r="74" spans="1:6" x14ac:dyDescent="0.25">
      <c r="A74" s="2038" t="s">
        <v>2109</v>
      </c>
      <c r="B74" s="1907">
        <v>102300300</v>
      </c>
      <c r="C74" s="2039" t="s">
        <v>2169</v>
      </c>
      <c r="D74" s="1884">
        <v>58545</v>
      </c>
      <c r="E74" s="1904" t="str">
        <f t="shared" si="0"/>
        <v>25,000</v>
      </c>
      <c r="F74" s="1904">
        <f t="shared" si="1"/>
        <v>33545</v>
      </c>
    </row>
    <row r="75" spans="1:6" ht="30" x14ac:dyDescent="0.25">
      <c r="A75" s="2038" t="s">
        <v>2119</v>
      </c>
      <c r="B75" s="1907">
        <v>102200300</v>
      </c>
      <c r="C75" s="2039" t="s">
        <v>2170</v>
      </c>
      <c r="D75" s="1884">
        <v>4401</v>
      </c>
      <c r="E75" s="1904">
        <f t="shared" si="0"/>
        <v>4401</v>
      </c>
      <c r="F75" s="1904" t="str">
        <f t="shared" si="1"/>
        <v>0</v>
      </c>
    </row>
    <row r="76" spans="1:6" ht="30" x14ac:dyDescent="0.25">
      <c r="A76" s="2038" t="s">
        <v>2119</v>
      </c>
      <c r="B76" s="1907">
        <v>102200300</v>
      </c>
      <c r="C76" s="2039" t="s">
        <v>2171</v>
      </c>
      <c r="D76" s="1884">
        <v>2391</v>
      </c>
      <c r="E76" s="1904">
        <f t="shared" si="0"/>
        <v>2391</v>
      </c>
      <c r="F76" s="1904" t="str">
        <f t="shared" si="1"/>
        <v>0</v>
      </c>
    </row>
    <row r="77" spans="1:6" x14ac:dyDescent="0.25">
      <c r="A77" s="1886"/>
      <c r="B77" s="1907"/>
      <c r="C77" s="1887"/>
      <c r="D77" s="1884"/>
      <c r="E77" s="1904">
        <f t="shared" si="0"/>
        <v>0</v>
      </c>
      <c r="F77" s="1904" t="str">
        <f t="shared" si="1"/>
        <v>0</v>
      </c>
    </row>
    <row r="78" spans="1:6" x14ac:dyDescent="0.25">
      <c r="A78" s="1888" t="s">
        <v>155</v>
      </c>
      <c r="B78" s="1908"/>
      <c r="C78" s="1889"/>
      <c r="D78" s="1890">
        <f>SUM(D18:D77)</f>
        <v>1009313</v>
      </c>
      <c r="E78" s="1891">
        <f>SUM(E18:E77)</f>
        <v>331892</v>
      </c>
      <c r="F78" s="1892">
        <f>SUM(F18:F77)</f>
        <v>352421</v>
      </c>
    </row>
  </sheetData>
  <sheetProtection selectLockedCells="1"/>
  <mergeCells count="6">
    <mergeCell ref="A15:F15"/>
    <mergeCell ref="A4:F5"/>
    <mergeCell ref="A7:F7"/>
    <mergeCell ref="A10:F10"/>
    <mergeCell ref="A11:F11"/>
    <mergeCell ref="A13:F13"/>
  </mergeCells>
  <pageMargins left="0.71" right="0.46" top="0.77" bottom="0.34" header="0.42" footer="0.17"/>
  <pageSetup scale="76"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topLeftCell="A7"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1663</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v>203993</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v>9888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6066615</v>
      </c>
      <c r="F19" s="1802"/>
      <c r="G19" s="1804">
        <f>'Expenditures 15-22'!K33-SUM('Expenditures 15-22'!G33,'Expenditures 15-22'!I33)+'Expenditures 15-22'!D229</f>
        <v>6066615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2290060</v>
      </c>
      <c r="F21" s="1805"/>
      <c r="G21" s="1808">
        <f>'Expenditures 15-22'!K42-SUM('Expenditures 15-22'!G42,'Expenditures 15-22'!I42)+'Expenditures 15-22'!K120-SUM('Expenditures 15-22'!G120,'Expenditures 15-22'!I120)+'Expenditures 15-22'!K180-SUM('Expenditures 15-22'!G180,'Expenditures 15-22'!I180)+'Expenditures 15-22'!D238</f>
        <v>2290060</v>
      </c>
      <c r="H21" s="817"/>
      <c r="I21" s="157"/>
    </row>
    <row r="22" spans="1:9" s="542" customFormat="1" ht="12" customHeight="1" x14ac:dyDescent="0.2">
      <c r="A22" s="824" t="s">
        <v>560</v>
      </c>
      <c r="B22" s="825"/>
      <c r="C22" s="823">
        <v>2200</v>
      </c>
      <c r="D22" s="1805"/>
      <c r="E22" s="1807">
        <f>'Expenditures 15-22'!K47-SUM('Expenditures 15-22'!G47,'Expenditures 15-22'!I47)+'Expenditures 15-22'!D243</f>
        <v>203975</v>
      </c>
      <c r="F22" s="1805"/>
      <c r="G22" s="1808">
        <f>'Expenditures 15-22'!K47-SUM('Expenditures 15-22'!G47,'Expenditures 15-22'!I47)+'Expenditures 15-22'!D243</f>
        <v>203975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2335170</v>
      </c>
      <c r="F23" s="1805"/>
      <c r="G23" s="1807">
        <f>'Expenditures 15-22'!K53-SUM('Expenditures 15-22'!G53,'Expenditures 15-22'!I53)+'Expenditures 15-22'!D257+'Expenditures 15-22'!K330-SUM('Expenditures 15-22'!G330,'Expenditures 15-22'!I330)</f>
        <v>2335170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94810</v>
      </c>
      <c r="E26" s="1807">
        <f>'Expenditures 15-22'!K122-SUM('Expenditures 15-22'!G122,'Expenditures 15-22'!I122)+E7</f>
        <v>0</v>
      </c>
      <c r="F26" s="1807">
        <f>'Expenditures 15-22'!K59-SUM('Expenditures 15-22'!G59,'Expenditures 15-22'!I59)+'Expenditures 15-22'!D263-E7</f>
        <v>94810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156778</v>
      </c>
      <c r="E27" s="1807">
        <f>E8</f>
        <v>0</v>
      </c>
      <c r="F27" s="1807">
        <f>'Expenditures 15-22'!K60-SUM('Expenditures 15-22'!G60,'Expenditures 15-22'!I60)+'Expenditures 15-22'!D264-E8</f>
        <v>156778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517606</v>
      </c>
      <c r="F28" s="1809">
        <f>'Expenditures 15-22'!K61-SUM('Expenditures 15-22'!G61,'Expenditures 15-22'!I61)+'Expenditures 15-22'!K124-SUM('Expenditures 15-22'!G124,'Expenditures 15-22'!I124)+'Expenditures 15-22'!D266-E9</f>
        <v>517606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61028</v>
      </c>
      <c r="F29" s="1805"/>
      <c r="G29" s="1808">
        <f>'Expenditures 15-22'!K62-SUM('Expenditures 15-22'!G62,'Expenditures 15-22'!I62)+'Expenditures 15-22'!K125-SUM('Expenditures 15-22'!G125,'Expenditures 15-22'!I125)+'Expenditures 15-22'!K182-SUM('Expenditures 15-22'!G182,'Expenditures 15-22'!I182)+'Expenditures 15-22'!D267</f>
        <v>61028</v>
      </c>
      <c r="H29" s="815"/>
    </row>
    <row r="30" spans="1:9" ht="12" customHeight="1" x14ac:dyDescent="0.2">
      <c r="A30" s="824" t="s">
        <v>100</v>
      </c>
      <c r="B30" s="827"/>
      <c r="C30" s="823">
        <v>2560</v>
      </c>
      <c r="D30" s="1805"/>
      <c r="E30" s="1807">
        <f>'Expenditures 15-22'!K63-SUM('Expenditures 15-22'!G63,'Expenditures 15-22'!I63)+'Expenditures 15-22'!D268-E10</f>
        <v>178977</v>
      </c>
      <c r="F30" s="1805"/>
      <c r="G30" s="1807">
        <f>'Expenditures 15-22'!K63-SUM('Expenditures 15-22'!G63,'Expenditures 15-22'!I63)+'Expenditures 15-22'!D268-E10</f>
        <v>178977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40105</v>
      </c>
      <c r="F35" s="1805"/>
      <c r="G35" s="1807">
        <f>'Expenditures 15-22'!K69-SUM('Expenditures 15-22'!G69,'Expenditures 15-22'!I69)+'Expenditures 15-22'!D274</f>
        <v>40105</v>
      </c>
    </row>
    <row r="36" spans="1:7" ht="12" customHeight="1" x14ac:dyDescent="0.2">
      <c r="A36" s="824" t="s">
        <v>400</v>
      </c>
      <c r="B36" s="827"/>
      <c r="C36" s="823">
        <v>2640</v>
      </c>
      <c r="D36" s="1807">
        <f>'Expenditures 15-22'!K70-SUM('Expenditures 15-22'!G70,'Expenditures 15-22'!I70)+'Expenditures 15-22'!D275-E13</f>
        <v>5103</v>
      </c>
      <c r="E36" s="1807">
        <f>E13</f>
        <v>0</v>
      </c>
      <c r="F36" s="1807">
        <f>'Expenditures 15-22'!K70-SUM('Expenditures 15-22'!G70,'Expenditures 15-22'!I70)+'Expenditures 15-22'!D275-E13</f>
        <v>5103</v>
      </c>
      <c r="G36" s="1807">
        <f>E13</f>
        <v>0</v>
      </c>
    </row>
    <row r="37" spans="1:7" ht="12" customHeight="1" x14ac:dyDescent="0.2">
      <c r="A37" s="824" t="s">
        <v>401</v>
      </c>
      <c r="B37" s="827"/>
      <c r="C37" s="823">
        <v>2660</v>
      </c>
      <c r="D37" s="1807">
        <f>'Expenditures 15-22'!K71-SUM('Expenditures 15-22'!G71,'Expenditures 15-22'!I71)+'Expenditures 15-22'!D276-E14</f>
        <v>130194</v>
      </c>
      <c r="E37" s="1807">
        <f>E14</f>
        <v>0</v>
      </c>
      <c r="F37" s="1807">
        <f>'Expenditures 15-22'!K71-SUM('Expenditures 15-22'!G71,'Expenditures 15-22'!I71)+'Expenditures 15-22'!D276-E14</f>
        <v>130194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12223</v>
      </c>
      <c r="F38" s="1805"/>
      <c r="G38" s="1807">
        <f>'Expenditures 15-22'!K73-SUM('Expenditures 15-22'!G73,'Expenditures 15-22'!I73)+'Expenditures 15-22'!K128-SUM('Expenditures 15-22'!G128,'Expenditures 15-22'!I128)+'Expenditures 15-22'!K183-SUM('Expenditures 15-22'!G183,'Expenditures 15-22'!I183)+'Expenditures 15-22'!D278</f>
        <v>12223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29'!F78</f>
        <v>-352421</v>
      </c>
      <c r="F40" s="1805"/>
      <c r="G40" s="1809">
        <f>-'Contracts Paid in CY 29'!F78</f>
        <v>-352421</v>
      </c>
    </row>
    <row r="41" spans="1:7" ht="12" customHeight="1" x14ac:dyDescent="0.2">
      <c r="A41" s="828" t="s">
        <v>155</v>
      </c>
      <c r="B41" s="829"/>
      <c r="C41" s="830"/>
      <c r="D41" s="1809">
        <f>SUM(D19:D39)</f>
        <v>386885</v>
      </c>
      <c r="E41" s="1809">
        <f>SUM(E19:E40)</f>
        <v>11353338</v>
      </c>
      <c r="F41" s="1809">
        <f>SUM(F19:F39)</f>
        <v>904491</v>
      </c>
      <c r="G41" s="1809">
        <f>SUM(G19:G40)</f>
        <v>10835732</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386885</v>
      </c>
      <c r="F43" s="1458" t="s">
        <v>470</v>
      </c>
      <c r="G43" s="1810">
        <f>F41</f>
        <v>904491</v>
      </c>
    </row>
    <row r="44" spans="1:7" ht="12" customHeight="1" x14ac:dyDescent="0.2">
      <c r="A44" s="817"/>
      <c r="B44" s="157"/>
      <c r="C44" s="831"/>
      <c r="D44" s="1458" t="s">
        <v>471</v>
      </c>
      <c r="E44" s="1810">
        <f>E41</f>
        <v>11353338</v>
      </c>
      <c r="F44" s="1458" t="s">
        <v>471</v>
      </c>
      <c r="G44" s="1810">
        <f>G41</f>
        <v>10835732</v>
      </c>
    </row>
    <row r="45" spans="1:7" ht="12" customHeight="1" x14ac:dyDescent="0.2">
      <c r="A45" s="817"/>
      <c r="B45" s="157"/>
      <c r="C45" s="157"/>
      <c r="D45" s="1459" t="s">
        <v>999</v>
      </c>
      <c r="E45" s="1811">
        <f>(E43/E44)</f>
        <v>3.4076762270268006E-2</v>
      </c>
      <c r="F45" s="1459" t="s">
        <v>999</v>
      </c>
      <c r="G45" s="1811">
        <f>(G43/G44)</f>
        <v>8.3472994717846472E-2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A11" sqref="A1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4" t="s">
        <v>1365</v>
      </c>
      <c r="B1" s="2404"/>
      <c r="C1" s="2404"/>
      <c r="D1" s="2404"/>
      <c r="E1" s="2404"/>
      <c r="F1" s="2404"/>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5" t="s">
        <v>1532</v>
      </c>
      <c r="B5" s="2406"/>
      <c r="C5" s="2407"/>
      <c r="D5" s="2407"/>
      <c r="E5" s="2407"/>
      <c r="F5" s="2407"/>
      <c r="G5" s="1507"/>
      <c r="L5" s="1507"/>
      <c r="M5" s="1855"/>
      <c r="N5" s="1855"/>
      <c r="O5" s="1855"/>
    </row>
    <row r="6" spans="1:15" ht="12" customHeight="1" x14ac:dyDescent="0.25">
      <c r="A6" s="1480"/>
      <c r="B6" s="1481"/>
      <c r="C6" s="2408" t="str">
        <f>COVER!A17</f>
        <v>Tri County Special Ed JA</v>
      </c>
      <c r="D6" s="2408"/>
      <c r="E6" s="2408"/>
      <c r="F6" s="1482"/>
      <c r="G6" s="1507"/>
      <c r="L6" s="1507"/>
      <c r="M6" s="1855"/>
      <c r="N6" s="1855"/>
      <c r="O6" s="1855"/>
    </row>
    <row r="7" spans="1:15" ht="11.25" customHeight="1" thickBot="1" x14ac:dyDescent="0.3">
      <c r="A7" s="1480"/>
      <c r="B7" s="1481"/>
      <c r="C7" s="2409">
        <f>COVER!A13</f>
        <v>30039186061</v>
      </c>
      <c r="D7" s="2409"/>
      <c r="E7" s="2409"/>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t="s">
        <v>2051</v>
      </c>
      <c r="D16" s="1495" t="s">
        <v>2051</v>
      </c>
      <c r="E16" s="1498"/>
      <c r="F16" s="1497" t="s">
        <v>2172</v>
      </c>
      <c r="G16" s="1507"/>
      <c r="H16" s="1507">
        <f t="shared" si="0"/>
        <v>5</v>
      </c>
      <c r="I16" s="1507">
        <f t="shared" si="1"/>
        <v>5</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t="s">
        <v>2051</v>
      </c>
      <c r="D25" s="1495" t="s">
        <v>2051</v>
      </c>
      <c r="E25" s="1498"/>
      <c r="F25" s="1497" t="s">
        <v>2173</v>
      </c>
      <c r="G25" s="1507"/>
      <c r="H25" s="1507">
        <f t="shared" si="0"/>
        <v>5</v>
      </c>
      <c r="I25" s="1507">
        <f t="shared" si="1"/>
        <v>5</v>
      </c>
      <c r="J25" s="1507">
        <f t="shared" si="2"/>
        <v>0</v>
      </c>
      <c r="L25" s="1507"/>
      <c r="M25" s="1855"/>
      <c r="N25" s="1855"/>
      <c r="O25" s="1855"/>
    </row>
    <row r="26" spans="1:15" ht="12" customHeight="1" x14ac:dyDescent="0.2">
      <c r="A26" s="1493" t="s">
        <v>1520</v>
      </c>
      <c r="B26" s="1494"/>
      <c r="C26" s="1495" t="s">
        <v>2051</v>
      </c>
      <c r="D26" s="1495" t="s">
        <v>2051</v>
      </c>
      <c r="E26" s="1498"/>
      <c r="F26" s="1497" t="s">
        <v>2174</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1378</v>
      </c>
      <c r="B35" s="1501"/>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1377</v>
      </c>
      <c r="B40" s="1504"/>
      <c r="C40" s="2418"/>
      <c r="D40" s="2418"/>
      <c r="E40" s="2418"/>
      <c r="F40" s="2419"/>
      <c r="H40" s="1508"/>
      <c r="I40" s="1508"/>
      <c r="J40" s="1508"/>
      <c r="K40" s="1508"/>
    </row>
    <row r="41" spans="1:15" s="1499" customFormat="1" ht="12" customHeight="1" x14ac:dyDescent="0.25">
      <c r="A41" s="2420"/>
      <c r="B41" s="2421"/>
      <c r="C41" s="2421"/>
      <c r="D41" s="2421"/>
      <c r="E41" s="2421"/>
      <c r="F41" s="2422"/>
      <c r="H41" s="1508"/>
      <c r="I41" s="1508"/>
      <c r="J41" s="1508"/>
      <c r="K41" s="1508"/>
    </row>
    <row r="42" spans="1:15" s="1499" customFormat="1" ht="12" customHeight="1" x14ac:dyDescent="0.25">
      <c r="A42" s="2420"/>
      <c r="B42" s="2421"/>
      <c r="C42" s="2421"/>
      <c r="D42" s="2421"/>
      <c r="E42" s="2421"/>
      <c r="F42" s="2422"/>
      <c r="H42" s="1508"/>
      <c r="I42" s="1508"/>
      <c r="J42" s="1508"/>
      <c r="K42" s="1508"/>
    </row>
    <row r="43" spans="1:15" s="1499" customFormat="1" ht="15" x14ac:dyDescent="0.25">
      <c r="A43" s="2412"/>
      <c r="B43" s="2413"/>
      <c r="C43" s="2413"/>
      <c r="D43" s="2413"/>
      <c r="E43" s="2413"/>
      <c r="F43" s="2414"/>
      <c r="H43" s="1508"/>
      <c r="I43" s="1508"/>
      <c r="J43" s="1508"/>
      <c r="K43" s="1508"/>
    </row>
    <row r="44" spans="1:15" s="1499" customFormat="1" ht="12" hidden="1" customHeight="1" x14ac:dyDescent="0.25">
      <c r="A44" s="2412"/>
      <c r="B44" s="2413"/>
      <c r="C44" s="2413"/>
      <c r="D44" s="2413"/>
      <c r="E44" s="2413"/>
      <c r="F44" s="241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2" sqref="C2"/>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2005</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7"/>
      <c r="C6" s="1377"/>
      <c r="D6" s="1377"/>
      <c r="E6" s="1378"/>
      <c r="F6" s="1919"/>
      <c r="G6" s="1920"/>
      <c r="H6" s="838"/>
      <c r="I6" s="1921" t="s">
        <v>1021</v>
      </c>
      <c r="J6" s="2424" t="str">
        <f>COVER!A17</f>
        <v>Tri County Special Ed JA</v>
      </c>
      <c r="K6" s="2424"/>
      <c r="L6" s="2425"/>
      <c r="M6" s="838"/>
      <c r="N6" s="1995"/>
    </row>
    <row r="7" spans="1:14" x14ac:dyDescent="0.2">
      <c r="A7" s="2426" t="s">
        <v>864</v>
      </c>
      <c r="B7" s="2427"/>
      <c r="C7" s="2427"/>
      <c r="D7" s="2427"/>
      <c r="E7" s="2428"/>
      <c r="F7" s="839"/>
      <c r="G7" s="838"/>
      <c r="H7" s="838"/>
      <c r="I7" s="1921" t="s">
        <v>369</v>
      </c>
      <c r="J7" s="2429">
        <f>COVER!A13</f>
        <v>30039186061</v>
      </c>
      <c r="K7" s="2429"/>
      <c r="L7" s="2429"/>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2021</v>
      </c>
      <c r="F9" s="1857"/>
      <c r="G9" s="1857"/>
      <c r="H9" s="1857"/>
      <c r="I9" s="1926" t="s">
        <v>2022</v>
      </c>
      <c r="J9" s="1857"/>
      <c r="K9" s="1857"/>
      <c r="L9" s="1858"/>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30" t="s">
        <v>478</v>
      </c>
      <c r="B11" s="2431"/>
      <c r="C11" s="2432"/>
      <c r="D11" s="1934" t="s">
        <v>866</v>
      </c>
      <c r="E11" s="1934" t="s">
        <v>64</v>
      </c>
      <c r="F11" s="1934" t="s">
        <v>6</v>
      </c>
      <c r="G11" s="1935" t="s">
        <v>2023</v>
      </c>
      <c r="H11" s="1936" t="s">
        <v>155</v>
      </c>
      <c r="I11" s="1934" t="s">
        <v>64</v>
      </c>
      <c r="J11" s="1934" t="s">
        <v>6</v>
      </c>
      <c r="K11" s="1935" t="s">
        <v>2004</v>
      </c>
      <c r="L11" s="1936" t="s">
        <v>155</v>
      </c>
      <c r="M11" s="838"/>
      <c r="N11" s="1995"/>
    </row>
    <row r="12" spans="1:14" x14ac:dyDescent="0.2">
      <c r="A12" s="2000">
        <v>1</v>
      </c>
      <c r="B12" s="1937" t="s">
        <v>813</v>
      </c>
      <c r="C12" s="842"/>
      <c r="D12" s="1938">
        <v>2320</v>
      </c>
      <c r="E12" s="1941">
        <f>'Expenditures 15-22'!K50</f>
        <v>2357629</v>
      </c>
      <c r="F12" s="1939"/>
      <c r="G12" s="1965">
        <f>G68</f>
        <v>0</v>
      </c>
      <c r="H12" s="1941">
        <f t="shared" ref="H12:H18" si="0">SUM(E12:G12)</f>
        <v>2357629</v>
      </c>
      <c r="I12" s="1940"/>
      <c r="J12" s="1939"/>
      <c r="K12" s="1940"/>
      <c r="L12" s="1941">
        <f t="shared" ref="L12:L18" si="1">SUM(I12:K12)</f>
        <v>0</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1061</v>
      </c>
      <c r="C15" s="842"/>
      <c r="D15" s="1938">
        <v>2510</v>
      </c>
      <c r="E15" s="1941">
        <f>'Expenditures 15-22'!K59</f>
        <v>94810</v>
      </c>
      <c r="F15" s="1941">
        <f>'Expenditures 15-22'!K122</f>
        <v>0</v>
      </c>
      <c r="G15" s="1965">
        <f>J68</f>
        <v>0</v>
      </c>
      <c r="H15" s="1941">
        <f t="shared" si="0"/>
        <v>94810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1053</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33" t="s">
        <v>7</v>
      </c>
      <c r="C18" s="2434"/>
      <c r="D18" s="2435"/>
      <c r="E18" s="1943"/>
      <c r="F18" s="1943"/>
      <c r="G18" s="1940"/>
      <c r="H18" s="1944">
        <f t="shared" si="0"/>
        <v>0</v>
      </c>
      <c r="I18" s="1940"/>
      <c r="J18" s="1940"/>
      <c r="K18" s="1940"/>
      <c r="L18" s="1941">
        <f t="shared" si="1"/>
        <v>0</v>
      </c>
      <c r="M18" s="838"/>
      <c r="N18" s="1995"/>
    </row>
    <row r="19" spans="1:14" ht="13.5" thickBot="1" x14ac:dyDescent="0.25">
      <c r="A19" s="2000">
        <v>8</v>
      </c>
      <c r="B19" s="1945" t="s">
        <v>1153</v>
      </c>
      <c r="C19" s="838"/>
      <c r="D19" s="1946"/>
      <c r="E19" s="1947">
        <f t="shared" ref="E19:L19" si="2">SUM(E12:E17)-E18</f>
        <v>2452439</v>
      </c>
      <c r="F19" s="1947">
        <f t="shared" si="2"/>
        <v>0</v>
      </c>
      <c r="G19" s="1947">
        <f t="shared" ref="G19" si="3">SUM(G12:G17)-G18</f>
        <v>0</v>
      </c>
      <c r="H19" s="1947">
        <f t="shared" si="2"/>
        <v>2452439</v>
      </c>
      <c r="I19" s="1947">
        <f t="shared" si="2"/>
        <v>0</v>
      </c>
      <c r="J19" s="1947">
        <f t="shared" si="2"/>
        <v>0</v>
      </c>
      <c r="K19" s="1947">
        <f t="shared" si="2"/>
        <v>0</v>
      </c>
      <c r="L19" s="1947">
        <f t="shared" si="2"/>
        <v>0</v>
      </c>
      <c r="M19" s="838"/>
      <c r="N19" s="1995"/>
    </row>
    <row r="20" spans="1:14" ht="13.5" thickTop="1" x14ac:dyDescent="0.2">
      <c r="A20" s="2000">
        <v>9</v>
      </c>
      <c r="B20" s="2436" t="s">
        <v>2024</v>
      </c>
      <c r="C20" s="2436"/>
      <c r="D20" s="2437"/>
      <c r="E20" s="1948"/>
      <c r="F20" s="1948"/>
      <c r="G20" s="1948"/>
      <c r="H20" s="1948"/>
      <c r="I20" s="1948"/>
      <c r="J20" s="1948"/>
      <c r="K20" s="1948"/>
      <c r="L20" s="1949" t="str">
        <f>IF(AND(H19&gt;0,L19&gt;0),(((L19-H19)/H19)),"Enter Budget Data")</f>
        <v>Enter Budget Data</v>
      </c>
      <c r="M20" s="838"/>
      <c r="N20" s="1995"/>
    </row>
    <row r="21" spans="1:14" x14ac:dyDescent="0.2">
      <c r="A21" s="2002" t="s">
        <v>194</v>
      </c>
      <c r="B21" s="2003" t="s">
        <v>2049</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2025</v>
      </c>
      <c r="B24" s="2007"/>
      <c r="C24" s="2008"/>
      <c r="D24" s="2008"/>
      <c r="E24" s="2008"/>
      <c r="F24" s="2008"/>
      <c r="G24" s="2008"/>
      <c r="H24" s="2008"/>
      <c r="I24" s="2008"/>
      <c r="J24" s="2008"/>
      <c r="K24" s="2008"/>
      <c r="L24" s="838"/>
      <c r="M24" s="838"/>
      <c r="N24" s="1995"/>
    </row>
    <row r="25" spans="1:14" x14ac:dyDescent="0.2">
      <c r="A25" s="2006" t="s">
        <v>2026</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38"/>
      <c r="D27" s="2438"/>
      <c r="E27" s="843"/>
      <c r="F27" s="2439"/>
      <c r="G27" s="2439"/>
      <c r="H27" s="2439"/>
      <c r="I27" s="838"/>
      <c r="J27" s="838"/>
      <c r="K27" s="838"/>
      <c r="L27" s="838"/>
      <c r="M27" s="838"/>
      <c r="N27" s="1995"/>
    </row>
    <row r="28" spans="1:14" x14ac:dyDescent="0.2">
      <c r="A28" s="1994"/>
      <c r="B28" s="2004"/>
      <c r="C28" s="1954" t="s">
        <v>1026</v>
      </c>
      <c r="D28" s="844"/>
      <c r="E28" s="1955"/>
      <c r="F28" s="2440" t="s">
        <v>1495</v>
      </c>
      <c r="G28" s="2440"/>
      <c r="H28" s="2440"/>
      <c r="I28" s="838"/>
      <c r="J28" s="838"/>
      <c r="K28" s="838"/>
      <c r="L28" s="838"/>
      <c r="M28" s="838"/>
      <c r="N28" s="1995"/>
    </row>
    <row r="29" spans="1:14" x14ac:dyDescent="0.2">
      <c r="A29" s="1994"/>
      <c r="B29" s="2004"/>
      <c r="C29" s="2441"/>
      <c r="D29" s="2441"/>
      <c r="E29" s="845"/>
      <c r="F29" s="2441"/>
      <c r="G29" s="2441"/>
      <c r="H29" s="2441"/>
      <c r="I29" s="838"/>
      <c r="J29" s="838"/>
      <c r="K29" s="838"/>
      <c r="L29" s="838"/>
      <c r="M29" s="838"/>
      <c r="N29" s="1995"/>
    </row>
    <row r="30" spans="1:14" x14ac:dyDescent="0.2">
      <c r="A30" s="1994"/>
      <c r="B30" s="2004"/>
      <c r="C30" s="1957" t="s">
        <v>1547</v>
      </c>
      <c r="D30" s="838"/>
      <c r="E30" s="1956"/>
      <c r="F30" s="2423" t="s">
        <v>1496</v>
      </c>
      <c r="G30" s="2423"/>
      <c r="H30" s="2423"/>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44" t="s">
        <v>2027</v>
      </c>
      <c r="D34" s="2445"/>
      <c r="E34" s="2445"/>
      <c r="F34" s="2445"/>
      <c r="G34" s="2445"/>
      <c r="H34" s="2445"/>
      <c r="I34" s="2445"/>
      <c r="J34" s="2445"/>
      <c r="K34" s="2013"/>
      <c r="L34" s="838"/>
      <c r="M34" s="838"/>
      <c r="N34" s="1995"/>
    </row>
    <row r="35" spans="1:14" x14ac:dyDescent="0.2">
      <c r="A35" s="1994"/>
      <c r="B35" s="838"/>
      <c r="C35" s="2445"/>
      <c r="D35" s="2445"/>
      <c r="E35" s="2445"/>
      <c r="F35" s="2445"/>
      <c r="G35" s="2445"/>
      <c r="H35" s="2445"/>
      <c r="I35" s="2445"/>
      <c r="J35" s="2445"/>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44" t="s">
        <v>2028</v>
      </c>
      <c r="D37" s="2445"/>
      <c r="E37" s="2445"/>
      <c r="F37" s="2445"/>
      <c r="G37" s="2445"/>
      <c r="H37" s="2445"/>
      <c r="I37" s="2445"/>
      <c r="J37" s="2445"/>
      <c r="K37" s="2013"/>
      <c r="L37" s="2015"/>
      <c r="M37" s="838"/>
      <c r="N37" s="1995"/>
    </row>
    <row r="38" spans="1:14" x14ac:dyDescent="0.2">
      <c r="A38" s="1994"/>
      <c r="B38" s="838"/>
      <c r="C38" s="2445"/>
      <c r="D38" s="2445"/>
      <c r="E38" s="2445"/>
      <c r="F38" s="2445"/>
      <c r="G38" s="2445"/>
      <c r="H38" s="2445"/>
      <c r="I38" s="2445"/>
      <c r="J38" s="2445"/>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46" t="s">
        <v>2029</v>
      </c>
      <c r="D40" s="2447"/>
      <c r="E40" s="2447"/>
      <c r="F40" s="2447"/>
      <c r="G40" s="2447"/>
      <c r="H40" s="2447"/>
      <c r="I40" s="2447"/>
      <c r="J40" s="2447"/>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48" t="s">
        <v>2030</v>
      </c>
      <c r="B43" s="2449"/>
      <c r="C43" s="2449"/>
      <c r="D43" s="2449"/>
      <c r="E43" s="2449"/>
      <c r="F43" s="2449"/>
      <c r="G43" s="2449"/>
      <c r="H43" s="2449"/>
      <c r="I43" s="2449"/>
      <c r="J43" s="2449"/>
      <c r="K43" s="2449"/>
      <c r="L43" s="2449"/>
      <c r="M43" s="2449"/>
      <c r="N43" s="2450"/>
    </row>
    <row r="44" spans="1:14" x14ac:dyDescent="0.2">
      <c r="A44" s="1979"/>
      <c r="B44" s="1980"/>
      <c r="C44" s="1980"/>
      <c r="D44" s="1980"/>
      <c r="E44" s="1980"/>
      <c r="F44" s="1980"/>
      <c r="G44" s="1980"/>
      <c r="H44" s="1980"/>
      <c r="I44" s="1980"/>
      <c r="J44" s="1980"/>
      <c r="K44" s="1980"/>
      <c r="L44" s="1980"/>
      <c r="M44" s="1980"/>
      <c r="N44" s="1981"/>
    </row>
    <row r="45" spans="1:14" x14ac:dyDescent="0.2">
      <c r="A45" s="1979" t="s">
        <v>2031</v>
      </c>
      <c r="B45" s="1980"/>
      <c r="C45" s="1980"/>
      <c r="D45" s="1980"/>
      <c r="E45" s="1980"/>
      <c r="F45" s="1980"/>
      <c r="G45" s="1980"/>
      <c r="H45" s="1980"/>
      <c r="I45" s="1980"/>
      <c r="J45" s="1980"/>
      <c r="K45" s="1980"/>
      <c r="L45" s="1980"/>
      <c r="M45" s="1980"/>
      <c r="N45" s="1981"/>
    </row>
    <row r="46" spans="1:14" x14ac:dyDescent="0.2">
      <c r="A46" s="2451" t="s">
        <v>2032</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2048</v>
      </c>
      <c r="B49" s="2021"/>
      <c r="C49" s="2021"/>
      <c r="D49" s="2022"/>
      <c r="E49" s="2022"/>
      <c r="F49" s="2022"/>
      <c r="G49" s="2022"/>
      <c r="H49" s="2022"/>
      <c r="I49" s="2022"/>
      <c r="J49" s="2022"/>
      <c r="K49" s="2022"/>
      <c r="L49" s="2022"/>
      <c r="M49" s="2022"/>
      <c r="N49" s="2023"/>
    </row>
    <row r="50" spans="1:14" ht="15" x14ac:dyDescent="0.25">
      <c r="A50" s="2025" t="s">
        <v>2047</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24" t="str">
        <f>J6</f>
        <v>Tri County Special Ed JA</v>
      </c>
      <c r="M52" s="2424"/>
      <c r="N52" s="2454"/>
    </row>
    <row r="53" spans="1:14" x14ac:dyDescent="0.2">
      <c r="A53" s="1979"/>
      <c r="B53" s="1980"/>
      <c r="C53" s="1980"/>
      <c r="D53" s="1980"/>
      <c r="E53" s="1980"/>
      <c r="F53" s="1980"/>
      <c r="G53" s="1980"/>
      <c r="H53" s="1980"/>
      <c r="I53" s="1980"/>
      <c r="J53" s="1980"/>
      <c r="K53" s="1921" t="s">
        <v>369</v>
      </c>
      <c r="L53" s="2429">
        <f>J7</f>
        <v>30039186061</v>
      </c>
      <c r="M53" s="2429"/>
      <c r="N53" s="2455"/>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56"/>
      <c r="B55" s="2457"/>
      <c r="C55" s="2457"/>
      <c r="D55" s="1967"/>
      <c r="E55" s="1967"/>
      <c r="F55" s="1967"/>
      <c r="G55" s="2458" t="s">
        <v>2033</v>
      </c>
      <c r="H55" s="2458"/>
      <c r="I55" s="2458"/>
      <c r="J55" s="2458"/>
      <c r="K55" s="2458"/>
      <c r="L55" s="2458"/>
      <c r="M55" s="2458"/>
      <c r="N55" s="2459"/>
    </row>
    <row r="56" spans="1:14" ht="63.75" x14ac:dyDescent="0.2">
      <c r="A56" s="2460" t="s">
        <v>2034</v>
      </c>
      <c r="B56" s="2461"/>
      <c r="C56" s="2462"/>
      <c r="D56" s="1961" t="s">
        <v>2035</v>
      </c>
      <c r="E56" s="1961" t="s">
        <v>2036</v>
      </c>
      <c r="F56" s="1968"/>
      <c r="G56" s="1961" t="s">
        <v>2037</v>
      </c>
      <c r="H56" s="1961" t="s">
        <v>2038</v>
      </c>
      <c r="I56" s="1961" t="s">
        <v>2039</v>
      </c>
      <c r="J56" s="1961" t="s">
        <v>2040</v>
      </c>
      <c r="K56" s="1961" t="s">
        <v>2041</v>
      </c>
      <c r="L56" s="1961" t="s">
        <v>2042</v>
      </c>
      <c r="M56" s="1961" t="s">
        <v>2043</v>
      </c>
      <c r="N56" s="1962" t="s">
        <v>2050</v>
      </c>
    </row>
    <row r="57" spans="1:14" ht="24.75" customHeight="1" x14ac:dyDescent="0.2">
      <c r="A57" s="2463" t="s">
        <v>296</v>
      </c>
      <c r="B57" s="2464"/>
      <c r="C57" s="2464"/>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42" t="s">
        <v>2044</v>
      </c>
      <c r="B58" s="2443"/>
      <c r="C58" s="2443"/>
      <c r="D58" s="1964">
        <v>2362</v>
      </c>
      <c r="E58" s="1974">
        <f>'Expenditures 15-22'!K320</f>
        <v>0</v>
      </c>
      <c r="F58" s="1969"/>
      <c r="G58" s="2028"/>
      <c r="H58" s="2029"/>
      <c r="I58" s="2029"/>
      <c r="J58" s="2029"/>
      <c r="K58" s="2029"/>
      <c r="L58" s="2029"/>
      <c r="M58" s="2029"/>
      <c r="N58" s="1972">
        <f>IF((SUM(G58:M58))=E58,SUM(G58:M58),"Column N does not agree with Column E")</f>
        <v>0</v>
      </c>
    </row>
    <row r="59" spans="1:14" ht="24.75" customHeight="1" x14ac:dyDescent="0.2">
      <c r="A59" s="2465" t="s">
        <v>297</v>
      </c>
      <c r="B59" s="2466"/>
      <c r="C59" s="2466"/>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65" t="s">
        <v>236</v>
      </c>
      <c r="B60" s="2466"/>
      <c r="C60" s="2466"/>
      <c r="D60" s="1964">
        <v>2364</v>
      </c>
      <c r="E60" s="1974">
        <f>'Expenditures 15-22'!K322</f>
        <v>0</v>
      </c>
      <c r="F60" s="1969"/>
      <c r="G60" s="2028"/>
      <c r="H60" s="2029"/>
      <c r="I60" s="2029"/>
      <c r="J60" s="2029"/>
      <c r="K60" s="2029"/>
      <c r="L60" s="2029"/>
      <c r="M60" s="2029"/>
      <c r="N60" s="1972">
        <f t="shared" ref="N60:N67" si="4">IF((SUM(G60:M60))=E60,SUM(G60:M60),"Column N does not agree with Column E")</f>
        <v>0</v>
      </c>
    </row>
    <row r="61" spans="1:14" ht="24.75" customHeight="1" x14ac:dyDescent="0.2">
      <c r="A61" s="2465" t="s">
        <v>697</v>
      </c>
      <c r="B61" s="2466"/>
      <c r="C61" s="2466"/>
      <c r="D61" s="1964">
        <v>2365</v>
      </c>
      <c r="E61" s="1974">
        <f>'Expenditures 15-22'!K323</f>
        <v>0</v>
      </c>
      <c r="F61" s="1969"/>
      <c r="G61" s="2028"/>
      <c r="H61" s="2029"/>
      <c r="I61" s="2029"/>
      <c r="J61" s="2029"/>
      <c r="K61" s="2029"/>
      <c r="L61" s="2029"/>
      <c r="M61" s="2029"/>
      <c r="N61" s="1972">
        <f t="shared" si="4"/>
        <v>0</v>
      </c>
    </row>
    <row r="62" spans="1:14" ht="24" customHeight="1" x14ac:dyDescent="0.2">
      <c r="A62" s="2465" t="s">
        <v>237</v>
      </c>
      <c r="B62" s="2466"/>
      <c r="C62" s="2466"/>
      <c r="D62" s="1964">
        <v>2366</v>
      </c>
      <c r="E62" s="1974">
        <f>'Expenditures 15-22'!K324</f>
        <v>0</v>
      </c>
      <c r="F62" s="1969"/>
      <c r="G62" s="2028"/>
      <c r="H62" s="2029"/>
      <c r="I62" s="2029"/>
      <c r="J62" s="2029"/>
      <c r="K62" s="2029"/>
      <c r="L62" s="2029"/>
      <c r="M62" s="2029"/>
      <c r="N62" s="1972">
        <f t="shared" si="4"/>
        <v>0</v>
      </c>
    </row>
    <row r="63" spans="1:14" ht="24" customHeight="1" x14ac:dyDescent="0.2">
      <c r="A63" s="2442" t="s">
        <v>1022</v>
      </c>
      <c r="B63" s="2443"/>
      <c r="C63" s="2443"/>
      <c r="D63" s="1964">
        <v>2367</v>
      </c>
      <c r="E63" s="1974">
        <f>'Expenditures 15-22'!K325</f>
        <v>0</v>
      </c>
      <c r="F63" s="1969"/>
      <c r="G63" s="2028"/>
      <c r="H63" s="2029"/>
      <c r="I63" s="2029"/>
      <c r="J63" s="2029"/>
      <c r="K63" s="2029"/>
      <c r="L63" s="2029"/>
      <c r="M63" s="2029"/>
      <c r="N63" s="1972">
        <f t="shared" si="4"/>
        <v>0</v>
      </c>
    </row>
    <row r="64" spans="1:14" ht="24" customHeight="1" x14ac:dyDescent="0.2">
      <c r="A64" s="2465" t="s">
        <v>1023</v>
      </c>
      <c r="B64" s="2466"/>
      <c r="C64" s="2466"/>
      <c r="D64" s="1964">
        <v>2368</v>
      </c>
      <c r="E64" s="1974">
        <f>'Expenditures 15-22'!K326</f>
        <v>0</v>
      </c>
      <c r="F64" s="1969"/>
      <c r="G64" s="2028"/>
      <c r="H64" s="2029"/>
      <c r="I64" s="2029"/>
      <c r="J64" s="2029"/>
      <c r="K64" s="2029"/>
      <c r="L64" s="2029"/>
      <c r="M64" s="2029"/>
      <c r="N64" s="1972">
        <f t="shared" si="4"/>
        <v>0</v>
      </c>
    </row>
    <row r="65" spans="1:14" ht="24" customHeight="1" x14ac:dyDescent="0.2">
      <c r="A65" s="2465" t="s">
        <v>965</v>
      </c>
      <c r="B65" s="2466"/>
      <c r="C65" s="2466"/>
      <c r="D65" s="1964">
        <v>2369</v>
      </c>
      <c r="E65" s="1974">
        <f>'Expenditures 15-22'!K327</f>
        <v>0</v>
      </c>
      <c r="F65" s="1969"/>
      <c r="G65" s="2028"/>
      <c r="H65" s="2029"/>
      <c r="I65" s="2029"/>
      <c r="J65" s="2029"/>
      <c r="K65" s="2029"/>
      <c r="L65" s="2029"/>
      <c r="M65" s="2029"/>
      <c r="N65" s="1972">
        <f t="shared" si="4"/>
        <v>0</v>
      </c>
    </row>
    <row r="66" spans="1:14" ht="24" customHeight="1" x14ac:dyDescent="0.2">
      <c r="A66" s="2465" t="s">
        <v>469</v>
      </c>
      <c r="B66" s="2466"/>
      <c r="C66" s="2466"/>
      <c r="D66" s="1964">
        <v>2371</v>
      </c>
      <c r="E66" s="1974">
        <f>'Expenditures 15-22'!K328</f>
        <v>0</v>
      </c>
      <c r="F66" s="1969"/>
      <c r="G66" s="2028"/>
      <c r="H66" s="2029"/>
      <c r="I66" s="2029"/>
      <c r="J66" s="2029"/>
      <c r="K66" s="2029"/>
      <c r="L66" s="2029"/>
      <c r="M66" s="2029"/>
      <c r="N66" s="1972">
        <f t="shared" si="4"/>
        <v>0</v>
      </c>
    </row>
    <row r="67" spans="1:14" ht="24.75" customHeight="1" x14ac:dyDescent="0.2">
      <c r="A67" s="2467" t="s">
        <v>2045</v>
      </c>
      <c r="B67" s="2468"/>
      <c r="C67" s="2468"/>
      <c r="D67" s="1966">
        <v>2372</v>
      </c>
      <c r="E67" s="1975">
        <f>'Expenditures 15-22'!K329</f>
        <v>0</v>
      </c>
      <c r="F67" s="1969"/>
      <c r="G67" s="2030"/>
      <c r="H67" s="2031"/>
      <c r="I67" s="2031"/>
      <c r="J67" s="2031"/>
      <c r="K67" s="2031"/>
      <c r="L67" s="2031"/>
      <c r="M67" s="2031"/>
      <c r="N67" s="1972">
        <f t="shared" si="4"/>
        <v>0</v>
      </c>
    </row>
    <row r="68" spans="1:14" x14ac:dyDescent="0.2">
      <c r="A68" s="2469" t="s">
        <v>1153</v>
      </c>
      <c r="B68" s="2470"/>
      <c r="C68" s="2470"/>
      <c r="D68" s="1967"/>
      <c r="E68" s="1971">
        <f>SUM(E57:E67)</f>
        <v>0</v>
      </c>
      <c r="F68" s="1970"/>
      <c r="G68" s="1971">
        <f t="shared" ref="G68:N68" si="5">SUM(G57:G67)</f>
        <v>0</v>
      </c>
      <c r="H68" s="1971">
        <f t="shared" si="5"/>
        <v>0</v>
      </c>
      <c r="I68" s="1971">
        <f t="shared" si="5"/>
        <v>0</v>
      </c>
      <c r="J68" s="1971">
        <f t="shared" si="5"/>
        <v>0</v>
      </c>
      <c r="K68" s="1971">
        <f t="shared" si="5"/>
        <v>0</v>
      </c>
      <c r="L68" s="1971">
        <f t="shared" si="5"/>
        <v>0</v>
      </c>
      <c r="M68" s="1971">
        <f t="shared" si="5"/>
        <v>0</v>
      </c>
      <c r="N68" s="1985">
        <f t="shared" si="5"/>
        <v>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2046</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zoomScale="110" zoomScaleNormal="110" workbookViewId="0">
      <selection activeCell="B56" sqref="B5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2033">
        <v>2</v>
      </c>
      <c r="B6" s="307" t="s">
        <v>2074</v>
      </c>
    </row>
    <row r="7" spans="1:2" ht="25.5" x14ac:dyDescent="0.2">
      <c r="A7" s="2034">
        <v>3</v>
      </c>
      <c r="B7" s="2032" t="s">
        <v>2175</v>
      </c>
    </row>
    <row r="8" spans="1:2" x14ac:dyDescent="0.2">
      <c r="A8" s="847">
        <v>4</v>
      </c>
      <c r="B8" s="307" t="s">
        <v>2075</v>
      </c>
    </row>
    <row r="9" spans="1:2" x14ac:dyDescent="0.2">
      <c r="A9" s="847">
        <v>5</v>
      </c>
      <c r="B9" s="307" t="s">
        <v>2076</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307" t="s">
        <v>2079</v>
      </c>
    </row>
    <row r="62" spans="1:2" x14ac:dyDescent="0.2">
      <c r="A62" s="848"/>
    </row>
    <row r="63" spans="1:2" x14ac:dyDescent="0.2">
      <c r="A63" s="848"/>
      <c r="B63" s="253" t="str">
        <f>COVER!A17</f>
        <v>Tri County Special Ed JA</v>
      </c>
    </row>
    <row r="64" spans="1:2" x14ac:dyDescent="0.2">
      <c r="B64" s="849">
        <f>COVER!A13</f>
        <v>30039186061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D42" sqref="D42:H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7" t="s">
        <v>1058</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1594</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E14" sqref="E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1" t="s">
        <v>1668</v>
      </c>
      <c r="B18" s="247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3952875</xdr:colOff>
                <xdr:row>4</xdr:row>
                <xdr:rowOff>38100</xdr:rowOff>
              </from>
              <to>
                <xdr:col>3</xdr:col>
                <xdr:colOff>276225</xdr:colOff>
                <xdr:row>8</xdr:row>
                <xdr:rowOff>76200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1672</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1975</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1673</v>
      </c>
      <c r="B6" s="2489"/>
      <c r="C6" s="2489"/>
      <c r="D6" s="2489"/>
      <c r="E6" s="2489"/>
      <c r="F6" s="2490"/>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11977850</v>
      </c>
      <c r="C8" s="1813">
        <f>'Acct Summary 7-8'!D8</f>
        <v>0</v>
      </c>
      <c r="D8" s="1813">
        <f>'Acct Summary 7-8'!F8</f>
        <v>0</v>
      </c>
      <c r="E8" s="1813">
        <f>'Acct Summary 7-8'!I8</f>
        <v>0</v>
      </c>
      <c r="F8" s="1813">
        <f>SUM(B8:E8)</f>
        <v>11977850</v>
      </c>
    </row>
    <row r="9" spans="1:8" s="858" customFormat="1" ht="14.25" customHeight="1" thickBot="1" x14ac:dyDescent="0.25">
      <c r="A9" s="857" t="s">
        <v>1355</v>
      </c>
      <c r="B9" s="1814">
        <f>'Acct Summary 7-8'!C17</f>
        <v>12794475</v>
      </c>
      <c r="C9" s="1814">
        <f>'Acct Summary 7-8'!D17</f>
        <v>0</v>
      </c>
      <c r="D9" s="1814">
        <f>'Acct Summary 7-8'!F17</f>
        <v>0</v>
      </c>
      <c r="E9" s="1813"/>
      <c r="F9" s="1813">
        <f>SUM(B9:E9)</f>
        <v>12794475</v>
      </c>
    </row>
    <row r="10" spans="1:8" s="858" customFormat="1" ht="14.25" thickTop="1" thickBot="1" x14ac:dyDescent="0.25">
      <c r="A10" s="859" t="s">
        <v>1356</v>
      </c>
      <c r="B10" s="1815">
        <f>(B8-B9)</f>
        <v>-816625</v>
      </c>
      <c r="C10" s="1815">
        <f>(C8-C9)</f>
        <v>0</v>
      </c>
      <c r="D10" s="1815">
        <f>(D8-D9)</f>
        <v>0</v>
      </c>
      <c r="E10" s="1814">
        <f>(E8-E9)</f>
        <v>0</v>
      </c>
      <c r="F10" s="1816">
        <f>SUM(F8-F9)</f>
        <v>-816625</v>
      </c>
    </row>
    <row r="11" spans="1:8" s="858" customFormat="1" ht="14.25" thickTop="1" thickBot="1" x14ac:dyDescent="0.25">
      <c r="A11" s="860" t="s">
        <v>1906</v>
      </c>
      <c r="B11" s="1817">
        <f>'Acct Summary 7-8'!C81</f>
        <v>3174083</v>
      </c>
      <c r="C11" s="1817">
        <f>'Acct Summary 7-8'!D81</f>
        <v>0</v>
      </c>
      <c r="D11" s="1817">
        <f>'Acct Summary 7-8'!F81</f>
        <v>0</v>
      </c>
      <c r="E11" s="1817">
        <f>'Acct Summary 7-8'!I81</f>
        <v>0</v>
      </c>
      <c r="F11" s="1818">
        <f>SUM(B11:E11)</f>
        <v>3174083</v>
      </c>
    </row>
    <row r="12" spans="1:8" ht="16.5" customHeight="1" thickTop="1" x14ac:dyDescent="0.2">
      <c r="A12" s="861"/>
      <c r="B12" s="862"/>
      <c r="C12" s="2476" t="str">
        <f>IF(AND(F10&lt;0,F11&gt;=0,ABS(F10*3)&gt;ABS(F11)),A16,IF(AND(F10&lt;0,F11&gt;0,ABS(F10*3)&lt;=ABS(F11)),A17,IF(AND(F10&lt;0,F11&lt;0),A16,IF(F11=0,A19,A18))))</f>
        <v>Unbalanced -  however, a deficit reduction plan is not required at this time.</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1669</v>
      </c>
      <c r="B16" s="2475"/>
      <c r="C16" s="2475"/>
      <c r="D16" s="2475"/>
      <c r="E16" s="2475"/>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91" sqref="D9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1490</v>
      </c>
      <c r="D7" s="2509"/>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2" t="s">
        <v>311</v>
      </c>
      <c r="D21" s="2513"/>
    </row>
    <row r="22" spans="1:10" ht="12.75" x14ac:dyDescent="0.2">
      <c r="A22" s="918"/>
      <c r="B22" s="919">
        <v>2</v>
      </c>
      <c r="C22" s="2510" t="s">
        <v>1510</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6" t="s">
        <v>1677</v>
      </c>
      <c r="D70" s="2507"/>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899" t="str">
        <f>IF('Contracts Paid in CY 29'!$D$78&gt;0,"OK","PLEASE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8" t="s">
        <v>1981</v>
      </c>
    </row>
    <row r="2" spans="1:7" ht="15.75" x14ac:dyDescent="0.25">
      <c r="A2" t="s">
        <v>260</v>
      </c>
      <c r="B2" s="135">
        <f>COVER!A13</f>
        <v>30039186061</v>
      </c>
      <c r="E2" s="1542">
        <v>2020</v>
      </c>
      <c r="F2" s="1542">
        <v>1</v>
      </c>
      <c r="G2" s="1897">
        <v>101000300</v>
      </c>
    </row>
    <row r="3" spans="1:7" ht="15" x14ac:dyDescent="0.25">
      <c r="A3" t="s">
        <v>950</v>
      </c>
      <c r="B3" s="135" t="str">
        <f>COVER!A15</f>
        <v>Jackson, Perry, and Union</v>
      </c>
      <c r="E3" s="1830" t="s">
        <v>1974</v>
      </c>
      <c r="F3" s="1830" t="s">
        <v>1973</v>
      </c>
      <c r="G3" s="1897">
        <v>101000400</v>
      </c>
    </row>
    <row r="4" spans="1:7" ht="15" x14ac:dyDescent="0.25">
      <c r="A4" t="s">
        <v>1000</v>
      </c>
      <c r="B4" s="135" t="str">
        <f>COVER!A17</f>
        <v>Tri County Special Ed JA</v>
      </c>
      <c r="E4" s="1828">
        <v>44119</v>
      </c>
      <c r="F4" s="1829">
        <v>44151</v>
      </c>
      <c r="G4" s="1897">
        <v>101000600</v>
      </c>
    </row>
    <row r="5" spans="1:7" ht="15" x14ac:dyDescent="0.25">
      <c r="A5" t="s">
        <v>699</v>
      </c>
      <c r="B5" s="135" t="str">
        <f>COVER!A38</f>
        <v>Jan Pearcy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Cheryl Graff</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t="str">
        <f>COVER!T23</f>
        <v>066-003998</v>
      </c>
      <c r="G15" s="1897">
        <v>402100400</v>
      </c>
    </row>
    <row r="16" spans="1:7" ht="15" x14ac:dyDescent="0.25">
      <c r="A16" t="s">
        <v>419</v>
      </c>
      <c r="B16" s="135" t="str">
        <f>COVER!T13</f>
        <v>Kemper CPA Group, LLP</v>
      </c>
      <c r="G16" s="1897">
        <v>402100600</v>
      </c>
    </row>
    <row r="17" spans="1:7" ht="15" x14ac:dyDescent="0.25">
      <c r="A17" t="s">
        <v>878</v>
      </c>
      <c r="B17" s="135" t="str">
        <f>COVER!T15</f>
        <v>Kimberly Walker, CPA</v>
      </c>
      <c r="G17" s="1897">
        <v>402100800</v>
      </c>
    </row>
    <row r="18" spans="1:7" ht="15" x14ac:dyDescent="0.25">
      <c r="A18" t="s">
        <v>1142</v>
      </c>
      <c r="B18" s="135" t="str">
        <f>COVER!T17</f>
        <v>3401 Professional Park Drive, PO BOX 129</v>
      </c>
      <c r="G18" s="1897">
        <v>102200300</v>
      </c>
    </row>
    <row r="19" spans="1:7" ht="15" x14ac:dyDescent="0.25">
      <c r="A19" t="s">
        <v>880</v>
      </c>
      <c r="B19" s="135" t="str">
        <f>COVER!T25</f>
        <v>kwalker@kcpag.com</v>
      </c>
      <c r="G19" s="1897">
        <v>102200400</v>
      </c>
    </row>
    <row r="20" spans="1:7" ht="15" x14ac:dyDescent="0.25">
      <c r="A20" t="s">
        <v>881</v>
      </c>
      <c r="B20" s="135" t="str">
        <f>COVER!T19</f>
        <v>Marion</v>
      </c>
      <c r="G20" s="1897">
        <v>102200600</v>
      </c>
    </row>
    <row r="21" spans="1:7" ht="15" x14ac:dyDescent="0.25">
      <c r="A21" t="s">
        <v>476</v>
      </c>
      <c r="B21" s="135" t="str">
        <f>COVER!X19</f>
        <v>IL</v>
      </c>
      <c r="G21" s="1897">
        <v>102200800</v>
      </c>
    </row>
    <row r="22" spans="1:7" ht="15" x14ac:dyDescent="0.25">
      <c r="A22" t="s">
        <v>882</v>
      </c>
      <c r="B22" s="135">
        <f>COVER!Z19</f>
        <v>62959</v>
      </c>
      <c r="G22" s="1897">
        <v>102300300</v>
      </c>
    </row>
    <row r="23" spans="1:7" ht="15" x14ac:dyDescent="0.25">
      <c r="A23" t="s">
        <v>1144</v>
      </c>
      <c r="B23" s="135" t="str">
        <f>COVER!T21</f>
        <v>618-997-3055</v>
      </c>
      <c r="G23" s="1897">
        <v>102300400</v>
      </c>
    </row>
    <row r="24" spans="1:7" ht="15" x14ac:dyDescent="0.25">
      <c r="A24" t="s">
        <v>1143</v>
      </c>
      <c r="B24" s="135">
        <f>COVER!Y21</f>
        <v>0</v>
      </c>
      <c r="G24" s="1897">
        <v>102300600</v>
      </c>
    </row>
    <row r="25" spans="1:7" ht="15" x14ac:dyDescent="0.25">
      <c r="A25" t="s">
        <v>756</v>
      </c>
      <c r="B25" s="135" t="str">
        <f>COVER!B34</f>
        <v>X</v>
      </c>
      <c r="G25" s="1897">
        <v>102300800</v>
      </c>
    </row>
    <row r="26" spans="1:7" ht="15" x14ac:dyDescent="0.25">
      <c r="A26" t="s">
        <v>1145</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2959314</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3237733</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63650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63650</v>
      </c>
      <c r="C91" s="2" t="s">
        <v>569</v>
      </c>
      <c r="D91" s="2" t="str">
        <f t="shared" si="0"/>
        <v>Error?</v>
      </c>
      <c r="G91" s="1897">
        <v>102640400</v>
      </c>
    </row>
    <row r="92" spans="1:7" ht="15" x14ac:dyDescent="0.25">
      <c r="A92" s="5">
        <v>31</v>
      </c>
      <c r="B92" s="1832">
        <f>'Assets-Liab 5-6'!C39</f>
        <v>3174083</v>
      </c>
      <c r="D92" s="2" t="str">
        <f t="shared" si="0"/>
        <v>Error?</v>
      </c>
      <c r="G92" s="1897">
        <v>102640600</v>
      </c>
    </row>
    <row r="93" spans="1:7" ht="15" x14ac:dyDescent="0.25">
      <c r="A93" s="5">
        <v>32</v>
      </c>
      <c r="B93" s="1832">
        <f>'Assets-Liab 5-6'!C41</f>
        <v>3237733</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0</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0</v>
      </c>
      <c r="D123" s="2" t="str">
        <f t="shared" si="0"/>
        <v>Error?</v>
      </c>
      <c r="G123" s="1897">
        <v>203000400</v>
      </c>
    </row>
    <row r="124" spans="1:7" ht="15" x14ac:dyDescent="0.25">
      <c r="A124" s="5">
        <v>63</v>
      </c>
      <c r="B124" s="1832">
        <f>'Assets-Liab 5-6'!D41</f>
        <v>0</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37553</v>
      </c>
      <c r="D273" s="2" t="str">
        <f t="shared" si="3"/>
        <v>Error?</v>
      </c>
    </row>
    <row r="274" spans="1:4" x14ac:dyDescent="0.2">
      <c r="A274" s="5">
        <v>213</v>
      </c>
      <c r="B274" s="1832">
        <f>'Assets-Liab 5-6'!M17</f>
        <v>1392717</v>
      </c>
      <c r="D274" s="2" t="str">
        <f t="shared" si="3"/>
        <v>Error?</v>
      </c>
    </row>
    <row r="275" spans="1:4" x14ac:dyDescent="0.2">
      <c r="A275" s="5">
        <v>214</v>
      </c>
      <c r="B275" s="1832">
        <f>'Assets-Liab 5-6'!M18</f>
        <v>0</v>
      </c>
      <c r="D275" s="2" t="str">
        <f t="shared" si="3"/>
        <v>Error?</v>
      </c>
    </row>
    <row r="276" spans="1:4" x14ac:dyDescent="0.2">
      <c r="A276" s="5">
        <v>215</v>
      </c>
      <c r="B276" s="1832">
        <f>'Assets-Liab 5-6'!M19</f>
        <v>789758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2220028</v>
      </c>
      <c r="C279" s="2" t="s">
        <v>569</v>
      </c>
      <c r="D279" s="2" t="str">
        <f t="shared" si="3"/>
        <v>Error?</v>
      </c>
    </row>
    <row r="280" spans="1:4" x14ac:dyDescent="0.2">
      <c r="A280" s="5">
        <v>219</v>
      </c>
      <c r="B280" s="1832">
        <f>'Assets-Liab 5-6'!M40</f>
        <v>2220028</v>
      </c>
      <c r="D280" s="2" t="str">
        <f t="shared" si="3"/>
        <v>Error?</v>
      </c>
    </row>
    <row r="281" spans="1:4" x14ac:dyDescent="0.2">
      <c r="A281" s="5">
        <v>220</v>
      </c>
      <c r="B281" s="1832">
        <f>'Assets-Liab 5-6'!M41</f>
        <v>2220028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12949</v>
      </c>
      <c r="D719" s="2" t="str">
        <f t="shared" si="10"/>
        <v>Error?</v>
      </c>
    </row>
    <row r="720" spans="1:4" x14ac:dyDescent="0.2">
      <c r="A720" s="5">
        <v>659</v>
      </c>
      <c r="B720" s="1832">
        <f>'Expenditures 15-22'!C33</f>
        <v>4246927</v>
      </c>
      <c r="C720" s="2" t="s">
        <v>569</v>
      </c>
      <c r="D720" s="2" t="str">
        <f t="shared" si="10"/>
        <v>Error?</v>
      </c>
    </row>
    <row r="721" spans="1:4" x14ac:dyDescent="0.2">
      <c r="A721" s="5">
        <v>660</v>
      </c>
      <c r="B721" s="1832">
        <f>'Expenditures 15-22'!C36</f>
        <v>514320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416873</v>
      </c>
      <c r="D723" s="2" t="str">
        <f t="shared" si="10"/>
        <v>Error?</v>
      </c>
    </row>
    <row r="724" spans="1:4" x14ac:dyDescent="0.2">
      <c r="A724" s="5">
        <v>663</v>
      </c>
      <c r="B724" s="1832">
        <f>'Expenditures 15-22'!C39</f>
        <v>439439</v>
      </c>
      <c r="D724" s="2" t="str">
        <f t="shared" si="10"/>
        <v>Error?</v>
      </c>
    </row>
    <row r="725" spans="1:4" x14ac:dyDescent="0.2">
      <c r="A725" s="5">
        <v>664</v>
      </c>
      <c r="B725" s="1832">
        <f>'Expenditures 15-22'!C40</f>
        <v>281997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1652629</v>
      </c>
      <c r="C727" s="2" t="s">
        <v>569</v>
      </c>
      <c r="D727" s="2" t="str">
        <f t="shared" si="10"/>
        <v>Error?</v>
      </c>
    </row>
    <row r="728" spans="1:4" x14ac:dyDescent="0.2">
      <c r="A728" s="5">
        <v>667</v>
      </c>
      <c r="B728" s="1832">
        <f>'Expenditures 15-22'!C44</f>
        <v>19518</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19518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1373970</v>
      </c>
      <c r="D733" s="2" t="str">
        <f t="shared" si="10"/>
        <v>Error?</v>
      </c>
    </row>
    <row r="734" spans="1:4" x14ac:dyDescent="0.2">
      <c r="A734" s="5">
        <v>673</v>
      </c>
      <c r="B734" s="1832">
        <f>'Expenditures 15-22'!C53</f>
        <v>1373970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75000</v>
      </c>
      <c r="D738" s="2" t="str">
        <f t="shared" si="10"/>
        <v>Error?</v>
      </c>
    </row>
    <row r="739" spans="1:4" x14ac:dyDescent="0.2">
      <c r="A739" s="5">
        <v>678</v>
      </c>
      <c r="B739" s="1832">
        <f>'Expenditures 15-22'!C60</f>
        <v>108517</v>
      </c>
      <c r="D739" s="2" t="str">
        <f t="shared" si="10"/>
        <v>Error?</v>
      </c>
    </row>
    <row r="740" spans="1:4" x14ac:dyDescent="0.2">
      <c r="A740" s="5">
        <v>679</v>
      </c>
      <c r="B740" s="1832">
        <f>'Expenditures 15-22'!C61</f>
        <v>168238</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121286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473041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11354</v>
      </c>
      <c r="D754" s="2" t="str">
        <f t="shared" si="10"/>
        <v>Error?</v>
      </c>
    </row>
    <row r="755" spans="1:4" x14ac:dyDescent="0.2">
      <c r="A755" s="5">
        <v>694</v>
      </c>
      <c r="B755" s="1832">
        <f>'Expenditures 15-22'!C74</f>
        <v>3530512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7777439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3720</v>
      </c>
      <c r="D777" s="2" t="str">
        <f t="shared" si="11"/>
        <v>Error?</v>
      </c>
    </row>
    <row r="778" spans="1:4" x14ac:dyDescent="0.2">
      <c r="A778" s="5">
        <v>717</v>
      </c>
      <c r="B778" s="1832">
        <f>'Expenditures 15-22'!D33</f>
        <v>1569548</v>
      </c>
      <c r="C778" s="2" t="s">
        <v>569</v>
      </c>
      <c r="D778" s="2" t="str">
        <f t="shared" si="11"/>
        <v>Error?</v>
      </c>
    </row>
    <row r="779" spans="1:4" x14ac:dyDescent="0.2">
      <c r="A779" s="5">
        <v>718</v>
      </c>
      <c r="B779" s="1832">
        <f>'Expenditures 15-22'!D36</f>
        <v>148462</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134005</v>
      </c>
      <c r="D781" s="2" t="str">
        <f t="shared" si="11"/>
        <v>Error?</v>
      </c>
    </row>
    <row r="782" spans="1:4" x14ac:dyDescent="0.2">
      <c r="A782" s="5">
        <v>721</v>
      </c>
      <c r="B782" s="1832">
        <f>'Expenditures 15-22'!D39</f>
        <v>106479</v>
      </c>
      <c r="D782" s="2" t="str">
        <f t="shared" si="11"/>
        <v>Error?</v>
      </c>
    </row>
    <row r="783" spans="1:4" x14ac:dyDescent="0.2">
      <c r="A783" s="5">
        <v>722</v>
      </c>
      <c r="B783" s="1832">
        <f>'Expenditures 15-22'!D40</f>
        <v>90054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479000</v>
      </c>
      <c r="C785" s="2" t="s">
        <v>569</v>
      </c>
      <c r="D785" s="2" t="str">
        <f t="shared" si="11"/>
        <v>Error?</v>
      </c>
    </row>
    <row r="786" spans="1:4" x14ac:dyDescent="0.2">
      <c r="A786" s="5">
        <v>725</v>
      </c>
      <c r="B786" s="1832">
        <f>'Expenditures 15-22'!D44</f>
        <v>7846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7846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395596</v>
      </c>
      <c r="D791" s="2" t="str">
        <f t="shared" si="11"/>
        <v>Error?</v>
      </c>
    </row>
    <row r="792" spans="1:4" x14ac:dyDescent="0.2">
      <c r="A792" s="5">
        <v>731</v>
      </c>
      <c r="B792" s="1832">
        <f>'Expenditures 15-22'!D53</f>
        <v>395596</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19810</v>
      </c>
      <c r="D796" s="2" t="str">
        <f t="shared" si="11"/>
        <v>Error?</v>
      </c>
    </row>
    <row r="797" spans="1:4" x14ac:dyDescent="0.2">
      <c r="A797" s="5">
        <v>736</v>
      </c>
      <c r="B797" s="1832">
        <f>'Expenditures 15-22'!D60</f>
        <v>31150</v>
      </c>
      <c r="D797" s="2" t="str">
        <f t="shared" si="11"/>
        <v>Error?</v>
      </c>
    </row>
    <row r="798" spans="1:4" x14ac:dyDescent="0.2">
      <c r="A798" s="5">
        <v>737</v>
      </c>
      <c r="B798" s="1832">
        <f>'Expenditures 15-22'!D61</f>
        <v>68286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47966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167212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869</v>
      </c>
      <c r="D812" s="2" t="str">
        <f t="shared" si="11"/>
        <v>Error?</v>
      </c>
    </row>
    <row r="813" spans="1:4" x14ac:dyDescent="0.2">
      <c r="A813" s="5">
        <v>752</v>
      </c>
      <c r="B813" s="1832">
        <f>'Expenditures 15-22'!D74</f>
        <v>1050523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2620071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72</v>
      </c>
      <c r="D835" s="2" t="str">
        <f t="shared" si="12"/>
        <v>Error?</v>
      </c>
    </row>
    <row r="836" spans="1:4" x14ac:dyDescent="0.2">
      <c r="A836" s="5">
        <v>775</v>
      </c>
      <c r="B836" s="1832">
        <f>'Expenditures 15-22'!E33</f>
        <v>121734</v>
      </c>
      <c r="C836" s="2" t="s">
        <v>569</v>
      </c>
      <c r="D836" s="2" t="str">
        <f t="shared" si="12"/>
        <v>Error?</v>
      </c>
    </row>
    <row r="837" spans="1:4" x14ac:dyDescent="0.2">
      <c r="A837" s="5">
        <v>776</v>
      </c>
      <c r="B837" s="1832">
        <f>'Expenditures 15-22'!E36</f>
        <v>6933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16792</v>
      </c>
      <c r="D839" s="2" t="str">
        <f t="shared" si="12"/>
        <v>Error?</v>
      </c>
    </row>
    <row r="840" spans="1:4" x14ac:dyDescent="0.2">
      <c r="A840" s="5">
        <v>779</v>
      </c>
      <c r="B840" s="1832">
        <f>'Expenditures 15-22'!E39</f>
        <v>9980</v>
      </c>
      <c r="D840" s="2" t="str">
        <f t="shared" si="12"/>
        <v>Error?</v>
      </c>
    </row>
    <row r="841" spans="1:4" x14ac:dyDescent="0.2">
      <c r="A841" s="5">
        <v>780</v>
      </c>
      <c r="B841" s="1832">
        <f>'Expenditures 15-22'!E40</f>
        <v>89740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123445</v>
      </c>
      <c r="C843" s="2" t="s">
        <v>569</v>
      </c>
      <c r="D843" s="2" t="str">
        <f t="shared" si="12"/>
        <v>Error?</v>
      </c>
    </row>
    <row r="844" spans="1:4" x14ac:dyDescent="0.2">
      <c r="A844" s="5">
        <v>783</v>
      </c>
      <c r="B844" s="1832">
        <f>'Expenditures 15-22'!E44</f>
        <v>132897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1495</v>
      </c>
      <c r="D846" s="2" t="str">
        <f t="shared" si="12"/>
        <v>Error?</v>
      </c>
    </row>
    <row r="847" spans="1:4" x14ac:dyDescent="0.2">
      <c r="A847" s="5">
        <v>786</v>
      </c>
      <c r="B847" s="1832">
        <f>'Expenditures 15-22'!E47</f>
        <v>134392</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528939</v>
      </c>
      <c r="D849" s="2" t="str">
        <f t="shared" si="12"/>
        <v>Error?</v>
      </c>
    </row>
    <row r="850" spans="1:4" x14ac:dyDescent="0.2">
      <c r="A850" s="5">
        <v>789</v>
      </c>
      <c r="B850" s="1832">
        <f>'Expenditures 15-22'!E53</f>
        <v>528939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14643</v>
      </c>
      <c r="D855" s="2" t="str">
        <f t="shared" si="12"/>
        <v>Error?</v>
      </c>
    </row>
    <row r="856" spans="1:4" x14ac:dyDescent="0.2">
      <c r="A856" s="5">
        <v>795</v>
      </c>
      <c r="B856" s="1832">
        <f>'Expenditures 15-22'!E61</f>
        <v>182159</v>
      </c>
      <c r="D856" s="2" t="str">
        <f t="shared" si="12"/>
        <v>Error?</v>
      </c>
    </row>
    <row r="857" spans="1:4" x14ac:dyDescent="0.2">
      <c r="A857" s="5">
        <v>796</v>
      </c>
      <c r="B857" s="1832">
        <f>'Expenditures 15-22'!E62</f>
        <v>61028</v>
      </c>
      <c r="D857" s="2" t="str">
        <f t="shared" si="12"/>
        <v>Error?</v>
      </c>
    </row>
    <row r="858" spans="1:4" x14ac:dyDescent="0.2">
      <c r="A858" s="5">
        <v>797</v>
      </c>
      <c r="B858" s="1832">
        <f>'Expenditures 15-22'!E63</f>
        <v>106181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364011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992</v>
      </c>
      <c r="D864" s="2" t="str">
        <f t="shared" si="12"/>
        <v>Error?</v>
      </c>
    </row>
    <row r="865" spans="1:4" x14ac:dyDescent="0.2">
      <c r="A865" s="5">
        <v>804</v>
      </c>
      <c r="B865" s="1832">
        <f>'Expenditures 15-22'!E70</f>
        <v>4828</v>
      </c>
      <c r="D865" s="2" t="str">
        <f t="shared" si="12"/>
        <v>Error?</v>
      </c>
    </row>
    <row r="866" spans="1:4" x14ac:dyDescent="0.2">
      <c r="A866" s="10">
        <v>805</v>
      </c>
      <c r="B866" s="1832"/>
      <c r="D866" s="2" t="str">
        <f t="shared" si="12"/>
        <v>OK</v>
      </c>
    </row>
    <row r="867" spans="1:4" x14ac:dyDescent="0.2">
      <c r="A867" s="5">
        <v>806</v>
      </c>
      <c r="B867" s="1832">
        <f>'Expenditures 15-22'!E71</f>
        <v>130194</v>
      </c>
      <c r="D867" s="2" t="str">
        <f t="shared" si="12"/>
        <v>Error?</v>
      </c>
    </row>
    <row r="868" spans="1:4" x14ac:dyDescent="0.2">
      <c r="A868" s="10">
        <v>807</v>
      </c>
      <c r="B868" s="1832"/>
      <c r="D868" s="2" t="str">
        <f t="shared" si="12"/>
        <v>OK</v>
      </c>
    </row>
    <row r="869" spans="1:4" x14ac:dyDescent="0.2">
      <c r="A869" s="5">
        <v>808</v>
      </c>
      <c r="B869" s="1832">
        <f>'Expenditures 15-22'!E72</f>
        <v>136014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1286801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1762035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30</v>
      </c>
      <c r="D893" s="2" t="str">
        <f t="shared" si="12"/>
        <v>Error?</v>
      </c>
    </row>
    <row r="894" spans="1:4" x14ac:dyDescent="0.2">
      <c r="A894" s="5">
        <v>833</v>
      </c>
      <c r="B894" s="1832">
        <f>'Expenditures 15-22'!F33</f>
        <v>127651</v>
      </c>
      <c r="C894" s="2" t="s">
        <v>569</v>
      </c>
      <c r="D894" s="2" t="str">
        <f t="shared" si="12"/>
        <v>Error?</v>
      </c>
    </row>
    <row r="895" spans="1:4" x14ac:dyDescent="0.2">
      <c r="A895" s="5">
        <v>834</v>
      </c>
      <c r="B895" s="1832">
        <f>'Expenditures 15-22'!F36</f>
        <v>5594</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16960</v>
      </c>
      <c r="D897" s="2" t="str">
        <f t="shared" si="13"/>
        <v>Error?</v>
      </c>
    </row>
    <row r="898" spans="1:4" x14ac:dyDescent="0.2">
      <c r="A898" s="5">
        <v>837</v>
      </c>
      <c r="B898" s="1832">
        <f>'Expenditures 15-22'!F39</f>
        <v>2283</v>
      </c>
      <c r="D898" s="2" t="str">
        <f t="shared" si="13"/>
        <v>Error?</v>
      </c>
    </row>
    <row r="899" spans="1:4" x14ac:dyDescent="0.2">
      <c r="A899" s="5">
        <v>838</v>
      </c>
      <c r="B899" s="1832">
        <f>'Expenditures 15-22'!F40</f>
        <v>5275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30112</v>
      </c>
      <c r="C901" s="2" t="s">
        <v>569</v>
      </c>
      <c r="D901" s="2" t="str">
        <f t="shared" si="13"/>
        <v>Error?</v>
      </c>
    </row>
    <row r="902" spans="1:4" x14ac:dyDescent="0.2">
      <c r="A902" s="5">
        <v>841</v>
      </c>
      <c r="B902" s="1832">
        <f>'Expenditures 15-22'!F44</f>
        <v>7658</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23314</v>
      </c>
      <c r="D904" s="2" t="str">
        <f t="shared" si="13"/>
        <v>Error?</v>
      </c>
    </row>
    <row r="905" spans="1:4" x14ac:dyDescent="0.2">
      <c r="A905" s="5">
        <v>844</v>
      </c>
      <c r="B905" s="1832">
        <f>'Expenditures 15-22'!F47</f>
        <v>30972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35604</v>
      </c>
      <c r="D907" s="2" t="str">
        <f t="shared" si="13"/>
        <v>Error?</v>
      </c>
    </row>
    <row r="908" spans="1:4" x14ac:dyDescent="0.2">
      <c r="A908" s="5">
        <v>847</v>
      </c>
      <c r="B908" s="1832">
        <f>'Expenditures 15-22'!F53</f>
        <v>35604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2468</v>
      </c>
      <c r="D913" s="2" t="str">
        <f t="shared" si="13"/>
        <v>Error?</v>
      </c>
    </row>
    <row r="914" spans="1:4" x14ac:dyDescent="0.2">
      <c r="A914" s="5">
        <v>853</v>
      </c>
      <c r="B914" s="1832">
        <f>'Expenditures 15-22'!F61</f>
        <v>98923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107514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208905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39113</v>
      </c>
      <c r="D922" s="2" t="str">
        <f t="shared" si="13"/>
        <v>Error?</v>
      </c>
    </row>
    <row r="923" spans="1:4" x14ac:dyDescent="0.2">
      <c r="A923" s="5">
        <v>862</v>
      </c>
      <c r="B923" s="1832">
        <f>'Expenditures 15-22'!F70</f>
        <v>275</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39388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344981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472632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24218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2500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2500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22459</v>
      </c>
      <c r="D965" s="2" t="str">
        <f t="shared" si="14"/>
        <v>Error?</v>
      </c>
    </row>
    <row r="966" spans="1:4" x14ac:dyDescent="0.2">
      <c r="A966" s="5">
        <v>905</v>
      </c>
      <c r="B966" s="1832">
        <f>'Expenditures 15-22'!G53</f>
        <v>22459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83182</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11979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95161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120120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144338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755</v>
      </c>
      <c r="C1010" s="2" t="s">
        <v>569</v>
      </c>
      <c r="D1010" s="2" t="str">
        <f t="shared" si="14"/>
        <v>Error?</v>
      </c>
    </row>
    <row r="1011" spans="1:4" x14ac:dyDescent="0.2">
      <c r="A1011" s="5">
        <v>950</v>
      </c>
      <c r="B1011" s="1832">
        <f>'Expenditures 15-22'!H36</f>
        <v>4874</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4874</v>
      </c>
      <c r="C1017" s="2" t="s">
        <v>569</v>
      </c>
      <c r="D1017" s="2" t="str">
        <f t="shared" si="14"/>
        <v>Error?</v>
      </c>
    </row>
    <row r="1018" spans="1:4" x14ac:dyDescent="0.2">
      <c r="A1018" s="5">
        <v>957</v>
      </c>
      <c r="B1018" s="1832">
        <f>'Expenditures 15-22'!H44</f>
        <v>11247</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11247</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1061</v>
      </c>
      <c r="D1023" s="2" t="str">
        <f t="shared" ref="D1023:D1086" si="15">IF(ISBLANK(B1023),"OK",IF(A1023-B1023=0,"OK","Error?"))</f>
        <v>Error?</v>
      </c>
    </row>
    <row r="1024" spans="1:4" x14ac:dyDescent="0.2">
      <c r="A1024" s="5">
        <v>963</v>
      </c>
      <c r="B1024" s="1832">
        <f>'Expenditures 15-22'!H53</f>
        <v>1061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17205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17960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16771</v>
      </c>
      <c r="C1107" s="2" t="s">
        <v>569</v>
      </c>
      <c r="D1107" s="2" t="str">
        <f t="shared" si="16"/>
        <v>Error?</v>
      </c>
    </row>
    <row r="1108" spans="1:4" x14ac:dyDescent="0.2">
      <c r="A1108" s="5">
        <v>1047</v>
      </c>
      <c r="B1108" s="1832">
        <f>'Expenditures 15-22'!K33</f>
        <v>6090833</v>
      </c>
      <c r="C1108" s="2" t="s">
        <v>569</v>
      </c>
      <c r="D1108" s="2" t="str">
        <f t="shared" si="16"/>
        <v>Error?</v>
      </c>
    </row>
    <row r="1109" spans="1:4" x14ac:dyDescent="0.2">
      <c r="A1109" s="5">
        <v>1048</v>
      </c>
      <c r="B1109" s="1832">
        <f>'Expenditures 15-22'!K36</f>
        <v>680183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587130</v>
      </c>
      <c r="C1111" s="2" t="s">
        <v>569</v>
      </c>
      <c r="D1111" s="2" t="str">
        <f t="shared" si="16"/>
        <v>Error?</v>
      </c>
    </row>
    <row r="1112" spans="1:4" x14ac:dyDescent="0.2">
      <c r="A1112" s="5">
        <v>1051</v>
      </c>
      <c r="B1112" s="1832">
        <f>'Expenditures 15-22'!K39</f>
        <v>558181</v>
      </c>
      <c r="C1112" s="2" t="s">
        <v>569</v>
      </c>
      <c r="D1112" s="2" t="str">
        <f t="shared" si="16"/>
        <v>Error?</v>
      </c>
    </row>
    <row r="1113" spans="1:4" x14ac:dyDescent="0.2">
      <c r="A1113" s="5">
        <v>1052</v>
      </c>
      <c r="B1113" s="1832">
        <f>'Expenditures 15-22'!K40</f>
        <v>467066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2292560</v>
      </c>
      <c r="C1115" s="2" t="s">
        <v>569</v>
      </c>
      <c r="D1115" s="2" t="str">
        <f t="shared" si="16"/>
        <v>Error?</v>
      </c>
    </row>
    <row r="1116" spans="1:4" x14ac:dyDescent="0.2">
      <c r="A1116" s="5">
        <v>1055</v>
      </c>
      <c r="B1116" s="1832">
        <f>'Expenditures 15-22'!K44</f>
        <v>179166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24809</v>
      </c>
      <c r="C1118" s="2" t="s">
        <v>569</v>
      </c>
      <c r="D1118" s="2" t="str">
        <f t="shared" si="16"/>
        <v>Error?</v>
      </c>
    </row>
    <row r="1119" spans="1:4" x14ac:dyDescent="0.2">
      <c r="A1119" s="5">
        <v>1058</v>
      </c>
      <c r="B1119" s="1832">
        <f>'Expenditures 15-22'!K47</f>
        <v>203975</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2357629</v>
      </c>
      <c r="C1121" s="2" t="s">
        <v>569</v>
      </c>
      <c r="D1121" s="2" t="str">
        <f t="shared" si="16"/>
        <v>Error?</v>
      </c>
    </row>
    <row r="1122" spans="1:4" x14ac:dyDescent="0.2">
      <c r="A1122" s="5">
        <v>1061</v>
      </c>
      <c r="B1122" s="1832">
        <f>'Expenditures 15-22'!K53</f>
        <v>2357629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94810</v>
      </c>
      <c r="C1126" s="2" t="s">
        <v>569</v>
      </c>
      <c r="D1126" s="2" t="str">
        <f t="shared" si="16"/>
        <v>Error?</v>
      </c>
    </row>
    <row r="1127" spans="1:4" x14ac:dyDescent="0.2">
      <c r="A1127" s="5">
        <v>1066</v>
      </c>
      <c r="B1127" s="1832">
        <f>'Expenditures 15-22'!K60</f>
        <v>156778</v>
      </c>
      <c r="C1127" s="2" t="s">
        <v>569</v>
      </c>
      <c r="D1127" s="2" t="str">
        <f t="shared" si="16"/>
        <v>Error?</v>
      </c>
    </row>
    <row r="1128" spans="1:4" x14ac:dyDescent="0.2">
      <c r="A1128" s="5">
        <v>1067</v>
      </c>
      <c r="B1128" s="1832">
        <f>'Expenditures 15-22'!K61</f>
        <v>600788</v>
      </c>
      <c r="C1128" s="2" t="s">
        <v>569</v>
      </c>
      <c r="D1128" s="2" t="str">
        <f t="shared" si="16"/>
        <v>Error?</v>
      </c>
    </row>
    <row r="1129" spans="1:4" x14ac:dyDescent="0.2">
      <c r="A1129" s="5">
        <v>1068</v>
      </c>
      <c r="B1129" s="1832">
        <f>'Expenditures 15-22'!K62</f>
        <v>61028</v>
      </c>
      <c r="C1129" s="2" t="s">
        <v>569</v>
      </c>
      <c r="D1129" s="2" t="str">
        <f t="shared" si="16"/>
        <v>Error?</v>
      </c>
    </row>
    <row r="1130" spans="1:4" x14ac:dyDescent="0.2">
      <c r="A1130" s="5">
        <v>1069</v>
      </c>
      <c r="B1130" s="1832">
        <f>'Expenditures 15-22'!K63</f>
        <v>394949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1308353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40105</v>
      </c>
      <c r="C1136" s="2" t="s">
        <v>569</v>
      </c>
      <c r="D1136" s="2" t="str">
        <f t="shared" si="16"/>
        <v>Error?</v>
      </c>
    </row>
    <row r="1137" spans="1:4" x14ac:dyDescent="0.2">
      <c r="A1137" s="5">
        <v>1076</v>
      </c>
      <c r="B1137" s="1832">
        <f>'Expenditures 15-22'!K70</f>
        <v>5103</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130194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175402</v>
      </c>
      <c r="C1141" s="2" t="s">
        <v>569</v>
      </c>
      <c r="D1141" s="2" t="str">
        <f t="shared" si="16"/>
        <v>Error?</v>
      </c>
    </row>
    <row r="1142" spans="1:4" x14ac:dyDescent="0.2">
      <c r="A1142" s="5">
        <v>1081</v>
      </c>
      <c r="B1142" s="1832">
        <f>'Expenditures 15-22'!K73</f>
        <v>12223</v>
      </c>
      <c r="C1142" s="2" t="s">
        <v>569</v>
      </c>
      <c r="D1142" s="2" t="str">
        <f t="shared" si="16"/>
        <v>Error?</v>
      </c>
    </row>
    <row r="1143" spans="1:4" x14ac:dyDescent="0.2">
      <c r="A1143" s="5">
        <v>1082</v>
      </c>
      <c r="B1143" s="1832">
        <f>'Expenditures 15-22'!K74</f>
        <v>6350142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353500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12794475</v>
      </c>
      <c r="C1152" s="2" t="s">
        <v>569</v>
      </c>
      <c r="D1152" s="2" t="str">
        <f t="shared" si="17"/>
        <v>Error?</v>
      </c>
    </row>
    <row r="1153" spans="1:4" x14ac:dyDescent="0.2">
      <c r="A1153" s="5">
        <v>1092</v>
      </c>
      <c r="B1153" s="1832">
        <f>'Expenditures 15-22'!K115</f>
        <v>-816625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3990708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3174083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37553</v>
      </c>
      <c r="D2008" s="2" t="str">
        <f t="shared" si="30"/>
        <v>Error?</v>
      </c>
    </row>
    <row r="2009" spans="1:4" x14ac:dyDescent="0.2">
      <c r="A2009" s="5">
        <v>1948</v>
      </c>
      <c r="B2009" s="1832">
        <f>'Cap Outlay Deprec 26'!C8</f>
        <v>1299597</v>
      </c>
      <c r="D2009" s="2" t="str">
        <f t="shared" si="30"/>
        <v>Error?</v>
      </c>
    </row>
    <row r="2010" spans="1:4" x14ac:dyDescent="0.2">
      <c r="A2010" s="5">
        <v>1949</v>
      </c>
      <c r="B2010" s="1832">
        <f>'Cap Outlay Deprec 26'!C10</f>
        <v>81842</v>
      </c>
      <c r="D2010" s="2" t="str">
        <f t="shared" si="30"/>
        <v>Error?</v>
      </c>
    </row>
    <row r="2011" spans="1:4" x14ac:dyDescent="0.2">
      <c r="A2011" s="5">
        <v>1950</v>
      </c>
      <c r="B2011" s="1832">
        <f>'Cap Outlay Deprec 26'!C12</f>
        <v>712346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2131338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4176</v>
      </c>
      <c r="D2015" s="2" t="str">
        <f t="shared" si="30"/>
        <v>Error?</v>
      </c>
    </row>
    <row r="2016" spans="1:4" x14ac:dyDescent="0.2">
      <c r="A2016" s="5">
        <v>1955</v>
      </c>
      <c r="B2016" s="1832">
        <f>'Cap Outlay Deprec 26'!D10</f>
        <v>7102</v>
      </c>
      <c r="D2016" s="2" t="str">
        <f t="shared" si="30"/>
        <v>Error?</v>
      </c>
    </row>
    <row r="2017" spans="1:4" x14ac:dyDescent="0.2">
      <c r="A2017" s="5">
        <v>1956</v>
      </c>
      <c r="B2017" s="1832">
        <f>'Cap Outlay Deprec 26'!D12</f>
        <v>103060</v>
      </c>
      <c r="D2017" s="2" t="str">
        <f t="shared" si="30"/>
        <v>Error?</v>
      </c>
    </row>
    <row r="2018" spans="1:4" x14ac:dyDescent="0.2">
      <c r="A2018" s="5">
        <v>1957</v>
      </c>
      <c r="B2018" s="1832">
        <f>'Cap Outlay Deprec 26'!D13</f>
        <v>30000</v>
      </c>
      <c r="D2018" s="2" t="str">
        <f t="shared" si="30"/>
        <v>Error?</v>
      </c>
    </row>
    <row r="2019" spans="1:4" x14ac:dyDescent="0.2">
      <c r="A2019" s="5">
        <v>1958</v>
      </c>
      <c r="B2019" s="1832">
        <f>'Cap Outlay Deprec 26'!D16</f>
        <v>144338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55648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55648</v>
      </c>
      <c r="C2025" s="2" t="s">
        <v>569</v>
      </c>
      <c r="D2025" s="2" t="str">
        <f t="shared" si="30"/>
        <v>Error?</v>
      </c>
    </row>
    <row r="2026" spans="1:4" x14ac:dyDescent="0.2">
      <c r="A2026" s="5">
        <v>1965</v>
      </c>
      <c r="B2026" s="1832">
        <f>'Cap Outlay Deprec 26'!F5</f>
        <v>37553</v>
      </c>
      <c r="C2026" s="2" t="s">
        <v>569</v>
      </c>
      <c r="D2026" s="2" t="str">
        <f t="shared" si="30"/>
        <v>Error?</v>
      </c>
    </row>
    <row r="2027" spans="1:4" x14ac:dyDescent="0.2">
      <c r="A2027" s="5">
        <v>1966</v>
      </c>
      <c r="B2027" s="1832">
        <f>'Cap Outlay Deprec 26'!F8</f>
        <v>1303773</v>
      </c>
      <c r="C2027" s="2" t="s">
        <v>569</v>
      </c>
      <c r="D2027" s="2" t="str">
        <f t="shared" si="30"/>
        <v>Error?</v>
      </c>
    </row>
    <row r="2028" spans="1:4" x14ac:dyDescent="0.2">
      <c r="A2028" s="5">
        <v>1967</v>
      </c>
      <c r="B2028" s="1832">
        <f>'Cap Outlay Deprec 26'!F10</f>
        <v>88944</v>
      </c>
      <c r="C2028" s="2" t="s">
        <v>569</v>
      </c>
      <c r="D2028" s="2" t="str">
        <f t="shared" si="30"/>
        <v>Error?</v>
      </c>
    </row>
    <row r="2029" spans="1:4" x14ac:dyDescent="0.2">
      <c r="A2029" s="5">
        <v>1968</v>
      </c>
      <c r="B2029" s="1832">
        <f>'Cap Outlay Deprec 26'!F12</f>
        <v>759758</v>
      </c>
      <c r="C2029" s="2" t="s">
        <v>569</v>
      </c>
      <c r="D2029" s="2" t="str">
        <f t="shared" si="30"/>
        <v>Error?</v>
      </c>
    </row>
    <row r="2030" spans="1:4" x14ac:dyDescent="0.2">
      <c r="A2030" s="5">
        <v>1969</v>
      </c>
      <c r="B2030" s="1832">
        <f>'Cap Outlay Deprec 26'!F13</f>
        <v>30000</v>
      </c>
      <c r="C2030" s="2" t="s">
        <v>569</v>
      </c>
      <c r="D2030" s="2" t="str">
        <f t="shared" si="30"/>
        <v>Error?</v>
      </c>
    </row>
    <row r="2031" spans="1:4" x14ac:dyDescent="0.2">
      <c r="A2031" s="5">
        <v>1970</v>
      </c>
      <c r="B2031" s="1832">
        <f>'Cap Outlay Deprec 26'!F16</f>
        <v>2220028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301534</v>
      </c>
      <c r="D2033" s="2" t="str">
        <f t="shared" si="30"/>
        <v>Error?</v>
      </c>
    </row>
    <row r="2034" spans="1:4" x14ac:dyDescent="0.2">
      <c r="A2034" s="5">
        <v>1973</v>
      </c>
      <c r="B2034" s="1832">
        <f>'Cap Outlay Deprec 26'!H10</f>
        <v>52135</v>
      </c>
      <c r="D2034" s="2" t="str">
        <f t="shared" si="30"/>
        <v>Error?</v>
      </c>
    </row>
    <row r="2035" spans="1:4" x14ac:dyDescent="0.2">
      <c r="A2035" s="5">
        <v>1974</v>
      </c>
      <c r="B2035" s="1832">
        <f>'Cap Outlay Deprec 26'!H12</f>
        <v>288045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641714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23527</v>
      </c>
      <c r="D2039" s="2" t="str">
        <f t="shared" si="30"/>
        <v>Error?</v>
      </c>
    </row>
    <row r="2040" spans="1:4" x14ac:dyDescent="0.2">
      <c r="A2040" s="5">
        <v>1979</v>
      </c>
      <c r="B2040" s="1832">
        <f>'Cap Outlay Deprec 26'!I10</f>
        <v>3350</v>
      </c>
      <c r="D2040" s="2" t="str">
        <f t="shared" si="30"/>
        <v>Error?</v>
      </c>
    </row>
    <row r="2041" spans="1:4" x14ac:dyDescent="0.2">
      <c r="A2041" s="5">
        <v>1980</v>
      </c>
      <c r="B2041" s="1832">
        <f>'Cap Outlay Deprec 26'!I12</f>
        <v>76784</v>
      </c>
      <c r="D2041" s="2" t="str">
        <f t="shared" si="30"/>
        <v>Error?</v>
      </c>
    </row>
    <row r="2042" spans="1:4" x14ac:dyDescent="0.2">
      <c r="A2042" s="5">
        <v>1981</v>
      </c>
      <c r="B2042" s="1832">
        <f>'Cap Outlay Deprec 26'!I13</f>
        <v>3500</v>
      </c>
      <c r="D2042" s="2" t="str">
        <f t="shared" si="30"/>
        <v>Error?</v>
      </c>
    </row>
    <row r="2043" spans="1:4" x14ac:dyDescent="0.2">
      <c r="A2043" s="5">
        <v>1982</v>
      </c>
      <c r="B2043" s="1832">
        <f>'Cap Outlay Deprec 26'!I16</f>
        <v>107161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55648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55648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325061</v>
      </c>
      <c r="C2051" s="2" t="s">
        <v>569</v>
      </c>
      <c r="D2051" s="2" t="str">
        <f t="shared" si="31"/>
        <v>Error?</v>
      </c>
    </row>
    <row r="2052" spans="1:4" x14ac:dyDescent="0.2">
      <c r="A2052" s="5">
        <v>1991</v>
      </c>
      <c r="B2052" s="1832">
        <f>'Cap Outlay Deprec 26'!K10</f>
        <v>55485</v>
      </c>
      <c r="C2052" s="2" t="s">
        <v>569</v>
      </c>
      <c r="D2052" s="2" t="str">
        <f t="shared" si="31"/>
        <v>Error?</v>
      </c>
    </row>
    <row r="2053" spans="1:4" x14ac:dyDescent="0.2">
      <c r="A2053" s="5">
        <v>1992</v>
      </c>
      <c r="B2053" s="1832">
        <f>'Cap Outlay Deprec 26'!K12</f>
        <v>309181</v>
      </c>
      <c r="C2053" s="2" t="s">
        <v>569</v>
      </c>
      <c r="D2053" s="2" t="str">
        <f t="shared" si="31"/>
        <v>Error?</v>
      </c>
    </row>
    <row r="2054" spans="1:4" x14ac:dyDescent="0.2">
      <c r="A2054" s="5">
        <v>1993</v>
      </c>
      <c r="B2054" s="1832">
        <f>'Cap Outlay Deprec 26'!K13</f>
        <v>3500</v>
      </c>
      <c r="C2054" s="2" t="s">
        <v>569</v>
      </c>
      <c r="D2054" s="2" t="str">
        <f t="shared" si="31"/>
        <v>Error?</v>
      </c>
    </row>
    <row r="2055" spans="1:4" x14ac:dyDescent="0.2">
      <c r="A2055" s="5">
        <v>1994</v>
      </c>
      <c r="B2055" s="1832">
        <f>'Cap Outlay Deprec 26'!K16</f>
        <v>693227</v>
      </c>
      <c r="C2055" s="2" t="s">
        <v>569</v>
      </c>
      <c r="D2055" s="2" t="str">
        <f t="shared" si="31"/>
        <v>Error?</v>
      </c>
    </row>
    <row r="2056" spans="1:4" x14ac:dyDescent="0.2">
      <c r="A2056" s="5">
        <v>1995</v>
      </c>
      <c r="B2056" s="1832">
        <f>'Cap Outlay Deprec 26'!L5</f>
        <v>37553</v>
      </c>
      <c r="C2056" s="2" t="s">
        <v>569</v>
      </c>
      <c r="D2056" s="2" t="str">
        <f t="shared" si="31"/>
        <v>Error?</v>
      </c>
    </row>
    <row r="2057" spans="1:4" x14ac:dyDescent="0.2">
      <c r="A2057" s="5">
        <v>1996</v>
      </c>
      <c r="B2057" s="1832">
        <f>'Cap Outlay Deprec 26'!L8</f>
        <v>978712</v>
      </c>
      <c r="C2057" s="2" t="s">
        <v>569</v>
      </c>
      <c r="D2057" s="2" t="str">
        <f t="shared" si="31"/>
        <v>Error?</v>
      </c>
    </row>
    <row r="2058" spans="1:4" x14ac:dyDescent="0.2">
      <c r="A2058" s="5">
        <v>1997</v>
      </c>
      <c r="B2058" s="1832">
        <f>'Cap Outlay Deprec 26'!L10</f>
        <v>33459</v>
      </c>
      <c r="C2058" s="2" t="s">
        <v>569</v>
      </c>
      <c r="D2058" s="2" t="str">
        <f t="shared" si="31"/>
        <v>Error?</v>
      </c>
    </row>
    <row r="2059" spans="1:4" x14ac:dyDescent="0.2">
      <c r="A2059" s="5">
        <v>1998</v>
      </c>
      <c r="B2059" s="1832">
        <f>'Cap Outlay Deprec 26'!L12</f>
        <v>450577</v>
      </c>
      <c r="C2059" s="2" t="s">
        <v>569</v>
      </c>
      <c r="D2059" s="2" t="str">
        <f t="shared" si="31"/>
        <v>Error?</v>
      </c>
    </row>
    <row r="2060" spans="1:4" x14ac:dyDescent="0.2">
      <c r="A2060" s="5">
        <v>1999</v>
      </c>
      <c r="B2060" s="1832">
        <f>'Cap Outlay Deprec 26'!L13</f>
        <v>26500</v>
      </c>
      <c r="C2060" s="2" t="s">
        <v>569</v>
      </c>
      <c r="D2060" s="2" t="str">
        <f t="shared" si="31"/>
        <v>Error?</v>
      </c>
    </row>
    <row r="2061" spans="1:4" x14ac:dyDescent="0.2">
      <c r="A2061" s="5">
        <v>2000</v>
      </c>
      <c r="B2061" s="1832">
        <f>'Cap Outlay Deprec 26'!L16</f>
        <v>1526801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353500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8834656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1139271</v>
      </c>
      <c r="C2553" s="2" t="s">
        <v>569</v>
      </c>
      <c r="D2553" s="2" t="str">
        <f t="shared" si="38"/>
        <v>Error?</v>
      </c>
    </row>
    <row r="2554" spans="1:4" x14ac:dyDescent="0.2">
      <c r="A2554" s="5">
        <v>2493</v>
      </c>
      <c r="B2554" s="1832">
        <f>'Acct Summary 7-8'!C7</f>
        <v>1999023</v>
      </c>
      <c r="C2554" s="2" t="s">
        <v>569</v>
      </c>
      <c r="D2554" s="2" t="str">
        <f t="shared" si="38"/>
        <v>Error?</v>
      </c>
    </row>
    <row r="2555" spans="1:4" x14ac:dyDescent="0.2">
      <c r="A2555" s="5">
        <v>2494</v>
      </c>
      <c r="B2555" s="1832">
        <f>'Acct Summary 7-8'!C8</f>
        <v>11977850</v>
      </c>
      <c r="C2555" s="2" t="s">
        <v>569</v>
      </c>
      <c r="D2555" s="2" t="str">
        <f t="shared" si="38"/>
        <v>Error?</v>
      </c>
    </row>
    <row r="2556" spans="1:4" x14ac:dyDescent="0.2">
      <c r="A2556" s="5">
        <v>2495</v>
      </c>
      <c r="B2556" s="1832">
        <f>'Acct Summary 7-8'!C12</f>
        <v>6090833</v>
      </c>
      <c r="C2556" s="2" t="s">
        <v>569</v>
      </c>
      <c r="D2556" s="2" t="str">
        <f t="shared" si="38"/>
        <v>Error?</v>
      </c>
    </row>
    <row r="2557" spans="1:4" x14ac:dyDescent="0.2">
      <c r="A2557" s="5">
        <v>2496</v>
      </c>
      <c r="B2557" s="1832">
        <f>'Acct Summary 7-8'!C13</f>
        <v>6350142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353500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12794475</v>
      </c>
      <c r="C2561" s="2" t="s">
        <v>569</v>
      </c>
      <c r="D2561" s="2" t="str">
        <f t="shared" si="39"/>
        <v>Error?</v>
      </c>
    </row>
    <row r="2562" spans="1:4" x14ac:dyDescent="0.2">
      <c r="A2562" s="5">
        <v>2501</v>
      </c>
      <c r="B2562" s="1832">
        <f>'Acct Summary 7-8'!C20</f>
        <v>-816625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353500</v>
      </c>
      <c r="C2789" s="2" t="s">
        <v>569</v>
      </c>
      <c r="D2789" s="2" t="str">
        <f t="shared" si="42"/>
        <v>Error?</v>
      </c>
    </row>
    <row r="2790" spans="1:4" x14ac:dyDescent="0.2">
      <c r="A2790" s="5">
        <v>2729</v>
      </c>
      <c r="B2790" s="1832">
        <f>'Expenditures 15-22'!E102</f>
        <v>353500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19157</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23208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23208</v>
      </c>
      <c r="D2914" s="2" t="str">
        <f t="shared" si="44"/>
        <v>Error?</v>
      </c>
    </row>
    <row r="2915" spans="1:4" x14ac:dyDescent="0.2">
      <c r="A2915" s="10">
        <v>2854</v>
      </c>
      <c r="B2915" s="1832"/>
      <c r="D2915" s="2" t="str">
        <f t="shared" si="44"/>
        <v>OK</v>
      </c>
    </row>
    <row r="2916" spans="1:4" x14ac:dyDescent="0.2">
      <c r="A2916" s="5">
        <v>2855</v>
      </c>
      <c r="B2916" s="1832">
        <f>'Assets-Liab 5-6'!L34</f>
        <v>23208</v>
      </c>
      <c r="C2916" s="2" t="s">
        <v>569</v>
      </c>
      <c r="D2916" s="2" t="str">
        <f t="shared" si="44"/>
        <v>Error?</v>
      </c>
    </row>
    <row r="2917" spans="1:4" x14ac:dyDescent="0.2">
      <c r="A2917" s="5">
        <v>2856</v>
      </c>
      <c r="B2917" s="1832">
        <f>'Assets-Liab 5-6'!L41</f>
        <v>23208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353500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353500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-816625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3639832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1400286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120947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121532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23667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755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5307019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4900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277969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4051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203993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4369045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16346895</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4369045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17163520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3174083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249850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131194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940583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249850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7494320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7494320</v>
      </c>
      <c r="C5087" s="2" t="s">
        <v>569</v>
      </c>
      <c r="D5087" s="2" t="str">
        <f t="shared" si="78"/>
        <v>Error?</v>
      </c>
    </row>
    <row r="5088" spans="1:4" x14ac:dyDescent="0.2">
      <c r="A5088" s="5">
        <v>5027</v>
      </c>
      <c r="B5088" s="1832">
        <f>'Revenues 9-14'!C65</f>
        <v>46829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46829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19</v>
      </c>
      <c r="D5092" s="2" t="str">
        <f t="shared" si="78"/>
        <v>Error?</v>
      </c>
    </row>
    <row r="5093" spans="1:4" x14ac:dyDescent="0.2">
      <c r="A5093" s="5">
        <v>5032</v>
      </c>
      <c r="B5093" s="1832">
        <f>'Revenues 9-14'!C72</f>
        <v>19</v>
      </c>
      <c r="D5093" s="2" t="str">
        <f t="shared" si="78"/>
        <v>Error?</v>
      </c>
    </row>
    <row r="5094" spans="1:4" x14ac:dyDescent="0.2">
      <c r="A5094" s="5">
        <v>5033</v>
      </c>
      <c r="B5094" s="1832">
        <f>'Revenues 9-14'!C73</f>
        <v>7711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13115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1226623</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21</v>
      </c>
      <c r="D5118" s="2" t="str">
        <f t="shared" si="78"/>
        <v>Error?</v>
      </c>
    </row>
    <row r="5119" spans="1:4" x14ac:dyDescent="0.2">
      <c r="A5119" s="5">
        <v>5058</v>
      </c>
      <c r="B5119" s="1832">
        <f>'Revenues 9-14'!C107</f>
        <v>53748</v>
      </c>
      <c r="D5119" s="2" t="str">
        <f t="shared" ref="D5119:D5182" si="79">IF(ISBLANK(B5119),"OK",IF(A5119-B5119=0,"OK","Error?"))</f>
        <v>Error?</v>
      </c>
    </row>
    <row r="5120" spans="1:4" x14ac:dyDescent="0.2">
      <c r="A5120" s="5">
        <v>5059</v>
      </c>
      <c r="B5120" s="1832">
        <f>'Revenues 9-14'!C108</f>
        <v>1280392</v>
      </c>
      <c r="C5120" s="2" t="s">
        <v>569</v>
      </c>
      <c r="D5120" s="2" t="str">
        <f t="shared" si="79"/>
        <v>Error?</v>
      </c>
    </row>
    <row r="5121" spans="1:4" x14ac:dyDescent="0.2">
      <c r="A5121" s="5">
        <v>5060</v>
      </c>
      <c r="B5121" s="1832">
        <f>'Revenues 9-14'!C109</f>
        <v>8834656</v>
      </c>
      <c r="C5121" s="2" t="s">
        <v>569</v>
      </c>
      <c r="D5121" s="2" t="str">
        <f t="shared" si="79"/>
        <v>Error?</v>
      </c>
    </row>
    <row r="5122" spans="1:4" x14ac:dyDescent="0.2">
      <c r="A5122" s="5">
        <v>5061</v>
      </c>
      <c r="B5122" s="1832">
        <f>'Revenues 9-14'!C111</f>
        <v>4900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4900</v>
      </c>
      <c r="C5125" s="2" t="s">
        <v>569</v>
      </c>
      <c r="D5125" s="2" t="str">
        <f t="shared" si="79"/>
        <v>Error?</v>
      </c>
    </row>
    <row r="5126" spans="1:4" x14ac:dyDescent="0.2">
      <c r="A5126" s="5">
        <v>5065</v>
      </c>
      <c r="B5126" s="1832">
        <f>'Revenues 9-14'!C117</f>
        <v>1102623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1102623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4007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32641</v>
      </c>
      <c r="D5177" s="2" t="str">
        <f t="shared" si="79"/>
        <v>Error?</v>
      </c>
    </row>
    <row r="5178" spans="1:4" x14ac:dyDescent="0.2">
      <c r="A5178" s="5">
        <v>5117</v>
      </c>
      <c r="B5178" s="1832">
        <f>'Revenues 9-14'!C155</f>
        <v>32641</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36648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1139271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127337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71221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210158</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10094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457144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467238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1999023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1999023</v>
      </c>
      <c r="C5326" s="2" t="s">
        <v>569</v>
      </c>
      <c r="D5326" s="2" t="str">
        <f t="shared" si="82"/>
        <v>Error?</v>
      </c>
    </row>
    <row r="5327" spans="1:5" x14ac:dyDescent="0.2">
      <c r="A5327" s="5">
        <v>5266</v>
      </c>
      <c r="B5327" s="1832">
        <f>'Revenues 9-14'!C268</f>
        <v>11977850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5366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9888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450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-816625</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-0.25727903145569919</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767043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594146</v>
      </c>
      <c r="D7251" s="2" t="str">
        <f t="shared" si="112"/>
        <v>Error?</v>
      </c>
    </row>
    <row r="7252" spans="1:4" x14ac:dyDescent="0.2">
      <c r="A7252">
        <f t="shared" si="113"/>
        <v>7191</v>
      </c>
      <c r="B7252" s="1832">
        <f>'Expenditures 15-22'!D9</f>
        <v>165542</v>
      </c>
      <c r="D7252" s="2" t="str">
        <f t="shared" si="112"/>
        <v>Error?</v>
      </c>
    </row>
    <row r="7253" spans="1:4" x14ac:dyDescent="0.2">
      <c r="A7253">
        <f t="shared" si="113"/>
        <v>7192</v>
      </c>
      <c r="B7253" s="1832">
        <f>'Expenditures 15-22'!E9</f>
        <v>715</v>
      </c>
      <c r="D7253" s="2" t="str">
        <f t="shared" si="112"/>
        <v>Error?</v>
      </c>
    </row>
    <row r="7254" spans="1:4" x14ac:dyDescent="0.2">
      <c r="A7254">
        <f t="shared" si="113"/>
        <v>7193</v>
      </c>
      <c r="B7254" s="1832">
        <f>'Expenditures 15-22'!F9</f>
        <v>6089</v>
      </c>
      <c r="D7254" s="2" t="str">
        <f t="shared" si="112"/>
        <v>Error?</v>
      </c>
    </row>
    <row r="7255" spans="1:4" x14ac:dyDescent="0.2">
      <c r="A7255">
        <f t="shared" si="113"/>
        <v>7194</v>
      </c>
      <c r="B7255" s="1832">
        <f>'Expenditures 15-22'!G9</f>
        <v>551</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107161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11600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0</v>
      </c>
      <c r="D7817" s="2" t="str">
        <f t="shared" si="128"/>
        <v>Error?</v>
      </c>
      <c r="E7817" s="4" t="s">
        <v>1969</v>
      </c>
    </row>
    <row r="7818" spans="1:5" x14ac:dyDescent="0.2">
      <c r="A7818">
        <v>7757</v>
      </c>
      <c r="B7818" s="1832">
        <f>'PCTC-OEPP 27-28'!F172</f>
        <v>0</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-352421</v>
      </c>
      <c r="D7820" s="2" t="str">
        <f t="shared" si="128"/>
        <v>Error?</v>
      </c>
    </row>
    <row r="7821" spans="1:5" x14ac:dyDescent="0.2">
      <c r="A7821">
        <v>7760</v>
      </c>
      <c r="B7821" s="1832">
        <f>'ICR Computation 30'!G40</f>
        <v>-352421</v>
      </c>
      <c r="D7821" s="2" t="str">
        <f t="shared" si="128"/>
        <v>Error?</v>
      </c>
    </row>
    <row r="7822" spans="1:5" x14ac:dyDescent="0.2">
      <c r="A7822" s="1">
        <v>7761</v>
      </c>
      <c r="B7822" s="1832">
        <f>'PCTC-OEPP 27-28'!F14</f>
        <v>12794475</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766492</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16771</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1281101</v>
      </c>
      <c r="D7834" s="2" t="str">
        <f t="shared" si="129"/>
        <v>Error?</v>
      </c>
      <c r="E7834" s="4" t="s">
        <v>2001</v>
      </c>
    </row>
    <row r="7835" spans="1:5" x14ac:dyDescent="0.2">
      <c r="A7835">
        <v>7774</v>
      </c>
      <c r="B7835" s="1832">
        <f>'PCTC-OEPP 27-28'!F78</f>
        <v>11513374</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t="str">
        <f>'PCTC-OEPP 27-28'!F80</f>
        <v xml:space="preserve"> Complete Line 79</v>
      </c>
      <c r="D7837" s="2" t="e">
        <f t="shared" si="129"/>
        <v>#VALUE!</v>
      </c>
      <c r="E7837" s="4" t="s">
        <v>2001</v>
      </c>
    </row>
    <row r="7838" spans="1:5" x14ac:dyDescent="0.2">
      <c r="A7838">
        <v>7777</v>
      </c>
      <c r="B7838" s="1832">
        <f>'PCTC-OEPP 27-28'!F96</f>
        <v>0</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1226623</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0</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32641</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210158</v>
      </c>
      <c r="D7858" s="2" t="str">
        <f t="shared" si="129"/>
        <v>Error?</v>
      </c>
      <c r="E7858" s="4" t="s">
        <v>2001</v>
      </c>
    </row>
    <row r="7859" spans="1:5" x14ac:dyDescent="0.2">
      <c r="A7859">
        <v>7798</v>
      </c>
      <c r="B7859" s="1832">
        <f>'PCTC-OEPP 27-28'!F127</f>
        <v>0</v>
      </c>
      <c r="D7859" s="2" t="str">
        <f t="shared" si="129"/>
        <v>Error?</v>
      </c>
      <c r="E7859" s="4" t="s">
        <v>2001</v>
      </c>
    </row>
    <row r="7860" spans="1:5" x14ac:dyDescent="0.2">
      <c r="A7860">
        <v>7799</v>
      </c>
      <c r="B7860" s="1832">
        <f>'PCTC-OEPP 27-28'!F128</f>
        <v>249850</v>
      </c>
      <c r="D7860" s="2" t="str">
        <f t="shared" si="129"/>
        <v>Error?</v>
      </c>
      <c r="E7860" s="4" t="s">
        <v>2001</v>
      </c>
    </row>
    <row r="7861" spans="1:5" x14ac:dyDescent="0.2">
      <c r="A7861">
        <v>7800</v>
      </c>
      <c r="B7861" s="1832">
        <f>'PCTC-OEPP 27-28'!F129</f>
        <v>457144</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0</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131194</v>
      </c>
      <c r="D7874" s="2" t="str">
        <f t="shared" si="129"/>
        <v>Error?</v>
      </c>
      <c r="E7874" s="4" t="s">
        <v>2001</v>
      </c>
    </row>
    <row r="7875" spans="1:5" x14ac:dyDescent="0.2">
      <c r="A7875">
        <v>7814</v>
      </c>
      <c r="B7875" s="1832">
        <f>'PCTC-OEPP 27-28'!F170</f>
        <v>940583</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3265336</v>
      </c>
      <c r="D7877" s="2" t="str">
        <f t="shared" si="129"/>
        <v>Error?</v>
      </c>
      <c r="E7877" s="4" t="s">
        <v>2001</v>
      </c>
    </row>
    <row r="7878" spans="1:5" x14ac:dyDescent="0.2">
      <c r="A7878">
        <v>7817</v>
      </c>
      <c r="B7878" s="1832">
        <f>'PCTC-OEPP 27-28'!F176</f>
        <v>8248038</v>
      </c>
      <c r="D7878" s="2" t="str">
        <f t="shared" si="129"/>
        <v>Error?</v>
      </c>
      <c r="E7878" s="4" t="s">
        <v>2001</v>
      </c>
    </row>
    <row r="7879" spans="1:5" x14ac:dyDescent="0.2">
      <c r="A7879">
        <v>7818</v>
      </c>
      <c r="B7879" s="1832">
        <f>'PCTC-OEPP 27-28'!F178</f>
        <v>8355199</v>
      </c>
      <c r="D7879" s="2" t="str">
        <f t="shared" si="129"/>
        <v>Error?</v>
      </c>
      <c r="E7879" s="4" t="s">
        <v>2001</v>
      </c>
    </row>
    <row r="7880" spans="1:5" x14ac:dyDescent="0.2">
      <c r="A7880">
        <v>7819</v>
      </c>
      <c r="B7880" s="1832"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6" t="s">
        <v>1183</v>
      </c>
      <c r="B2" s="2516"/>
      <c r="C2" s="2516"/>
      <c r="D2" s="2516"/>
      <c r="E2" s="2516"/>
      <c r="F2" s="2516"/>
      <c r="G2" s="2516"/>
      <c r="H2" s="2516"/>
      <c r="I2" s="2516"/>
      <c r="J2" s="2516"/>
      <c r="K2" s="2516"/>
      <c r="L2" s="2516"/>
    </row>
    <row r="3" spans="1:29" ht="13.5" customHeight="1" x14ac:dyDescent="0.2">
      <c r="A3" s="2548" t="s">
        <v>1182</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9" t="str">
        <f>COVER!A17</f>
        <v>Tri County Special Ed JA</v>
      </c>
      <c r="B7" s="2540"/>
      <c r="C7" s="2540"/>
      <c r="D7" s="2541"/>
      <c r="E7" s="2542">
        <f>COVER!A13</f>
        <v>30039186061</v>
      </c>
      <c r="F7" s="2543"/>
      <c r="G7" s="2549" t="str">
        <f>COVER!T23</f>
        <v>066-003998</v>
      </c>
      <c r="H7" s="2550"/>
      <c r="I7" s="2550"/>
      <c r="J7" s="2550"/>
      <c r="K7" s="2550"/>
      <c r="L7" s="2551"/>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2"/>
      <c r="B9" s="2553"/>
      <c r="C9" s="2553"/>
      <c r="D9" s="2553"/>
      <c r="E9" s="2553"/>
      <c r="F9" s="2554"/>
      <c r="G9" s="2522" t="str">
        <f>COVER!T13</f>
        <v>Kemper CPA Group, LLP</v>
      </c>
      <c r="H9" s="2555"/>
      <c r="I9" s="2555"/>
      <c r="J9" s="2555"/>
      <c r="K9" s="2555"/>
      <c r="L9" s="2556"/>
    </row>
    <row r="10" spans="1:29" ht="13.5" customHeight="1" x14ac:dyDescent="0.2">
      <c r="A10" s="2528" t="str">
        <f>COVER!A38</f>
        <v>Jan Pearcy</v>
      </c>
      <c r="B10" s="2529"/>
      <c r="C10" s="2529"/>
      <c r="D10" s="2529"/>
      <c r="E10" s="2529"/>
      <c r="F10" s="2530"/>
      <c r="G10" s="2522" t="str">
        <f>COVER!T17</f>
        <v>3401 Professional Park Drive, PO BOX 129</v>
      </c>
      <c r="H10" s="2523"/>
      <c r="I10" s="2523"/>
      <c r="J10" s="2523"/>
      <c r="K10" s="2523"/>
      <c r="L10" s="2524"/>
    </row>
    <row r="11" spans="1:29" ht="13.5" customHeight="1" x14ac:dyDescent="0.2">
      <c r="A11" s="963" t="s">
        <v>1505</v>
      </c>
      <c r="B11" s="964"/>
      <c r="C11" s="965"/>
      <c r="D11" s="970"/>
      <c r="E11" s="965"/>
      <c r="F11" s="969"/>
      <c r="G11" s="2522" t="str">
        <f>COVER!T19</f>
        <v>Marion</v>
      </c>
      <c r="H11" s="2523"/>
      <c r="I11" s="2523"/>
      <c r="J11" s="2523"/>
      <c r="K11" s="2523"/>
      <c r="L11" s="2524"/>
    </row>
    <row r="12" spans="1:29" ht="13.5" customHeight="1" x14ac:dyDescent="0.2">
      <c r="A12" s="2531" t="s">
        <v>1504</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1506</v>
      </c>
      <c r="H13" s="2518"/>
      <c r="I13" s="2534" t="str">
        <f>COVER!T25</f>
        <v>kwalker@kcpag.com</v>
      </c>
      <c r="J13" s="2535"/>
      <c r="K13" s="2535"/>
      <c r="L13" s="2536"/>
    </row>
    <row r="14" spans="1:29" ht="13.5" customHeight="1" x14ac:dyDescent="0.2">
      <c r="A14" s="2522" t="str">
        <f>COVER!A19</f>
        <v>1335 N. Cedar Court</v>
      </c>
      <c r="B14" s="2523"/>
      <c r="C14" s="2523"/>
      <c r="D14" s="2523"/>
      <c r="E14" s="2523"/>
      <c r="F14" s="2524"/>
      <c r="G14" s="974" t="s">
        <v>1177</v>
      </c>
      <c r="H14" s="972"/>
      <c r="I14" s="972"/>
      <c r="J14" s="972"/>
      <c r="K14" s="972"/>
      <c r="L14" s="973"/>
    </row>
    <row r="15" spans="1:29" ht="13.5" customHeight="1" x14ac:dyDescent="0.2">
      <c r="A15" s="2522" t="str">
        <f>COVER!A21</f>
        <v>Carbondale</v>
      </c>
      <c r="B15" s="2523"/>
      <c r="C15" s="2523"/>
      <c r="D15" s="2523"/>
      <c r="E15" s="2523"/>
      <c r="F15" s="2524"/>
      <c r="G15" s="2519" t="str">
        <f>COVER!T15</f>
        <v>Kimberly Walker, CPA</v>
      </c>
      <c r="H15" s="2520"/>
      <c r="I15" s="2520"/>
      <c r="J15" s="2520"/>
      <c r="K15" s="2520"/>
      <c r="L15" s="2521"/>
    </row>
    <row r="16" spans="1:29" ht="12.2" customHeight="1" x14ac:dyDescent="0.2">
      <c r="A16" s="2545">
        <f>COVER!A25</f>
        <v>62901</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74" t="s">
        <v>1176</v>
      </c>
      <c r="H17" s="972"/>
      <c r="I17" s="972"/>
      <c r="J17" s="972"/>
      <c r="K17" s="976" t="s">
        <v>1175</v>
      </c>
      <c r="L17" s="969"/>
      <c r="M17" s="962"/>
    </row>
    <row r="18" spans="1:13" ht="12.2" customHeight="1" x14ac:dyDescent="0.2">
      <c r="A18" s="2528"/>
      <c r="B18" s="2529"/>
      <c r="C18" s="2529"/>
      <c r="D18" s="2529"/>
      <c r="E18" s="2529"/>
      <c r="F18" s="2530"/>
      <c r="G18" s="2539" t="str">
        <f>COVER!T21</f>
        <v>618-997-3055</v>
      </c>
      <c r="H18" s="2540"/>
      <c r="I18" s="2540"/>
      <c r="J18" s="2540"/>
      <c r="K18" s="2539" t="str">
        <f>COVER!X21</f>
        <v>618-997-5121</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Tri County Special Ed JA</v>
      </c>
      <c r="B1" s="2562"/>
      <c r="C1" s="2562"/>
      <c r="D1" s="2562"/>
    </row>
    <row r="2" spans="1:11" s="991" customFormat="1" ht="12.75" x14ac:dyDescent="0.2">
      <c r="A2" s="2563">
        <f>'Single Audit Cover'!E7</f>
        <v>30039186061</v>
      </c>
      <c r="B2" s="2564"/>
      <c r="C2" s="2564"/>
      <c r="D2" s="2564"/>
    </row>
    <row r="3" spans="1:11" s="991" customFormat="1" ht="12.75" x14ac:dyDescent="0.2">
      <c r="A3" s="2561" t="s">
        <v>1499</v>
      </c>
      <c r="B3" s="2562"/>
      <c r="C3" s="2562"/>
      <c r="D3" s="2562"/>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33" sqref="I3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Tri County Special Ed JA</v>
      </c>
      <c r="B1" s="2566"/>
      <c r="C1" s="2566"/>
      <c r="D1" s="2566"/>
      <c r="E1" s="2566"/>
    </row>
    <row r="2" spans="1:5" x14ac:dyDescent="0.2">
      <c r="A2" s="2567">
        <f>'Single Audit Cover'!E7</f>
        <v>30039186061</v>
      </c>
      <c r="B2" s="2567"/>
      <c r="C2" s="2567"/>
      <c r="D2" s="2567"/>
      <c r="E2" s="2567"/>
    </row>
    <row r="3" spans="1:5" ht="4.5" customHeight="1" x14ac:dyDescent="0.2"/>
    <row r="4" spans="1:5" x14ac:dyDescent="0.2">
      <c r="A4" s="2566" t="s">
        <v>1236</v>
      </c>
      <c r="B4" s="2566"/>
      <c r="C4" s="2566"/>
      <c r="D4" s="2566"/>
      <c r="E4" s="2566"/>
    </row>
    <row r="5" spans="1:5" x14ac:dyDescent="0.2">
      <c r="A5" s="2569" t="str">
        <f>'Single Audit Cover'!A4</f>
        <v>Year Ending June 30, 2020</v>
      </c>
      <c r="B5" s="2569"/>
      <c r="C5" s="2569"/>
      <c r="D5" s="2569"/>
      <c r="E5" s="2569"/>
    </row>
    <row r="6" spans="1:5" x14ac:dyDescent="0.2">
      <c r="A6" s="2566" t="s">
        <v>1235</v>
      </c>
      <c r="B6" s="2566"/>
      <c r="C6" s="2566"/>
      <c r="D6" s="2566"/>
      <c r="E6" s="2566"/>
    </row>
    <row r="8" spans="1:5" x14ac:dyDescent="0.2">
      <c r="A8" s="1036" t="s">
        <v>1234</v>
      </c>
    </row>
    <row r="10" spans="1:5" x14ac:dyDescent="0.2">
      <c r="A10" s="1037" t="s">
        <v>1233</v>
      </c>
      <c r="B10" s="1038" t="s">
        <v>1232</v>
      </c>
      <c r="C10" s="1038"/>
      <c r="D10" s="1039">
        <f>SUM('Acct Summary 7-8'!C7:K7)</f>
        <v>1999023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9888</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-940583</v>
      </c>
    </row>
    <row r="19" spans="1:4" ht="13.5" thickBot="1" x14ac:dyDescent="0.25">
      <c r="A19" s="1041" t="s">
        <v>1226</v>
      </c>
      <c r="D19" s="1042">
        <f>SUM(D10:D17)</f>
        <v>1068328</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1224</v>
      </c>
      <c r="D32" s="1039">
        <f>SUM(D19:D30)</f>
        <v>1068328</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1218</v>
      </c>
      <c r="C47" s="1048"/>
      <c r="D47" s="1049">
        <f>SUM(D35:D45)</f>
        <v>0</v>
      </c>
    </row>
    <row r="49" spans="2:4" x14ac:dyDescent="0.2">
      <c r="B49" s="1048" t="s">
        <v>1217</v>
      </c>
      <c r="C49" s="1048"/>
      <c r="D49" s="1049">
        <f>D32-D47</f>
        <v>1068328</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Tri County Special Ed JA</v>
      </c>
      <c r="C1" s="2570"/>
      <c r="D1" s="2570"/>
      <c r="E1" s="2570"/>
      <c r="F1" s="2570"/>
      <c r="G1" s="2570"/>
      <c r="H1" s="2570"/>
      <c r="I1" s="2570"/>
      <c r="J1" s="2570"/>
      <c r="K1" s="2570"/>
      <c r="L1" s="2570"/>
      <c r="M1" s="2570"/>
    </row>
    <row r="2" spans="2:14" ht="15" x14ac:dyDescent="0.2">
      <c r="B2" s="2571">
        <f>'Single Audit Cover'!E7</f>
        <v>30039186061</v>
      </c>
      <c r="C2" s="2571"/>
      <c r="D2" s="2571"/>
      <c r="E2" s="2571"/>
      <c r="F2" s="2571"/>
      <c r="G2" s="2571"/>
      <c r="H2" s="2571"/>
      <c r="I2" s="2571"/>
      <c r="J2" s="2571"/>
      <c r="K2" s="2571"/>
      <c r="L2" s="2571"/>
      <c r="M2" s="2571"/>
      <c r="N2" s="1078"/>
    </row>
    <row r="3" spans="2:14" ht="15" x14ac:dyDescent="0.2">
      <c r="B3" s="2572" t="s">
        <v>1210</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2"/>
      <c r="J5" s="1912"/>
    </row>
    <row r="6" spans="2:14" x14ac:dyDescent="0.2">
      <c r="B6" s="1079"/>
      <c r="C6" s="1080"/>
      <c r="D6" s="1081" t="s">
        <v>1256</v>
      </c>
      <c r="E6" s="1082" t="s">
        <v>524</v>
      </c>
      <c r="F6" s="1083"/>
      <c r="G6" s="1084" t="s">
        <v>1714</v>
      </c>
      <c r="H6" s="1082"/>
      <c r="I6" s="1082"/>
      <c r="J6" s="1913"/>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1" t="str">
        <f>"7/1/"&amp;MID('AFR20'!$E$2,3,2)-2&amp;"-6/30/"&amp;MID('AFR20'!$E$2,3,2)-1</f>
        <v>7/1/18-6/30/19</v>
      </c>
      <c r="F9" s="1911" t="str">
        <f>"7/1/"&amp;MID('AFR20'!$E$2,3,2)-1&amp;"-6/30/"&amp;MID('AFR20'!$E$2,3,2)</f>
        <v>7/1/19-6/30/20</v>
      </c>
      <c r="G9" s="1911" t="str">
        <f>"7/1/"&amp;MID('AFR20'!$E$2,3,2)-2&amp;"-6/30/"&amp;MID('AFR20'!$E$2,3,2)-1</f>
        <v>7/1/18-6/30/19</v>
      </c>
      <c r="H9" s="1093" t="s">
        <v>1568</v>
      </c>
      <c r="I9" s="1911"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Tri County Special Ed JA</v>
      </c>
      <c r="B1" s="2583"/>
      <c r="C1" s="2583"/>
      <c r="D1" s="2583"/>
      <c r="E1" s="2583"/>
      <c r="F1" s="2583"/>
    </row>
    <row r="2" spans="1:7" ht="13.5" customHeight="1" x14ac:dyDescent="0.2">
      <c r="A2" s="2571">
        <f>'Single Audit Cover'!E7</f>
        <v>30039186061</v>
      </c>
      <c r="B2" s="2571"/>
      <c r="C2" s="2571"/>
      <c r="D2" s="2571"/>
      <c r="E2" s="2571"/>
      <c r="F2" s="2571"/>
      <c r="G2" s="1051"/>
    </row>
    <row r="3" spans="1:7" ht="15.75" customHeight="1" x14ac:dyDescent="0.2">
      <c r="A3" s="2584" t="s">
        <v>1262</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1708</v>
      </c>
      <c r="C6" s="295"/>
      <c r="D6" s="295"/>
    </row>
    <row r="7" spans="1:7" ht="60.95" customHeight="1" x14ac:dyDescent="0.2">
      <c r="A7" s="2582" t="s">
        <v>1709</v>
      </c>
      <c r="B7" s="2582"/>
      <c r="C7" s="2582"/>
      <c r="D7" s="2582"/>
      <c r="E7" s="2582"/>
      <c r="F7" s="2582"/>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2" t="s">
        <v>1711</v>
      </c>
      <c r="B13" s="2582"/>
      <c r="C13" s="2582"/>
      <c r="D13" s="2582"/>
      <c r="E13" s="2582"/>
      <c r="F13" s="2582"/>
    </row>
    <row r="14" spans="1:7" ht="9.75" customHeight="1" x14ac:dyDescent="0.2">
      <c r="C14" s="1036"/>
      <c r="D14" s="1036"/>
    </row>
    <row r="15" spans="1:7" ht="13.5" customHeight="1" x14ac:dyDescent="0.2">
      <c r="C15" s="1476" t="s">
        <v>1261</v>
      </c>
      <c r="D15" s="2580" t="s">
        <v>1260</v>
      </c>
      <c r="E15" s="2580"/>
      <c r="F15" s="2580"/>
    </row>
    <row r="16" spans="1:7" ht="13.5" customHeight="1" x14ac:dyDescent="0.2">
      <c r="A16" s="1058"/>
      <c r="B16" s="1052" t="s">
        <v>1259</v>
      </c>
      <c r="C16" s="1476" t="s">
        <v>1258</v>
      </c>
      <c r="D16" s="2581" t="s">
        <v>1574</v>
      </c>
      <c r="E16" s="2581"/>
      <c r="F16" s="2581"/>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6" t="s">
        <v>1712</v>
      </c>
      <c r="B32" s="2576"/>
      <c r="C32" s="2576"/>
      <c r="D32" s="2576"/>
      <c r="E32" s="2576"/>
      <c r="F32" s="2576"/>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7">
        <f>+C33+C34</f>
        <v>0</v>
      </c>
      <c r="F34" s="2578"/>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1576</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4" t="s">
        <v>1537</v>
      </c>
      <c r="C51" s="2574"/>
      <c r="D51" s="2574"/>
    </row>
    <row r="52" spans="1:5" ht="14.25" customHeight="1" x14ac:dyDescent="0.2">
      <c r="A52" s="1077"/>
      <c r="B52" s="2574"/>
      <c r="C52" s="2574"/>
      <c r="D52" s="257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K143"/>
  <sheetViews>
    <sheetView showGridLines="0" defaultGridColor="0" colorId="8" zoomScaleNormal="100" workbookViewId="0">
      <selection activeCell="D42" sqref="D42:H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1160</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2" t="s">
        <v>1619</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2051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2077</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1314</v>
      </c>
      <c r="B70" s="2175"/>
      <c r="C70" s="2175"/>
      <c r="D70" s="2175"/>
      <c r="E70" s="2176"/>
      <c r="F70" s="2176"/>
      <c r="G70" s="2176"/>
      <c r="H70" s="2176"/>
      <c r="I70" s="217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1311</v>
      </c>
      <c r="B83" s="2177"/>
      <c r="C83" s="2177"/>
      <c r="D83" s="217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8" t="s">
        <v>1992</v>
      </c>
      <c r="B85" s="2188"/>
      <c r="C85" s="2188"/>
      <c r="D85" s="2189"/>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0" t="s">
        <v>1992</v>
      </c>
      <c r="B88" s="2191"/>
      <c r="C88" s="2191"/>
      <c r="D88" s="2192"/>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2078</v>
      </c>
      <c r="D114" s="216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1321</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49"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Tri County Special Ed JA</v>
      </c>
      <c r="C1" s="2598"/>
      <c r="D1" s="2598"/>
      <c r="E1" s="2598"/>
      <c r="F1" s="2598"/>
      <c r="G1" s="2598"/>
      <c r="H1" s="2598"/>
      <c r="I1" s="2598"/>
      <c r="J1" s="1178"/>
    </row>
    <row r="2" spans="2:10" s="295" customFormat="1" ht="12.75" customHeight="1" x14ac:dyDescent="0.2">
      <c r="B2" s="2599">
        <f>'Single Audit Cover'!E7</f>
        <v>30039186061</v>
      </c>
      <c r="C2" s="2600"/>
      <c r="D2" s="2600"/>
      <c r="E2" s="2600"/>
      <c r="F2" s="2600"/>
      <c r="G2" s="2600"/>
      <c r="H2" s="2600"/>
      <c r="I2" s="2600"/>
      <c r="J2" s="1178"/>
    </row>
    <row r="3" spans="2:10" s="295" customFormat="1" ht="12.75" customHeight="1" x14ac:dyDescent="0.2">
      <c r="B3" s="2601" t="s">
        <v>1276</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1275</v>
      </c>
      <c r="C7" s="2602"/>
      <c r="D7" s="2602"/>
      <c r="E7" s="2602"/>
      <c r="F7" s="2602"/>
      <c r="G7" s="2602"/>
      <c r="H7" s="2602"/>
      <c r="I7" s="2602"/>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3"/>
      <c r="D11" s="2603"/>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4"/>
      <c r="E29" s="2604"/>
      <c r="F29" s="2604"/>
      <c r="G29" s="2604"/>
      <c r="H29" s="2604"/>
      <c r="I29" s="2604"/>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5" t="s">
        <v>1731</v>
      </c>
      <c r="D37" s="2606"/>
      <c r="E37" s="2606"/>
      <c r="F37" s="2607"/>
      <c r="G37" s="2605" t="s">
        <v>1578</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586" t="s">
        <v>1579</v>
      </c>
      <c r="D43" s="2587"/>
      <c r="E43" s="2587"/>
      <c r="F43" s="2588"/>
      <c r="G43" s="2589">
        <f>SUM(G38:I42)</f>
        <v>0</v>
      </c>
      <c r="H43" s="2589"/>
      <c r="I43" s="2589"/>
    </row>
    <row r="44" spans="2:9" ht="12.75" customHeight="1" x14ac:dyDescent="0.2"/>
    <row r="45" spans="2:9" ht="12.75" customHeight="1" x14ac:dyDescent="0.2">
      <c r="B45" s="1914" t="str">
        <f>"Total Federal Expenditures for 7/1/"&amp;MID('AFR20'!E2,3,2)-1&amp;"-6/30/"&amp;MID('AFR20'!E2,3,2)</f>
        <v>Total Federal Expenditures for 7/1/19-6/30/20</v>
      </c>
      <c r="C45" s="1915"/>
      <c r="D45" s="2590">
        <v>0</v>
      </c>
      <c r="E45" s="2591"/>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92"/>
      <c r="F49" s="2592"/>
      <c r="G49" s="2592"/>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M41"/>
  <sheetViews>
    <sheetView showGridLines="0" zoomScale="110" zoomScaleNormal="110" workbookViewId="0">
      <selection activeCell="B4" sqref="B4:K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Tri County Special Ed JA</v>
      </c>
      <c r="C1" s="2597"/>
      <c r="D1" s="2597"/>
      <c r="E1" s="2597"/>
      <c r="F1" s="2597"/>
      <c r="G1" s="2597"/>
      <c r="H1" s="2597"/>
      <c r="I1" s="2597"/>
      <c r="J1" s="2597"/>
      <c r="K1" s="2597"/>
      <c r="L1" s="1144"/>
      <c r="M1" s="1144"/>
    </row>
    <row r="2" spans="1:13" ht="12" customHeight="1" x14ac:dyDescent="0.2">
      <c r="B2" s="2599">
        <f>'Single Audit Cover'!E7</f>
        <v>30039186061</v>
      </c>
      <c r="C2" s="2599"/>
      <c r="D2" s="2599"/>
      <c r="E2" s="2599"/>
      <c r="F2" s="2599"/>
      <c r="G2" s="2599"/>
      <c r="H2" s="2599"/>
      <c r="I2" s="2599"/>
      <c r="J2" s="2599"/>
      <c r="K2" s="2599"/>
      <c r="L2" s="1145"/>
      <c r="M2" s="1146"/>
    </row>
    <row r="3" spans="1:13" ht="10.35" customHeight="1" x14ac:dyDescent="0.2">
      <c r="B3" s="2613" t="s">
        <v>2087</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1287</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6" t="str">
        <f>'AFR20'!$E$2&amp;"-"</f>
        <v>2020-</v>
      </c>
      <c r="D10" s="1155">
        <v>1</v>
      </c>
      <c r="E10" s="300"/>
      <c r="F10" s="1156" t="s">
        <v>1286</v>
      </c>
      <c r="G10" s="1157"/>
      <c r="H10" s="1158" t="s">
        <v>1285</v>
      </c>
      <c r="I10" s="1157" t="s">
        <v>2051</v>
      </c>
      <c r="J10" s="1159" t="s">
        <v>1284</v>
      </c>
      <c r="K10" s="300"/>
      <c r="L10" s="1151"/>
    </row>
    <row r="11" spans="1:13" ht="13.5" customHeight="1" x14ac:dyDescent="0.2">
      <c r="B11" s="300"/>
      <c r="C11" s="300"/>
      <c r="D11" s="300"/>
      <c r="E11" s="300"/>
      <c r="F11" s="300"/>
      <c r="G11" s="1153"/>
      <c r="H11" s="300"/>
      <c r="I11" s="1160" t="s">
        <v>1283</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2" t="s">
        <v>2080</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2" t="s">
        <v>2081</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6" t="s">
        <v>2082</v>
      </c>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2" t="s">
        <v>2083</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2" t="s">
        <v>2084</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51" customHeight="1" x14ac:dyDescent="0.2">
      <c r="B29" s="2611" t="s">
        <v>2085</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1" t="s">
        <v>2086</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Tri County Special Ed JA</v>
      </c>
      <c r="C1" s="2621"/>
      <c r="D1" s="2621"/>
      <c r="E1" s="2621"/>
      <c r="F1" s="2621"/>
      <c r="G1" s="2621"/>
      <c r="H1" s="2621"/>
      <c r="I1" s="2621"/>
      <c r="J1" s="2621"/>
      <c r="K1" s="2621"/>
      <c r="L1" s="1221"/>
    </row>
    <row r="2" spans="1:12" ht="12.75" customHeight="1" x14ac:dyDescent="0.2">
      <c r="B2" s="2622">
        <f>'Single Audit Cover'!E7</f>
        <v>30039186061</v>
      </c>
      <c r="C2" s="2622"/>
      <c r="D2" s="2622"/>
      <c r="E2" s="2622"/>
      <c r="F2" s="2622"/>
      <c r="G2" s="2622"/>
      <c r="H2" s="2622"/>
      <c r="I2" s="2622"/>
      <c r="J2" s="2622"/>
      <c r="K2" s="2622"/>
      <c r="L2" s="1222"/>
    </row>
    <row r="3" spans="1:12" ht="12.75" customHeight="1" x14ac:dyDescent="0.2">
      <c r="B3" s="2613" t="s">
        <v>1276</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1161</v>
      </c>
      <c r="C5" s="1036"/>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6"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8"/>
      <c r="E14" s="2618"/>
      <c r="F14" s="2618"/>
      <c r="H14" s="1230" t="s">
        <v>1294</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9"/>
      <c r="E16" s="2619"/>
      <c r="F16" s="2619"/>
      <c r="G16" s="2619"/>
      <c r="H16" s="2619"/>
      <c r="I16" s="2619"/>
      <c r="J16" s="2619"/>
      <c r="K16" s="2619"/>
      <c r="L16" s="300"/>
    </row>
    <row r="17" spans="2:12" ht="13.5" customHeight="1" x14ac:dyDescent="0.2">
      <c r="B17" s="1156" t="s">
        <v>1292</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B1:E82"/>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71.42578125" style="295" customWidth="1"/>
    <col min="4" max="4" width="22.140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Tri County Special Ed JA</v>
      </c>
      <c r="C1" s="2597"/>
      <c r="D1" s="2597"/>
      <c r="E1" s="1240"/>
    </row>
    <row r="2" spans="2:5" s="1058" customFormat="1" ht="12.75" customHeight="1" x14ac:dyDescent="0.2">
      <c r="B2" s="2599">
        <f>'Single Audit Cover'!E7</f>
        <v>30039186061</v>
      </c>
      <c r="C2" s="2599"/>
      <c r="D2" s="2599"/>
      <c r="E2" s="1241"/>
    </row>
    <row r="3" spans="2:5" ht="12.75" customHeight="1" x14ac:dyDescent="0.2">
      <c r="B3" s="2613" t="s">
        <v>1746</v>
      </c>
      <c r="C3" s="2613"/>
      <c r="D3" s="2613"/>
      <c r="E3" s="1050"/>
    </row>
    <row r="4" spans="2:5" s="1058" customFormat="1" ht="12.75" customHeight="1" x14ac:dyDescent="0.2">
      <c r="B4" s="2624" t="str">
        <f>'Single Audit Cover'!A4</f>
        <v>Year Ending June 30, 2020</v>
      </c>
      <c r="C4" s="2624"/>
      <c r="D4" s="2624"/>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2037"/>
      <c r="D7" s="302"/>
      <c r="E7" s="302"/>
    </row>
    <row r="8" spans="2:5" ht="13.5" customHeight="1" x14ac:dyDescent="0.2">
      <c r="B8" s="2035" t="s">
        <v>2091</v>
      </c>
      <c r="C8" s="2611" t="s">
        <v>2092</v>
      </c>
      <c r="D8" s="2036" t="s">
        <v>2090</v>
      </c>
      <c r="E8" s="302"/>
    </row>
    <row r="9" spans="2:5" ht="13.5" customHeight="1" x14ac:dyDescent="0.2">
      <c r="B9" s="1245"/>
      <c r="C9" s="2627"/>
      <c r="D9" s="302"/>
      <c r="E9" s="302"/>
    </row>
    <row r="10" spans="2:5" ht="13.5" customHeight="1" x14ac:dyDescent="0.2">
      <c r="B10" s="1245"/>
      <c r="C10" s="2627"/>
      <c r="D10" s="302"/>
      <c r="E10" s="302"/>
    </row>
    <row r="11" spans="2:5" ht="13.5" customHeight="1" x14ac:dyDescent="0.2">
      <c r="B11" s="1245"/>
      <c r="C11" s="2627"/>
      <c r="D11" s="302"/>
      <c r="E11" s="302"/>
    </row>
    <row r="12" spans="2:5" ht="13.5" customHeight="1" x14ac:dyDescent="0.2">
      <c r="B12" s="1245"/>
      <c r="C12" s="2627"/>
      <c r="D12" s="302"/>
      <c r="E12" s="302"/>
    </row>
    <row r="13" spans="2:5" ht="13.5" customHeight="1" x14ac:dyDescent="0.2">
      <c r="B13" s="1245"/>
      <c r="C13" s="2627"/>
      <c r="D13" s="302"/>
      <c r="E13" s="302"/>
    </row>
    <row r="14" spans="2:5" ht="13.5" customHeight="1" x14ac:dyDescent="0.2">
      <c r="B14" s="1245"/>
      <c r="C14" s="2627"/>
      <c r="D14" s="302"/>
      <c r="E14" s="302"/>
    </row>
    <row r="15" spans="2:5" ht="13.5" customHeight="1" x14ac:dyDescent="0.2">
      <c r="B15" s="1245"/>
      <c r="C15" s="2627"/>
      <c r="D15" s="302"/>
      <c r="E15" s="302"/>
    </row>
    <row r="16" spans="2:5" ht="13.5" customHeight="1" x14ac:dyDescent="0.2">
      <c r="B16" s="1245"/>
      <c r="C16" s="2037"/>
      <c r="D16" s="302"/>
      <c r="E16" s="302"/>
    </row>
    <row r="17" spans="2:5" ht="13.5" customHeight="1" x14ac:dyDescent="0.2">
      <c r="B17" s="2035" t="s">
        <v>2088</v>
      </c>
      <c r="C17" s="2625" t="s">
        <v>2089</v>
      </c>
      <c r="D17" s="2036" t="s">
        <v>2090</v>
      </c>
      <c r="E17" s="302"/>
    </row>
    <row r="18" spans="2:5" ht="13.5" customHeight="1" x14ac:dyDescent="0.2">
      <c r="B18" s="1246"/>
      <c r="C18" s="2626"/>
      <c r="D18" s="301"/>
      <c r="E18" s="301"/>
    </row>
    <row r="19" spans="2:5" ht="13.5" customHeight="1" x14ac:dyDescent="0.2">
      <c r="B19" s="1245"/>
      <c r="C19" s="2626"/>
      <c r="D19" s="301"/>
      <c r="E19" s="301"/>
    </row>
    <row r="20" spans="2:5" ht="13.5" customHeight="1" x14ac:dyDescent="0.2">
      <c r="B20" s="1245"/>
      <c r="C20" s="2626"/>
      <c r="D20" s="301"/>
      <c r="E20" s="301"/>
    </row>
    <row r="21" spans="2:5" ht="13.5" customHeight="1" x14ac:dyDescent="0.2">
      <c r="B21" s="1245"/>
      <c r="C21" s="2626"/>
      <c r="D21" s="301"/>
      <c r="E21" s="301"/>
    </row>
    <row r="22" spans="2:5" ht="13.5" customHeight="1" x14ac:dyDescent="0.2">
      <c r="B22" s="1245"/>
      <c r="C22" s="2626"/>
      <c r="D22" s="301"/>
      <c r="E22" s="301"/>
    </row>
    <row r="23" spans="2:5" ht="13.5" customHeight="1" x14ac:dyDescent="0.2">
      <c r="B23" s="1245"/>
      <c r="C23" s="2626"/>
      <c r="D23" s="301"/>
      <c r="E23" s="301"/>
    </row>
    <row r="24" spans="2:5" ht="13.5" customHeight="1" x14ac:dyDescent="0.2">
      <c r="B24" s="1245"/>
      <c r="C24" s="2626"/>
      <c r="D24" s="301"/>
      <c r="E24" s="301"/>
    </row>
    <row r="25" spans="2:5" ht="13.5" customHeight="1" x14ac:dyDescent="0.2">
      <c r="B25" s="1245"/>
      <c r="C25" s="2626"/>
      <c r="D25" s="301"/>
      <c r="E25" s="301"/>
    </row>
    <row r="26" spans="2:5" ht="13.5" customHeight="1" x14ac:dyDescent="0.2">
      <c r="B26" s="1245"/>
      <c r="C26" s="2626"/>
      <c r="D26" s="301"/>
      <c r="E26" s="301"/>
    </row>
    <row r="27" spans="2:5" ht="13.5" customHeight="1" x14ac:dyDescent="0.2">
      <c r="B27" s="1245"/>
      <c r="C27" s="2626"/>
      <c r="D27" s="301"/>
      <c r="E27" s="301"/>
    </row>
    <row r="28" spans="2:5" ht="13.5" customHeight="1" x14ac:dyDescent="0.2">
      <c r="B28" s="1245"/>
      <c r="C28" s="2626"/>
      <c r="D28" s="301"/>
      <c r="E28" s="301"/>
    </row>
    <row r="29" spans="2:5" ht="13.5" customHeight="1" x14ac:dyDescent="0.2">
      <c r="B29" s="1245"/>
      <c r="C29" s="2626"/>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5"/>
      <c r="C32" s="301"/>
      <c r="D32" s="301"/>
      <c r="E32" s="301"/>
    </row>
    <row r="33" spans="2:5" ht="13.5" customHeight="1" x14ac:dyDescent="0.2">
      <c r="B33" s="1245"/>
      <c r="C33" s="301"/>
      <c r="D33" s="301"/>
      <c r="E33" s="301"/>
    </row>
    <row r="34" spans="2:5" ht="13.5" customHeight="1" x14ac:dyDescent="0.2">
      <c r="B34" s="1245"/>
      <c r="C34" s="301"/>
      <c r="D34" s="301"/>
      <c r="E34" s="301"/>
    </row>
    <row r="35" spans="2:5" ht="13.5" customHeight="1" x14ac:dyDescent="0.2">
      <c r="B35" s="1245"/>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5"/>
      <c r="C38" s="301"/>
      <c r="D38" s="301"/>
      <c r="E38" s="301"/>
    </row>
    <row r="39" spans="2:5" ht="13.5" customHeight="1" x14ac:dyDescent="0.2">
      <c r="B39" s="1245"/>
      <c r="C39" s="301"/>
      <c r="D39" s="301"/>
      <c r="E39" s="301"/>
    </row>
    <row r="40" spans="2:5" ht="13.5" customHeight="1" x14ac:dyDescent="0.2">
      <c r="B40" s="1245"/>
      <c r="C40" s="301"/>
      <c r="D40" s="301"/>
      <c r="E40" s="301"/>
    </row>
    <row r="41" spans="2:5" ht="13.5" customHeight="1" x14ac:dyDescent="0.2">
      <c r="B41" s="1247"/>
      <c r="C41" s="301"/>
      <c r="D41" s="301"/>
      <c r="E41" s="301"/>
    </row>
    <row r="42" spans="2:5" ht="13.5" customHeight="1" x14ac:dyDescent="0.2">
      <c r="B42" s="1248"/>
      <c r="C42" s="301"/>
      <c r="D42" s="301"/>
      <c r="E42" s="301"/>
    </row>
    <row r="43" spans="2:5" ht="13.5" customHeight="1" x14ac:dyDescent="0.2">
      <c r="B43" s="1249"/>
      <c r="C43" s="301"/>
      <c r="D43" s="301"/>
      <c r="E43" s="301"/>
    </row>
    <row r="44" spans="2:5" ht="13.5" customHeight="1" x14ac:dyDescent="0.2">
      <c r="B44" s="1248"/>
      <c r="C44" s="301"/>
      <c r="D44" s="301"/>
      <c r="E44" s="301"/>
    </row>
    <row r="45" spans="2:5" ht="13.5" customHeight="1" x14ac:dyDescent="0.2">
      <c r="B45" s="1249"/>
      <c r="C45" s="301"/>
      <c r="D45" s="301"/>
      <c r="E45" s="301"/>
    </row>
    <row r="46" spans="2:5" ht="13.5" customHeight="1" x14ac:dyDescent="0.2">
      <c r="B46" s="1249"/>
      <c r="C46" s="301"/>
      <c r="D46" s="301"/>
      <c r="E46" s="301"/>
    </row>
    <row r="47" spans="2:5" ht="13.5" customHeight="1" x14ac:dyDescent="0.2">
      <c r="B47" s="1248"/>
      <c r="C47" s="301"/>
      <c r="D47" s="301"/>
      <c r="E47" s="301"/>
    </row>
    <row r="48" spans="2:5" ht="13.5" customHeight="1" x14ac:dyDescent="0.2">
      <c r="B48" s="1249"/>
      <c r="C48" s="301"/>
      <c r="D48" s="301"/>
      <c r="E48" s="301"/>
    </row>
    <row r="49" spans="2:5" ht="13.5" customHeight="1" x14ac:dyDescent="0.2">
      <c r="B49" s="1248"/>
      <c r="C49" s="301"/>
      <c r="D49" s="301"/>
      <c r="E49" s="301"/>
    </row>
    <row r="50" spans="2:5" ht="13.5" customHeight="1" x14ac:dyDescent="0.2">
      <c r="B50" s="1250"/>
      <c r="C50" s="301"/>
      <c r="D50" s="301"/>
      <c r="E50" s="301"/>
    </row>
    <row r="51" spans="2:5" ht="13.5" customHeight="1" x14ac:dyDescent="0.2">
      <c r="B51" s="1251"/>
      <c r="C51" s="301"/>
      <c r="D51" s="301"/>
      <c r="E51" s="301"/>
    </row>
    <row r="52" spans="2:5" ht="12.75" customHeight="1" x14ac:dyDescent="0.2">
      <c r="B52" s="1252"/>
      <c r="C52" s="1253"/>
      <c r="D52" s="1253"/>
      <c r="E52" s="301"/>
    </row>
    <row r="53" spans="2:5" ht="12.2" customHeight="1" x14ac:dyDescent="0.2">
      <c r="B53" s="1033" t="s">
        <v>1304</v>
      </c>
      <c r="C53" s="300"/>
    </row>
    <row r="54" spans="2:5" ht="12.2" customHeight="1" x14ac:dyDescent="0.2">
      <c r="B54" s="1254" t="s">
        <v>1749</v>
      </c>
    </row>
    <row r="55" spans="2:5" ht="12.2" customHeight="1" x14ac:dyDescent="0.2">
      <c r="B55" s="1254" t="s">
        <v>1750</v>
      </c>
    </row>
    <row r="56" spans="2:5" ht="12.2" customHeight="1" x14ac:dyDescent="0.2">
      <c r="B56" s="1255" t="s">
        <v>1303</v>
      </c>
    </row>
    <row r="57" spans="2:5" ht="12.2" customHeight="1" x14ac:dyDescent="0.2">
      <c r="B57" s="1255" t="s">
        <v>1302</v>
      </c>
    </row>
    <row r="58" spans="2:5" ht="12.2" customHeight="1" x14ac:dyDescent="0.2">
      <c r="B58" s="1255" t="s">
        <v>1301</v>
      </c>
    </row>
    <row r="59" spans="2:5" ht="12.2" customHeight="1" x14ac:dyDescent="0.2">
      <c r="B59" s="1255" t="s">
        <v>1300</v>
      </c>
    </row>
    <row r="62" spans="2:5" ht="12.75" customHeight="1" x14ac:dyDescent="0.2"/>
    <row r="63" spans="2:5" ht="12.75" customHeight="1" x14ac:dyDescent="0.2">
      <c r="B63" s="1043"/>
    </row>
    <row r="64" spans="2:5" ht="12.75" customHeight="1" x14ac:dyDescent="0.2"/>
    <row r="65" spans="2:5" ht="12.75" customHeight="1" x14ac:dyDescent="0.2">
      <c r="B65" s="300"/>
      <c r="C65" s="300"/>
      <c r="D65" s="300"/>
      <c r="E65" s="300"/>
    </row>
    <row r="66" spans="2:5" ht="12.75" customHeight="1" x14ac:dyDescent="0.2">
      <c r="B66" s="300"/>
      <c r="C66" s="300"/>
      <c r="D66" s="300"/>
      <c r="E66" s="300"/>
    </row>
    <row r="67" spans="2:5" ht="12.75" customHeight="1" x14ac:dyDescent="0.2">
      <c r="B67" s="300"/>
      <c r="C67" s="300"/>
      <c r="D67" s="300"/>
      <c r="E67" s="300"/>
    </row>
    <row r="68" spans="2:5" ht="12.75" customHeight="1" x14ac:dyDescent="0.2">
      <c r="B68" s="300"/>
      <c r="C68" s="300"/>
      <c r="D68" s="300"/>
      <c r="E68" s="300"/>
    </row>
    <row r="69" spans="2:5" ht="12.75" customHeight="1" x14ac:dyDescent="0.2">
      <c r="B69" s="300"/>
      <c r="C69" s="300"/>
      <c r="D69" s="300"/>
      <c r="E69" s="300"/>
    </row>
    <row r="70" spans="2:5" ht="12.75" customHeight="1" x14ac:dyDescent="0.2">
      <c r="B70" s="300"/>
      <c r="C70" s="300"/>
      <c r="D70" s="300"/>
      <c r="E70" s="300"/>
    </row>
    <row r="71" spans="2:5" ht="12.75" customHeight="1" x14ac:dyDescent="0.2">
      <c r="B71" s="300"/>
      <c r="C71" s="300"/>
      <c r="D71" s="300"/>
      <c r="E71" s="300"/>
    </row>
    <row r="72" spans="2:5" ht="12.75" customHeight="1" x14ac:dyDescent="0.2">
      <c r="B72" s="300"/>
      <c r="C72" s="300"/>
      <c r="D72" s="300"/>
      <c r="E72" s="300"/>
    </row>
    <row r="76" spans="2:5" x14ac:dyDescent="0.2">
      <c r="B76" s="1175"/>
    </row>
    <row r="77" spans="2:5" x14ac:dyDescent="0.2">
      <c r="B77" s="1076"/>
    </row>
    <row r="78" spans="2:5" x14ac:dyDescent="0.2">
      <c r="B78" s="1076"/>
    </row>
    <row r="79" spans="2:5" x14ac:dyDescent="0.2">
      <c r="B79" s="1176"/>
    </row>
    <row r="80" spans="2:5" x14ac:dyDescent="0.2">
      <c r="B80" s="1176"/>
    </row>
    <row r="81" spans="2:2" x14ac:dyDescent="0.2">
      <c r="B81" s="1176"/>
    </row>
    <row r="82" spans="2:2" x14ac:dyDescent="0.2">
      <c r="B82" s="1076"/>
    </row>
  </sheetData>
  <mergeCells count="6">
    <mergeCell ref="B1:D1"/>
    <mergeCell ref="B2:D2"/>
    <mergeCell ref="B3:D3"/>
    <mergeCell ref="B4:D4"/>
    <mergeCell ref="C17:C29"/>
    <mergeCell ref="C8:C15"/>
  </mergeCells>
  <pageMargins left="0.32" right="0.27" top="0.52" bottom="0.57999999999999996" header="0.26" footer="0.26"/>
  <pageSetup scale="91"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11977850</v>
      </c>
      <c r="E16" s="1547"/>
      <c r="F16" s="1546">
        <f>SUM('Acct Summary 7-8'!C17,'Acct Summary 7-8'!D17,'Acct Summary 7-8'!F17)</f>
        <v>12794475</v>
      </c>
      <c r="G16" s="1547"/>
      <c r="H16" s="1546">
        <f>SUM(D16-F16)</f>
        <v>-816625</v>
      </c>
      <c r="I16" s="1548"/>
      <c r="J16" s="1546">
        <f>SUM('Acct Summary 7-8'!C81,'Acct Summary 7-8'!D81,'Acct Summary 7-8'!F81,'Acct Summary 7-8'!I81)</f>
        <v>3174083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1399</v>
      </c>
      <c r="B3" s="2213"/>
      <c r="C3" s="2213"/>
      <c r="D3" s="2213"/>
      <c r="E3" s="2213"/>
      <c r="F3" s="2213"/>
      <c r="G3" s="2213"/>
      <c r="H3" s="2213"/>
      <c r="I3" s="2213"/>
      <c r="J3" s="2213"/>
      <c r="K3" s="2213"/>
      <c r="L3" s="2213"/>
      <c r="M3" s="2213"/>
      <c r="N3" s="2213"/>
      <c r="O3" s="2213"/>
      <c r="P3" s="2213"/>
      <c r="Q3" s="2213"/>
      <c r="R3" s="2213"/>
    </row>
    <row r="4" spans="1:18" x14ac:dyDescent="0.2">
      <c r="A4" s="2214" t="s">
        <v>1540</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Tri County Special Ed JA</v>
      </c>
      <c r="E7" s="368"/>
      <c r="G7" s="247"/>
      <c r="H7" s="364"/>
      <c r="I7" s="364"/>
      <c r="J7" s="364"/>
      <c r="K7" s="364"/>
      <c r="L7" s="307"/>
      <c r="M7" s="307"/>
      <c r="N7" s="307"/>
      <c r="O7" s="307"/>
      <c r="P7" s="307"/>
    </row>
    <row r="8" spans="1:18" ht="12.75" x14ac:dyDescent="0.2">
      <c r="A8" s="307"/>
      <c r="B8" s="307"/>
      <c r="C8" s="366" t="s">
        <v>1117</v>
      </c>
      <c r="D8" s="369">
        <f>COVER!A13</f>
        <v>30039186061</v>
      </c>
      <c r="E8" s="370"/>
      <c r="G8" s="307"/>
      <c r="H8" s="307"/>
      <c r="I8" s="307"/>
      <c r="J8" s="307"/>
      <c r="K8" s="307"/>
      <c r="L8" s="307"/>
      <c r="M8" s="307"/>
      <c r="N8" s="307"/>
      <c r="O8" s="307"/>
      <c r="P8" s="307"/>
    </row>
    <row r="9" spans="1:18" ht="12.75" x14ac:dyDescent="0.2">
      <c r="A9" s="307"/>
      <c r="B9" s="307"/>
      <c r="C9" s="366" t="s">
        <v>708</v>
      </c>
      <c r="D9" s="371" t="str">
        <f>COVER!A15</f>
        <v>Jackson, Perry, and 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3174083</v>
      </c>
      <c r="I12" s="380"/>
      <c r="J12" s="380"/>
      <c r="K12" s="1559">
        <f>TRUNC((H12/H13*100000),5)/100000</f>
        <v>0.26499605520000002</v>
      </c>
      <c r="L12" s="381"/>
      <c r="M12" s="337" t="s">
        <v>1136</v>
      </c>
      <c r="N12" s="337"/>
      <c r="O12" s="1562">
        <v>0.35</v>
      </c>
      <c r="P12" s="213"/>
      <c r="Q12" s="213"/>
    </row>
    <row r="13" spans="1:18" s="382" customFormat="1" ht="12.75" x14ac:dyDescent="0.2">
      <c r="A13" s="213"/>
      <c r="B13" s="377"/>
      <c r="C13" s="2210" t="s">
        <v>1315</v>
      </c>
      <c r="D13" s="2211"/>
      <c r="E13" s="213"/>
      <c r="F13" s="383" t="s">
        <v>788</v>
      </c>
      <c r="G13" s="378"/>
      <c r="H13" s="1551">
        <f>SUM('Acct Summary 7-8'!C8+'Acct Summary 7-8'!D8+'Acct Summary 7-8'!F8+'Acct Summary 7-8'!I8)+H14</f>
        <v>11977850</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12794475</v>
      </c>
      <c r="I17" s="380"/>
      <c r="J17" s="389"/>
      <c r="K17" s="1559">
        <f>TRUNC((H17/H18*100000),5)/100000</f>
        <v>1.0681779283999999</v>
      </c>
      <c r="L17" s="381"/>
      <c r="M17" s="390" t="s">
        <v>1163</v>
      </c>
      <c r="O17" s="1565" t="str">
        <f>IF(AND(O16="2", J20 &gt; 2),"1",IF(AND(O16 = "1", J20 &gt; 2),"2",IF(AND(O16="1", J20 &gt;1),"1","0")))</f>
        <v>0</v>
      </c>
      <c r="P17" s="213"/>
    </row>
    <row r="18" spans="1:18" s="382" customFormat="1" ht="11.25" x14ac:dyDescent="0.2">
      <c r="A18" s="213"/>
      <c r="B18" s="377"/>
      <c r="C18" s="2210" t="s">
        <v>1308</v>
      </c>
      <c r="D18" s="2211"/>
      <c r="E18" s="213"/>
      <c r="F18" s="391" t="s">
        <v>789</v>
      </c>
      <c r="G18" s="378"/>
      <c r="H18" s="1551">
        <f>SUM('Acct Summary 7-8'!C8+'Acct Summary 7-8'!D8+'Acct Summary 7-8'!F8+'Acct Summary 7-8'!I8)+H19</f>
        <v>11977850</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2.4200801999999997</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07" t="s">
        <v>1398</v>
      </c>
      <c r="D24" s="2207"/>
      <c r="E24" s="213"/>
      <c r="F24" s="213" t="s">
        <v>442</v>
      </c>
      <c r="G24" s="378"/>
      <c r="H24" s="1551">
        <f>SUM('Assets-Liab 5-6'!C4+'Assets-Liab 5-6'!D4+'Assets-Liab 5-6'!F4+'Assets-Liab 5-6'!I4+'Assets-Liab 5-6'!C5+'Assets-Liab 5-6'!D5+'Assets-Liab 5-6'!F5+'Assets-Liab 5-6'!I5)</f>
        <v>3237283</v>
      </c>
      <c r="I24" s="394"/>
      <c r="J24" s="394"/>
      <c r="K24" s="1555">
        <f>TRUNC(((H24/H25*100000)/100000),2)</f>
        <v>91.08</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35540.208330000001</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e">
        <f>IF(K28&gt;=75,"4",IF(K28&gt;=50,"3",IF(K28&gt;=25,"2",1)))</f>
        <v>#DIV/0!</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1137</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1136</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D42" sqref="D42:H42"/>
      <selection pane="bottomLeft" activeCell="L4" sqref="L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1635</v>
      </c>
      <c r="B4" s="428"/>
      <c r="C4" s="1572">
        <v>277969</v>
      </c>
      <c r="D4" s="1573"/>
      <c r="E4" s="1573"/>
      <c r="F4" s="1573"/>
      <c r="G4" s="1573"/>
      <c r="H4" s="1573"/>
      <c r="I4" s="1573"/>
      <c r="J4" s="1574"/>
      <c r="K4" s="1573"/>
      <c r="L4" s="1573">
        <v>4051</v>
      </c>
      <c r="M4" s="1575"/>
      <c r="N4" s="1576"/>
    </row>
    <row r="5" spans="1:14" x14ac:dyDescent="0.2">
      <c r="A5" s="427" t="s">
        <v>985</v>
      </c>
      <c r="B5" s="429">
        <v>120</v>
      </c>
      <c r="C5" s="1572">
        <v>2959314</v>
      </c>
      <c r="D5" s="1573"/>
      <c r="E5" s="1573"/>
      <c r="F5" s="1573"/>
      <c r="G5" s="1573"/>
      <c r="H5" s="1573"/>
      <c r="I5" s="1573"/>
      <c r="J5" s="1574"/>
      <c r="K5" s="1577"/>
      <c r="L5" s="1578">
        <v>19157</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450</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3237733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23208</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37553</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1392717</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789758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2220028</v>
      </c>
      <c r="N23" s="1594">
        <f>SUM(N21:N22)</f>
        <v>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63650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23208</v>
      </c>
      <c r="M33" s="1575"/>
      <c r="N33" s="1576"/>
    </row>
    <row r="34" spans="1:14" ht="13.5" customHeight="1" thickBot="1" x14ac:dyDescent="0.25">
      <c r="A34" s="1427" t="s">
        <v>649</v>
      </c>
      <c r="B34" s="1428"/>
      <c r="C34" s="1600">
        <f>SUM(C25:C33)</f>
        <v>63650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23208</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3174083</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2220028</v>
      </c>
      <c r="N40" s="1604"/>
    </row>
    <row r="41" spans="1:14" ht="13.5" customHeight="1" thickBot="1" x14ac:dyDescent="0.25">
      <c r="A41" s="1426" t="s">
        <v>650</v>
      </c>
      <c r="B41" s="1405"/>
      <c r="C41" s="1594">
        <f>(SUM(C34,C37,C38,C39))</f>
        <v>3237733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23208</v>
      </c>
      <c r="M41" s="1594">
        <f>SUM(M40)</f>
        <v>2220028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financial statements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1" activePane="bottomLeft" state="frozen"/>
      <selection activeCell="D42" sqref="D42:H42"/>
      <selection pane="bottomLeft" activeCell="D42" sqref="D42:H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1167</v>
      </c>
      <c r="B3" s="2246"/>
      <c r="C3" s="1311"/>
      <c r="D3" s="1312"/>
      <c r="E3" s="1312"/>
      <c r="F3" s="1312"/>
      <c r="G3" s="1312"/>
      <c r="H3" s="1312"/>
      <c r="I3" s="1312"/>
      <c r="J3" s="1312"/>
      <c r="K3" s="1313"/>
      <c r="L3" s="446"/>
    </row>
    <row r="4" spans="1:13" ht="15.75" customHeight="1" x14ac:dyDescent="0.2">
      <c r="A4" s="1537" t="s">
        <v>1485</v>
      </c>
      <c r="B4" s="1538">
        <v>1000</v>
      </c>
      <c r="C4" s="1606">
        <f>'Revenues 9-14'!C109</f>
        <v>8834656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1486</v>
      </c>
      <c r="B5" s="1315">
        <v>2000</v>
      </c>
      <c r="C5" s="1607">
        <f>'Revenues 9-14'!C114</f>
        <v>4900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1139271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1999023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11977850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1637</v>
      </c>
      <c r="B9" s="450">
        <v>3998</v>
      </c>
      <c r="C9" s="1586">
        <v>4369045</v>
      </c>
      <c r="D9" s="1613"/>
      <c r="E9" s="1586"/>
      <c r="F9" s="1586"/>
      <c r="G9" s="1614"/>
      <c r="H9" s="1586"/>
      <c r="I9" s="1609" t="s">
        <v>1161</v>
      </c>
      <c r="J9" s="1583"/>
      <c r="K9" s="1586"/>
      <c r="L9" s="325"/>
    </row>
    <row r="10" spans="1:13" s="452" customFormat="1" ht="13.5" thickBot="1" x14ac:dyDescent="0.25">
      <c r="A10" s="1426" t="s">
        <v>1165</v>
      </c>
      <c r="B10" s="1407"/>
      <c r="C10" s="1594">
        <f>SUM(C8:C9)</f>
        <v>16346895</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9" t="s">
        <v>1168</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6090833</v>
      </c>
      <c r="D12" s="1616" t="s">
        <v>1161</v>
      </c>
      <c r="E12" s="1575" t="s">
        <v>1161</v>
      </c>
      <c r="F12" s="1575" t="s">
        <v>1161</v>
      </c>
      <c r="G12" s="1606">
        <f>'Expenditures 15-22'!K229</f>
        <v>0</v>
      </c>
      <c r="H12" s="1617"/>
      <c r="I12" s="1575" t="s">
        <v>1161</v>
      </c>
      <c r="J12" s="1575" t="s">
        <v>1161</v>
      </c>
      <c r="K12" s="1617" t="s">
        <v>1161</v>
      </c>
      <c r="L12" s="325"/>
    </row>
    <row r="13" spans="1:13" ht="15.75" customHeight="1" x14ac:dyDescent="0.2">
      <c r="A13" s="1314" t="s">
        <v>454</v>
      </c>
      <c r="B13" s="1316">
        <v>2000</v>
      </c>
      <c r="C13" s="1607">
        <f>'Expenditures 15-22'!K74</f>
        <v>6350142</v>
      </c>
      <c r="D13" s="1607">
        <f>'Expenditures 15-22'!K129</f>
        <v>0</v>
      </c>
      <c r="E13" s="1576" t="s">
        <v>1161</v>
      </c>
      <c r="F13" s="1607">
        <f>'Expenditures 15-22'!K184</f>
        <v>0</v>
      </c>
      <c r="G13" s="1607">
        <f>'Expenditures 15-22'!K279</f>
        <v>0</v>
      </c>
      <c r="H13" s="1607">
        <f>'Expenditures 15-22'!K303</f>
        <v>0</v>
      </c>
      <c r="I13" s="1575" t="s">
        <v>1161</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353500</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12794475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1638</v>
      </c>
      <c r="B18" s="1431">
        <v>4180</v>
      </c>
      <c r="C18" s="1606">
        <f t="shared" ref="C18:H18" si="3">C9</f>
        <v>4369045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17163520</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5" t="s">
        <v>1639</v>
      </c>
      <c r="B20" s="2236"/>
      <c r="C20" s="1622">
        <f>C8-C17</f>
        <v>-816625</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1169</v>
      </c>
      <c r="B77" s="222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-816625</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3990708</v>
      </c>
      <c r="D79" s="1630"/>
      <c r="E79" s="1630"/>
      <c r="F79" s="1630"/>
      <c r="G79" s="1630"/>
      <c r="H79" s="1630"/>
      <c r="I79" s="1630"/>
      <c r="J79" s="1630"/>
      <c r="K79" s="1630"/>
      <c r="L79" s="325"/>
    </row>
    <row r="80" spans="1:12" x14ac:dyDescent="0.2">
      <c r="A80" s="2237" t="s">
        <v>1775</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3174083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-816625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-0.25727903145569919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51" activePane="bottomLeft" state="frozen"/>
      <selection activeCell="D42" sqref="D42:H42"/>
      <selection pane="bottomLeft" activeCell="C69" sqref="C6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1782</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c r="D5" s="1586"/>
      <c r="E5" s="1573"/>
      <c r="F5" s="1631"/>
      <c r="G5" s="1573"/>
      <c r="H5" s="1573"/>
      <c r="I5" s="1573"/>
      <c r="J5" s="1574"/>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7494320</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7494320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46829</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46829</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5366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19</v>
      </c>
      <c r="D71" s="1575"/>
      <c r="E71" s="1575"/>
      <c r="F71" s="1575"/>
      <c r="G71" s="1575"/>
      <c r="H71" s="1575"/>
      <c r="I71" s="1575"/>
      <c r="J71" s="1575"/>
      <c r="K71" s="1575"/>
    </row>
    <row r="72" spans="1:11" ht="12.75" customHeight="1" x14ac:dyDescent="0.2">
      <c r="A72" s="427" t="s">
        <v>24</v>
      </c>
      <c r="B72" s="429">
        <v>1614</v>
      </c>
      <c r="C72" s="1632">
        <v>19</v>
      </c>
      <c r="D72" s="1575"/>
      <c r="E72" s="1575"/>
      <c r="F72" s="1575"/>
      <c r="G72" s="1575"/>
      <c r="H72" s="1575"/>
      <c r="I72" s="1575"/>
      <c r="J72" s="1575"/>
      <c r="K72" s="1575"/>
    </row>
    <row r="73" spans="1:11" ht="12.75" customHeight="1" x14ac:dyDescent="0.2">
      <c r="A73" s="427" t="s">
        <v>991</v>
      </c>
      <c r="B73" s="429">
        <v>1620</v>
      </c>
      <c r="C73" s="1632">
        <v>7711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13115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1226623</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21</v>
      </c>
      <c r="D106" s="1598"/>
      <c r="E106" s="1574"/>
      <c r="F106" s="1574"/>
      <c r="G106" s="1574"/>
      <c r="H106" s="1574"/>
      <c r="I106" s="1617"/>
      <c r="J106" s="1574"/>
      <c r="K106" s="1574"/>
    </row>
    <row r="107" spans="1:12" ht="12.75" customHeight="1" x14ac:dyDescent="0.2">
      <c r="A107" s="427" t="s">
        <v>78</v>
      </c>
      <c r="B107" s="429">
        <v>1999</v>
      </c>
      <c r="C107" s="1632">
        <v>53748</v>
      </c>
      <c r="D107" s="1573"/>
      <c r="E107" s="1573"/>
      <c r="F107" s="1573"/>
      <c r="G107" s="1573"/>
      <c r="H107" s="1573"/>
      <c r="I107" s="1573"/>
      <c r="J107" s="1574"/>
      <c r="K107" s="1573"/>
    </row>
    <row r="108" spans="1:12" ht="12.75" customHeight="1" thickBot="1" x14ac:dyDescent="0.25">
      <c r="A108" s="1406" t="s">
        <v>484</v>
      </c>
      <c r="B108" s="1408"/>
      <c r="C108" s="1633">
        <f>SUM(C95:C107)</f>
        <v>1280392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8834656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4900</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4900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1102623</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1102623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4007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c r="G152" s="1574"/>
      <c r="H152" s="1575"/>
      <c r="I152" s="1575"/>
      <c r="J152" s="1575"/>
      <c r="K152" s="1575"/>
    </row>
    <row r="153" spans="1:11" ht="12.75" customHeight="1" x14ac:dyDescent="0.2">
      <c r="A153" s="427" t="s">
        <v>1050</v>
      </c>
      <c r="B153" s="478">
        <v>3510</v>
      </c>
      <c r="C153" s="1632">
        <v>32641</v>
      </c>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32641</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36648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1139271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1478</v>
      </c>
      <c r="B172" s="2256"/>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1649</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1648</v>
      </c>
      <c r="B176" s="2264"/>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1783</v>
      </c>
      <c r="B182" s="2258"/>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127337</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71221</v>
      </c>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v>11600</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210158</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v>249850</v>
      </c>
      <c r="D208" s="1573"/>
      <c r="E208" s="1575"/>
      <c r="F208" s="1573"/>
      <c r="G208" s="1573"/>
      <c r="H208" s="1575"/>
      <c r="I208" s="1575"/>
      <c r="J208" s="1575"/>
      <c r="K208" s="1575"/>
    </row>
    <row r="209" spans="1:11" ht="12.75" customHeight="1" thickBot="1" x14ac:dyDescent="0.25">
      <c r="A209" s="1406" t="s">
        <v>883</v>
      </c>
      <c r="B209" s="1407"/>
      <c r="C209" s="1633">
        <f>SUM(C206:C208)</f>
        <v>249850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10094</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457144</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467238</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131194</v>
      </c>
      <c r="D263" s="1651"/>
      <c r="E263" s="1575"/>
      <c r="F263" s="1651"/>
      <c r="G263" s="1651"/>
      <c r="H263" s="1575"/>
      <c r="I263" s="1575"/>
      <c r="J263" s="1575"/>
      <c r="K263" s="1575"/>
    </row>
    <row r="264" spans="1:11" ht="12.75" customHeight="1" thickTop="1" thickBot="1" x14ac:dyDescent="0.25">
      <c r="A264" s="427" t="s">
        <v>374</v>
      </c>
      <c r="B264" s="429">
        <v>4992</v>
      </c>
      <c r="C264" s="1650">
        <v>940583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1999023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1999023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11977850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10" workbookViewId="0">
      <pane ySplit="2" topLeftCell="A54" activePane="bottomLeft" state="frozen"/>
      <selection activeCell="D42" sqref="D42:H42"/>
      <selection pane="bottomLeft" activeCell="D42" sqref="D42:H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51695</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3639832</v>
      </c>
      <c r="D8" s="1573">
        <v>1400286</v>
      </c>
      <c r="E8" s="1573">
        <v>120947</v>
      </c>
      <c r="F8" s="1573">
        <v>121532</v>
      </c>
      <c r="G8" s="1573">
        <v>23667</v>
      </c>
      <c r="H8" s="1573">
        <v>755</v>
      </c>
      <c r="I8" s="1574"/>
      <c r="J8" s="1574"/>
      <c r="K8" s="1672">
        <f t="shared" si="0"/>
        <v>5307019</v>
      </c>
      <c r="L8" s="1573">
        <v>5677865</v>
      </c>
    </row>
    <row r="9" spans="1:14" x14ac:dyDescent="0.2">
      <c r="A9" s="1274" t="s">
        <v>716</v>
      </c>
      <c r="B9" s="503" t="s">
        <v>962</v>
      </c>
      <c r="C9" s="1574">
        <v>594146</v>
      </c>
      <c r="D9" s="1574">
        <v>165542</v>
      </c>
      <c r="E9" s="1574">
        <v>715</v>
      </c>
      <c r="F9" s="1574">
        <v>6089</v>
      </c>
      <c r="G9" s="1574">
        <v>551</v>
      </c>
      <c r="H9" s="1574"/>
      <c r="I9" s="1574"/>
      <c r="J9" s="1574"/>
      <c r="K9" s="1672">
        <f t="shared" si="0"/>
        <v>767043</v>
      </c>
      <c r="L9" s="1573">
        <v>883118</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12949</v>
      </c>
      <c r="D15" s="1573">
        <v>3720</v>
      </c>
      <c r="E15" s="1573">
        <v>72</v>
      </c>
      <c r="F15" s="1573">
        <v>30</v>
      </c>
      <c r="G15" s="1573"/>
      <c r="H15" s="1573"/>
      <c r="I15" s="1574"/>
      <c r="J15" s="1574"/>
      <c r="K15" s="1672">
        <f t="shared" si="0"/>
        <v>16771</v>
      </c>
      <c r="L15" s="1573">
        <v>20231</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4246927</v>
      </c>
      <c r="D33" s="1674">
        <f t="shared" ref="D33:L33" si="1">SUM(D5:D32)</f>
        <v>1569548</v>
      </c>
      <c r="E33" s="1674">
        <f t="shared" si="1"/>
        <v>121734</v>
      </c>
      <c r="F33" s="1674">
        <f t="shared" si="1"/>
        <v>127651</v>
      </c>
      <c r="G33" s="1674">
        <f t="shared" si="1"/>
        <v>24218</v>
      </c>
      <c r="H33" s="1674">
        <f t="shared" si="1"/>
        <v>755</v>
      </c>
      <c r="I33" s="1674">
        <f t="shared" si="1"/>
        <v>0</v>
      </c>
      <c r="J33" s="1674">
        <f t="shared" si="1"/>
        <v>0</v>
      </c>
      <c r="K33" s="1674">
        <f t="shared" si="1"/>
        <v>6090833</v>
      </c>
      <c r="L33" s="1674">
        <f t="shared" si="1"/>
        <v>6632909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514320</v>
      </c>
      <c r="D36" s="1586">
        <v>148462</v>
      </c>
      <c r="E36" s="1586">
        <v>6933</v>
      </c>
      <c r="F36" s="1586">
        <v>5594</v>
      </c>
      <c r="G36" s="1586"/>
      <c r="H36" s="1586">
        <v>4874</v>
      </c>
      <c r="I36" s="1574"/>
      <c r="J36" s="1574"/>
      <c r="K36" s="1672">
        <f t="shared" ref="K36:K41" si="2">SUM(C36:J36)</f>
        <v>680183</v>
      </c>
      <c r="L36" s="1573">
        <v>697473</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416873</v>
      </c>
      <c r="D38" s="1573">
        <v>134005</v>
      </c>
      <c r="E38" s="1573">
        <v>16792</v>
      </c>
      <c r="F38" s="1573">
        <v>16960</v>
      </c>
      <c r="G38" s="1573">
        <v>2500</v>
      </c>
      <c r="H38" s="1573"/>
      <c r="I38" s="1574"/>
      <c r="J38" s="1574"/>
      <c r="K38" s="1672">
        <f t="shared" si="2"/>
        <v>587130</v>
      </c>
      <c r="L38" s="1573">
        <v>581637</v>
      </c>
    </row>
    <row r="39" spans="1:14" x14ac:dyDescent="0.2">
      <c r="A39" s="1274" t="s">
        <v>197</v>
      </c>
      <c r="B39" s="503">
        <v>2140</v>
      </c>
      <c r="C39" s="1573">
        <v>439439</v>
      </c>
      <c r="D39" s="1573">
        <v>106479</v>
      </c>
      <c r="E39" s="1573">
        <v>9980</v>
      </c>
      <c r="F39" s="1573">
        <v>2283</v>
      </c>
      <c r="G39" s="1573"/>
      <c r="H39" s="1573"/>
      <c r="I39" s="1574"/>
      <c r="J39" s="1574"/>
      <c r="K39" s="1672">
        <f t="shared" si="2"/>
        <v>558181</v>
      </c>
      <c r="L39" s="1573">
        <v>545031</v>
      </c>
    </row>
    <row r="40" spans="1:14" x14ac:dyDescent="0.2">
      <c r="A40" s="1274" t="s">
        <v>198</v>
      </c>
      <c r="B40" s="503">
        <v>2150</v>
      </c>
      <c r="C40" s="1573">
        <v>281997</v>
      </c>
      <c r="D40" s="1573">
        <v>90054</v>
      </c>
      <c r="E40" s="1573">
        <v>89740</v>
      </c>
      <c r="F40" s="1573">
        <v>5275</v>
      </c>
      <c r="G40" s="1573"/>
      <c r="H40" s="1573"/>
      <c r="I40" s="1574"/>
      <c r="J40" s="1574"/>
      <c r="K40" s="1672">
        <f t="shared" si="2"/>
        <v>467066</v>
      </c>
      <c r="L40" s="1573">
        <v>525684</v>
      </c>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1652629</v>
      </c>
      <c r="D42" s="1674">
        <f t="shared" ref="D42:L42" si="3">SUM(D36:D41)</f>
        <v>479000</v>
      </c>
      <c r="E42" s="1674">
        <f t="shared" si="3"/>
        <v>123445</v>
      </c>
      <c r="F42" s="1674">
        <f t="shared" si="3"/>
        <v>30112</v>
      </c>
      <c r="G42" s="1674">
        <f t="shared" si="3"/>
        <v>2500</v>
      </c>
      <c r="H42" s="1674">
        <f t="shared" si="3"/>
        <v>4874</v>
      </c>
      <c r="I42" s="1674">
        <f t="shared" si="3"/>
        <v>0</v>
      </c>
      <c r="J42" s="1674">
        <f t="shared" si="3"/>
        <v>0</v>
      </c>
      <c r="K42" s="1674">
        <f t="shared" si="3"/>
        <v>2292560</v>
      </c>
      <c r="L42" s="1674">
        <f t="shared" si="3"/>
        <v>2349825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19518</v>
      </c>
      <c r="D44" s="1586">
        <v>7846</v>
      </c>
      <c r="E44" s="1586">
        <v>132897</v>
      </c>
      <c r="F44" s="1586">
        <v>7658</v>
      </c>
      <c r="G44" s="1586"/>
      <c r="H44" s="1586">
        <v>11247</v>
      </c>
      <c r="I44" s="1574"/>
      <c r="J44" s="1574"/>
      <c r="K44" s="1678">
        <f>SUM(C44:J44)</f>
        <v>179166</v>
      </c>
      <c r="L44" s="1586">
        <v>172684</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1495</v>
      </c>
      <c r="F46" s="1573">
        <v>23314</v>
      </c>
      <c r="G46" s="1573"/>
      <c r="H46" s="1573"/>
      <c r="I46" s="1574"/>
      <c r="J46" s="1574"/>
      <c r="K46" s="1678">
        <f>SUM(C46:J46)</f>
        <v>24809</v>
      </c>
      <c r="L46" s="1573">
        <v>20000</v>
      </c>
    </row>
    <row r="47" spans="1:14" ht="12.75" customHeight="1" thickBot="1" x14ac:dyDescent="0.25">
      <c r="A47" s="1380" t="s">
        <v>557</v>
      </c>
      <c r="B47" s="1381" t="s">
        <v>32</v>
      </c>
      <c r="C47" s="1674">
        <f>SUM(C44:C46)</f>
        <v>19518</v>
      </c>
      <c r="D47" s="1674">
        <f t="shared" ref="D47:K47" si="4">SUM(D44:D46)</f>
        <v>7846</v>
      </c>
      <c r="E47" s="1674">
        <f t="shared" si="4"/>
        <v>134392</v>
      </c>
      <c r="F47" s="1674">
        <f t="shared" si="4"/>
        <v>30972</v>
      </c>
      <c r="G47" s="1674">
        <f t="shared" si="4"/>
        <v>0</v>
      </c>
      <c r="H47" s="1674">
        <f t="shared" si="4"/>
        <v>11247</v>
      </c>
      <c r="I47" s="1674">
        <f t="shared" si="4"/>
        <v>0</v>
      </c>
      <c r="J47" s="1674">
        <f t="shared" si="4"/>
        <v>0</v>
      </c>
      <c r="K47" s="1674">
        <f t="shared" si="4"/>
        <v>203975</v>
      </c>
      <c r="L47" s="1674">
        <f>SUM(L44:L46)</f>
        <v>192684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1373970</v>
      </c>
      <c r="D50" s="1573">
        <v>395596</v>
      </c>
      <c r="E50" s="1573">
        <v>528939</v>
      </c>
      <c r="F50" s="1573">
        <v>35604</v>
      </c>
      <c r="G50" s="1573">
        <v>22459</v>
      </c>
      <c r="H50" s="1573">
        <v>1061</v>
      </c>
      <c r="I50" s="1574"/>
      <c r="J50" s="1574"/>
      <c r="K50" s="1678">
        <f>SUM(C50:J50)</f>
        <v>2357629</v>
      </c>
      <c r="L50" s="1573">
        <v>2303002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1373970</v>
      </c>
      <c r="D53" s="1674">
        <f t="shared" ref="D53:L53" si="5">SUM(D49:D52)</f>
        <v>395596</v>
      </c>
      <c r="E53" s="1674">
        <f t="shared" si="5"/>
        <v>528939</v>
      </c>
      <c r="F53" s="1674">
        <f t="shared" si="5"/>
        <v>35604</v>
      </c>
      <c r="G53" s="1674">
        <f t="shared" si="5"/>
        <v>22459</v>
      </c>
      <c r="H53" s="1674">
        <f t="shared" si="5"/>
        <v>1061</v>
      </c>
      <c r="I53" s="1674">
        <f t="shared" si="5"/>
        <v>0</v>
      </c>
      <c r="J53" s="1674">
        <f t="shared" si="5"/>
        <v>0</v>
      </c>
      <c r="K53" s="1674">
        <f t="shared" si="5"/>
        <v>2357629</v>
      </c>
      <c r="L53" s="1674">
        <f t="shared" si="5"/>
        <v>2303002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75000</v>
      </c>
      <c r="D59" s="1586">
        <v>19810</v>
      </c>
      <c r="E59" s="1586"/>
      <c r="F59" s="1586"/>
      <c r="G59" s="1586"/>
      <c r="H59" s="1586"/>
      <c r="I59" s="1574"/>
      <c r="J59" s="1574"/>
      <c r="K59" s="1678">
        <f t="shared" ref="K59:K64" si="7">SUM(C59:J59)</f>
        <v>94810</v>
      </c>
      <c r="L59" s="1586">
        <v>90055</v>
      </c>
      <c r="M59" s="501"/>
      <c r="N59" s="501"/>
    </row>
    <row r="60" spans="1:14" s="321" customFormat="1" x14ac:dyDescent="0.2">
      <c r="A60" s="1274" t="s">
        <v>460</v>
      </c>
      <c r="B60" s="503">
        <v>2520</v>
      </c>
      <c r="C60" s="1573">
        <v>108517</v>
      </c>
      <c r="D60" s="1573">
        <v>31150</v>
      </c>
      <c r="E60" s="1573">
        <v>14643</v>
      </c>
      <c r="F60" s="1573">
        <v>2468</v>
      </c>
      <c r="G60" s="1573"/>
      <c r="H60" s="1573"/>
      <c r="I60" s="1574"/>
      <c r="J60" s="1574"/>
      <c r="K60" s="1678">
        <f t="shared" si="7"/>
        <v>156778</v>
      </c>
      <c r="L60" s="1573">
        <v>151472</v>
      </c>
      <c r="M60" s="501"/>
      <c r="N60" s="501"/>
    </row>
    <row r="61" spans="1:14" s="321" customFormat="1" x14ac:dyDescent="0.2">
      <c r="A61" s="1274" t="s">
        <v>195</v>
      </c>
      <c r="B61" s="503">
        <v>2540</v>
      </c>
      <c r="C61" s="1573">
        <v>168238</v>
      </c>
      <c r="D61" s="1573">
        <v>68286</v>
      </c>
      <c r="E61" s="1573">
        <v>182159</v>
      </c>
      <c r="F61" s="1573">
        <v>98923</v>
      </c>
      <c r="G61" s="1573">
        <v>83182</v>
      </c>
      <c r="H61" s="1573"/>
      <c r="I61" s="1574"/>
      <c r="J61" s="1574"/>
      <c r="K61" s="1678">
        <f t="shared" si="7"/>
        <v>600788</v>
      </c>
      <c r="L61" s="1573">
        <v>590049</v>
      </c>
      <c r="M61" s="501"/>
      <c r="N61" s="501"/>
    </row>
    <row r="62" spans="1:14" s="321" customFormat="1" x14ac:dyDescent="0.2">
      <c r="A62" s="1274" t="s">
        <v>947</v>
      </c>
      <c r="B62" s="503">
        <v>2550</v>
      </c>
      <c r="C62" s="1573"/>
      <c r="D62" s="1573"/>
      <c r="E62" s="1573">
        <v>61028</v>
      </c>
      <c r="F62" s="1573"/>
      <c r="G62" s="1573"/>
      <c r="H62" s="1573"/>
      <c r="I62" s="1574"/>
      <c r="J62" s="1574"/>
      <c r="K62" s="1678">
        <f t="shared" si="7"/>
        <v>61028</v>
      </c>
      <c r="L62" s="1573">
        <v>30000</v>
      </c>
      <c r="M62" s="501"/>
      <c r="N62" s="501"/>
    </row>
    <row r="63" spans="1:14" s="501" customFormat="1" x14ac:dyDescent="0.2">
      <c r="A63" s="1274" t="s">
        <v>100</v>
      </c>
      <c r="B63" s="503">
        <v>2560</v>
      </c>
      <c r="C63" s="1573">
        <v>121286</v>
      </c>
      <c r="D63" s="1573">
        <v>47966</v>
      </c>
      <c r="E63" s="1573">
        <v>106181</v>
      </c>
      <c r="F63" s="1573">
        <v>107514</v>
      </c>
      <c r="G63" s="1573">
        <v>11979</v>
      </c>
      <c r="H63" s="1573">
        <v>23</v>
      </c>
      <c r="I63" s="1574"/>
      <c r="J63" s="1574"/>
      <c r="K63" s="1678">
        <f t="shared" si="7"/>
        <v>394949</v>
      </c>
      <c r="L63" s="1573">
        <v>450024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473041</v>
      </c>
      <c r="D65" s="1674">
        <f t="shared" ref="D65:L65" si="8">SUM(D59:D64)</f>
        <v>167212</v>
      </c>
      <c r="E65" s="1674">
        <f t="shared" si="8"/>
        <v>364011</v>
      </c>
      <c r="F65" s="1674">
        <f t="shared" si="8"/>
        <v>208905</v>
      </c>
      <c r="G65" s="1674">
        <f t="shared" si="8"/>
        <v>95161</v>
      </c>
      <c r="H65" s="1674">
        <f t="shared" si="8"/>
        <v>23</v>
      </c>
      <c r="I65" s="1674">
        <f t="shared" si="8"/>
        <v>0</v>
      </c>
      <c r="J65" s="1674">
        <f t="shared" si="8"/>
        <v>0</v>
      </c>
      <c r="K65" s="1674">
        <f t="shared" si="8"/>
        <v>1308353</v>
      </c>
      <c r="L65" s="1674">
        <f t="shared" si="8"/>
        <v>1311600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v>992</v>
      </c>
      <c r="F69" s="1573">
        <v>39113</v>
      </c>
      <c r="G69" s="1573"/>
      <c r="H69" s="1573"/>
      <c r="I69" s="1574"/>
      <c r="J69" s="1574"/>
      <c r="K69" s="1678">
        <f>SUM(C69:J69)</f>
        <v>40105</v>
      </c>
      <c r="L69" s="1573">
        <v>17500</v>
      </c>
      <c r="M69" s="501"/>
      <c r="N69" s="501"/>
    </row>
    <row r="70" spans="1:14" s="321" customFormat="1" x14ac:dyDescent="0.2">
      <c r="A70" s="1274" t="s">
        <v>400</v>
      </c>
      <c r="B70" s="503">
        <v>2640</v>
      </c>
      <c r="C70" s="1573"/>
      <c r="D70" s="1573"/>
      <c r="E70" s="1573">
        <v>4828</v>
      </c>
      <c r="F70" s="1573">
        <v>275</v>
      </c>
      <c r="G70" s="1573"/>
      <c r="H70" s="1573"/>
      <c r="I70" s="1574"/>
      <c r="J70" s="1574"/>
      <c r="K70" s="1678">
        <f>SUM(C70:J70)</f>
        <v>5103</v>
      </c>
      <c r="L70" s="1573">
        <v>1500</v>
      </c>
      <c r="M70" s="501"/>
      <c r="N70" s="501"/>
    </row>
    <row r="71" spans="1:14" s="321" customFormat="1" x14ac:dyDescent="0.2">
      <c r="A71" s="1274" t="s">
        <v>401</v>
      </c>
      <c r="B71" s="503">
        <v>2660</v>
      </c>
      <c r="C71" s="1573"/>
      <c r="D71" s="1573"/>
      <c r="E71" s="1573">
        <v>130194</v>
      </c>
      <c r="F71" s="1573"/>
      <c r="G71" s="1573"/>
      <c r="H71" s="1573"/>
      <c r="I71" s="1574"/>
      <c r="J71" s="1574"/>
      <c r="K71" s="1678">
        <f>SUM(C71:J71)</f>
        <v>130194</v>
      </c>
      <c r="L71" s="1573">
        <v>102860</v>
      </c>
      <c r="M71" s="501"/>
      <c r="N71" s="501"/>
    </row>
    <row r="72" spans="1:14" s="321" customFormat="1" ht="12.75" customHeight="1" thickBot="1" x14ac:dyDescent="0.25">
      <c r="A72" s="1380" t="s">
        <v>37</v>
      </c>
      <c r="B72" s="1383" t="s">
        <v>36</v>
      </c>
      <c r="C72" s="1674">
        <f>SUM(C67:C71)</f>
        <v>0</v>
      </c>
      <c r="D72" s="1674">
        <f t="shared" ref="D72:K72" si="9">SUM(D67:D71)</f>
        <v>0</v>
      </c>
      <c r="E72" s="1674">
        <f t="shared" si="9"/>
        <v>136014</v>
      </c>
      <c r="F72" s="1674">
        <f t="shared" si="9"/>
        <v>39388</v>
      </c>
      <c r="G72" s="1674">
        <f t="shared" si="9"/>
        <v>0</v>
      </c>
      <c r="H72" s="1674">
        <f t="shared" si="9"/>
        <v>0</v>
      </c>
      <c r="I72" s="1674">
        <f t="shared" si="9"/>
        <v>0</v>
      </c>
      <c r="J72" s="1674">
        <f t="shared" si="9"/>
        <v>0</v>
      </c>
      <c r="K72" s="1674">
        <f t="shared" si="9"/>
        <v>175402</v>
      </c>
      <c r="L72" s="1674">
        <f>SUM(L67:L71)</f>
        <v>121860</v>
      </c>
      <c r="M72" s="501"/>
      <c r="N72" s="501"/>
    </row>
    <row r="73" spans="1:14" s="321" customFormat="1" ht="14.25" thickTop="1" thickBot="1" x14ac:dyDescent="0.25">
      <c r="A73" s="1280" t="s">
        <v>973</v>
      </c>
      <c r="B73" s="515" t="s">
        <v>570</v>
      </c>
      <c r="C73" s="1649">
        <v>11354</v>
      </c>
      <c r="D73" s="1649">
        <v>869</v>
      </c>
      <c r="E73" s="1649"/>
      <c r="F73" s="1649"/>
      <c r="G73" s="1649"/>
      <c r="H73" s="1649"/>
      <c r="I73" s="1627"/>
      <c r="J73" s="1627"/>
      <c r="K73" s="1674">
        <f>SUM(C73:J73)</f>
        <v>12223</v>
      </c>
      <c r="L73" s="1651">
        <v>17439</v>
      </c>
      <c r="M73" s="501"/>
      <c r="N73" s="501"/>
    </row>
    <row r="74" spans="1:14" ht="12.75" customHeight="1" thickTop="1" thickBot="1" x14ac:dyDescent="0.25">
      <c r="A74" s="1380" t="s">
        <v>806</v>
      </c>
      <c r="B74" s="1384">
        <v>2000</v>
      </c>
      <c r="C74" s="1681">
        <f>SUM(C42,C47,C53,C57,C65,C72,C73)</f>
        <v>3530512</v>
      </c>
      <c r="D74" s="1681">
        <f t="shared" ref="D74:K74" si="10">SUM(D42,D47,D53,D57,D65,D72,D73)</f>
        <v>1050523</v>
      </c>
      <c r="E74" s="1681">
        <f t="shared" si="10"/>
        <v>1286801</v>
      </c>
      <c r="F74" s="1681">
        <f t="shared" si="10"/>
        <v>344981</v>
      </c>
      <c r="G74" s="1681">
        <f t="shared" si="10"/>
        <v>120120</v>
      </c>
      <c r="H74" s="1681">
        <f t="shared" si="10"/>
        <v>17205</v>
      </c>
      <c r="I74" s="1681">
        <f t="shared" si="10"/>
        <v>0</v>
      </c>
      <c r="J74" s="1681">
        <f t="shared" si="10"/>
        <v>0</v>
      </c>
      <c r="K74" s="1681">
        <f t="shared" si="10"/>
        <v>6350142</v>
      </c>
      <c r="L74" s="1681">
        <f>SUM(L42,L47,L53,L57,L65,L72,L73)</f>
        <v>6296410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353500</v>
      </c>
      <c r="F79" s="1673"/>
      <c r="G79" s="1673"/>
      <c r="H79" s="1573"/>
      <c r="I79" s="1582"/>
      <c r="J79" s="1582"/>
      <c r="K79" s="1672">
        <f t="shared" si="11"/>
        <v>353500</v>
      </c>
      <c r="L79" s="1573">
        <v>371000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353500</v>
      </c>
      <c r="F84" s="1673"/>
      <c r="G84" s="1673"/>
      <c r="H84" s="1674">
        <f>SUM(H78:H83)</f>
        <v>0</v>
      </c>
      <c r="I84" s="1582"/>
      <c r="J84" s="1582"/>
      <c r="K84" s="1674">
        <f>SUM(K78:K83)</f>
        <v>353500</v>
      </c>
      <c r="L84" s="1674">
        <f>SUM(L78:L83)</f>
        <v>371000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353500</v>
      </c>
      <c r="F102" s="1673"/>
      <c r="G102" s="1673"/>
      <c r="H102" s="1681">
        <f>SUM(H84,H92,H100,H101)</f>
        <v>0</v>
      </c>
      <c r="I102" s="1582"/>
      <c r="J102" s="1582"/>
      <c r="K102" s="1681">
        <f>SUM(K84,K92,K100,K101)</f>
        <v>353500</v>
      </c>
      <c r="L102" s="1681">
        <f>SUM(L84,L92,L100,L101)</f>
        <v>371000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7777439</v>
      </c>
      <c r="D114" s="1674">
        <f t="shared" ref="D114:K114" si="13">SUM(D33,D74,D75,D102,D112,D113)</f>
        <v>2620071</v>
      </c>
      <c r="E114" s="1674">
        <f t="shared" si="13"/>
        <v>1762035</v>
      </c>
      <c r="F114" s="1674">
        <f t="shared" si="13"/>
        <v>472632</v>
      </c>
      <c r="G114" s="1674">
        <f t="shared" si="13"/>
        <v>144338</v>
      </c>
      <c r="H114" s="1674">
        <f>SUM(H33,H74,H75,H102,H112,H113)</f>
        <v>17960</v>
      </c>
      <c r="I114" s="1674">
        <f t="shared" si="13"/>
        <v>0</v>
      </c>
      <c r="J114" s="1674">
        <f t="shared" si="13"/>
        <v>0</v>
      </c>
      <c r="K114" s="1674">
        <f t="shared" si="13"/>
        <v>12794475</v>
      </c>
      <c r="L114" s="1674">
        <f>SUM(L33,L74,L75,L102,L112,L113)</f>
        <v>13300319</v>
      </c>
    </row>
    <row r="115" spans="1:14" ht="13.5" thickTop="1" x14ac:dyDescent="0.2">
      <c r="A115" s="2290" t="s">
        <v>989</v>
      </c>
      <c r="B115" s="2291"/>
      <c r="C115" s="1675"/>
      <c r="D115" s="1675"/>
      <c r="E115" s="1675"/>
      <c r="F115" s="1675"/>
      <c r="G115" s="1675"/>
      <c r="H115" s="1675"/>
      <c r="I115" s="1675"/>
      <c r="J115" s="1675"/>
      <c r="K115" s="1689">
        <f>'Revenues 9-14'!C268-'Expenditures 15-22'!K114</f>
        <v>-816625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2"/>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3" t="s">
        <v>1170</v>
      </c>
      <c r="B152" s="228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1654</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0" t="s">
        <v>989</v>
      </c>
      <c r="B175" s="2291"/>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90" t="s">
        <v>989</v>
      </c>
      <c r="B211" s="2291"/>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c r="E259" s="1673"/>
      <c r="F259" s="1673"/>
      <c r="G259" s="1673"/>
      <c r="H259" s="1673"/>
      <c r="I259" s="1673"/>
      <c r="J259" s="1673"/>
      <c r="K259" s="1678">
        <f>D259</f>
        <v>0</v>
      </c>
      <c r="L259" s="1586"/>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90" t="s">
        <v>989</v>
      </c>
      <c r="B296" s="2291"/>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0" t="s">
        <v>989</v>
      </c>
      <c r="B368" s="2291"/>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5" right="0.15" top="0.61" bottom="0.44" header="0.35" footer="0.140000000000000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sharepoint/v3"/>
    <ds:schemaRef ds:uri="4d435f69-8686-490b-bd6d-b153bf22ab50"/>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d21dc803-237d-4c68-8692-8d731fd29118"/>
    <ds:schemaRef ds:uri="6ce3111e-7420-4802-b50a-75d4e9a0b980"/>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2020-10-26T15:40:16Z</cp:lastPrinted>
  <dcterms:created xsi:type="dcterms:W3CDTF">2003-10-29T19:06:34Z</dcterms:created>
  <dcterms:modified xsi:type="dcterms:W3CDTF">2020-11-19T17:17:36Z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