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DC1DCBD-9B83-43EE-B99D-649BBA88750D}"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Shared Outsourced Services 31" sheetId="182" r:id="rId14"/>
    <sheet name="Itemization 33" sheetId="127" r:id="rId15"/>
    <sheet name="DeficitAFRSum Calc 36" sheetId="146" r:id="rId16"/>
    <sheet name="PCTC-OEPP 27-28" sheetId="34" r:id="rId17"/>
    <sheet name="Contracts Paid in CY 29" sheetId="183" r:id="rId18"/>
    <sheet name="ICR Computation 30" sheetId="108" r:id="rId19"/>
    <sheet name="AC Tort (v1) 32-33" sheetId="184" r:id="rId20"/>
    <sheet name="REF 34" sheetId="117" r:id="rId21"/>
    <sheet name="Opinion-Notes 35" sheetId="129"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3">'Shared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7">'Contracts Paid in CY 29'!$16:$16</definedName>
    <definedName name="_xlnm.Print_Titles" localSheetId="8">'Expenditures 15-22'!$A:$B,'Expenditures 15-22'!$1:$2</definedName>
    <definedName name="_xlnm.Print_Titles" localSheetId="16">'PCTC-OEPP 27-28'!$1:$5</definedName>
    <definedName name="_xlnm.Print_Titles" localSheetId="7">'Revenues 9-14'!$A:$B,'Revenues 9-14'!$1:$2</definedName>
    <definedName name="_xlnm.Print_Titles" localSheetId="13">'Shared Outsourced Services 31'!$5:$5</definedName>
    <definedName name="_xlnm.Print_Titles" localSheetId="25">'Single Audit Checklist'!$1:$4</definedName>
    <definedName name="SCHADDRS" localSheetId="27">#REF!</definedName>
    <definedName name="SCHADDRS" localSheetId="17">#REF!</definedName>
    <definedName name="SCHADDRS" localSheetId="15">#REF!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5">#REF!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5">#REF!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5">#REF!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5">#REF!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E67" i="184" l="1"/>
  <c r="E66" i="184"/>
  <c r="E65" i="184"/>
  <c r="N65" i="184" s="1"/>
  <c r="E64" i="184"/>
  <c r="E63" i="184"/>
  <c r="E62" i="184"/>
  <c r="E61" i="184"/>
  <c r="N61" i="184" s="1"/>
  <c r="E60" i="184"/>
  <c r="E59" i="184"/>
  <c r="E58" i="184"/>
  <c r="E57" i="184"/>
  <c r="N57" i="184" s="1"/>
  <c r="F15" i="184"/>
  <c r="E17" i="184"/>
  <c r="E16" i="184"/>
  <c r="E15" i="184"/>
  <c r="E14" i="184"/>
  <c r="E13" i="184"/>
  <c r="E12" i="184"/>
  <c r="M68" i="184"/>
  <c r="L68" i="184"/>
  <c r="K68" i="184"/>
  <c r="G16" i="184" s="1"/>
  <c r="H16" i="184" s="1"/>
  <c r="J68" i="184"/>
  <c r="I68" i="184"/>
  <c r="G14" i="184" s="1"/>
  <c r="H14" i="184" s="1"/>
  <c r="H68" i="184"/>
  <c r="G68" i="184"/>
  <c r="G12" i="184" s="1"/>
  <c r="N67" i="184"/>
  <c r="N66" i="184"/>
  <c r="N64" i="184"/>
  <c r="N63" i="184"/>
  <c r="N62" i="184"/>
  <c r="N60" i="184"/>
  <c r="N59" i="184"/>
  <c r="N58" i="184"/>
  <c r="L53" i="184"/>
  <c r="L52" i="184"/>
  <c r="K19" i="184"/>
  <c r="J19" i="184"/>
  <c r="I19" i="184"/>
  <c r="F19" i="184"/>
  <c r="E19" i="184"/>
  <c r="L18" i="184"/>
  <c r="L19" i="184" s="1"/>
  <c r="H18" i="184"/>
  <c r="L17" i="184"/>
  <c r="G17" i="184"/>
  <c r="H17" i="184" s="1"/>
  <c r="L16" i="184"/>
  <c r="L15" i="184"/>
  <c r="G15" i="184"/>
  <c r="H15" i="184" s="1"/>
  <c r="L14" i="184"/>
  <c r="L13" i="184"/>
  <c r="G13" i="184"/>
  <c r="H13" i="184" s="1"/>
  <c r="L12" i="184"/>
  <c r="N68" i="184" l="1"/>
  <c r="E68" i="184"/>
  <c r="G19" i="184"/>
  <c r="H12" i="184"/>
  <c r="H19" i="184" s="1"/>
  <c r="L20" i="184" s="1"/>
  <c r="D20" i="127"/>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B7882"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7" i="127"/>
  <c r="B68"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D24" i="37"/>
  <c r="B4270" i="106" s="1"/>
  <c r="D4270" i="106" s="1"/>
  <c r="B5752" i="106"/>
  <c r="D5752" i="106" s="1"/>
  <c r="F42" i="34" l="1"/>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D44" i="36" l="1"/>
  <c r="L16" i="11"/>
  <c r="B2061" i="106" s="1"/>
  <c r="D2061" i="106" s="1"/>
  <c r="F41" i="108"/>
  <c r="G43" i="108" s="1"/>
  <c r="K365" i="29"/>
  <c r="K16" i="4" s="1"/>
  <c r="E367" i="29"/>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K367" i="29"/>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B6223" i="106"/>
  <c r="D6223" i="106" s="1"/>
  <c r="B2567" i="106"/>
  <c r="D2567" i="106" s="1"/>
  <c r="J10" i="4" l="1"/>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<sst xmlns="http://schemas.openxmlformats.org/spreadsheetml/2006/main" count="5160" uniqueCount="2099">
  <si>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</si>
  <si>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</si>
  <si>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</si>
  <si>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</si>
  <si>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</si>
  <si>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</si>
  <si>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</si>
  <si>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</si>
  <si>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</si>
  <si>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</si>
  <si>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</si>
  <si>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</si>
  <si>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</si>
  <si>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</si>
  <si>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</si>
  <si>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</si>
  <si>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</si>
  <si>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</si>
  <si>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</si>
  <si>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</si>
  <si>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</si>
  <si>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</si>
  <si>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</si>
  <si>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</si>
  <si>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</si>
  <si>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</si>
  <si>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</si>
  <si>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</si>
  <si>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</si>
  <si>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</si>
  <si>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</si>
  <si>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</si>
  <si>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</si>
  <si>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</si>
  <si>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</si>
  <si>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</si>
  <si>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</si>
  <si>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</si>
  <si>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</si>
  <si>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</si>
  <si>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</si>
  <si>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</si>
  <si>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</si>
  <si>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</si>
  <si>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</si>
  <si>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</si>
  <si>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</si>
  <si>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</si>
  <si>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</si>
  <si>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</si>
  <si>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</si>
  <si>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</si>
  <si>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</si>
  <si>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</si>
  <si>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</si>
  <si>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</si>
  <si>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</si>
  <si>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</si>
  <si>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</si>
  <si>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</si>
  <si>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</si>
  <si>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</si>
  <si>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</si>
  <si>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</si>
  <si>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</si>
  <si>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</si>
  <si>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</si>
  <si>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</si>
  <si>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</si>
  <si>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</si>
  <si>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</si>
  <si>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</si>
  <si>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</si>
  <si>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</si>
  <si>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</si>
  <si>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</si>
  <si>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</si>
  <si>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</si>
  <si>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</si>
  <si>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</si>
  <si>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</si>
  <si>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</si>
  <si>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</si>
  <si>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</si>
  <si>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</si>
  <si>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</si>
  <si>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</si>
  <si>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</si>
  <si>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</si>
  <si>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</si>
  <si>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</si>
  <si>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</si>
  <si>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</si>
  <si>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</si>
  <si>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</si>
  <si>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</si>
  <si>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</si>
  <si>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</si>
  <si>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</si>
  <si>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</si>
  <si>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</si>
  <si>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</si>
  <si>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</si>
  <si>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</si>
  <si>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</si>
  <si>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</si>
  <si>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</si>
  <si>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</si>
  <si>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</si>
  <si>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</si>
  <si>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</si>
  <si>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</si>
  <si>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</si>
  <si>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</si>
  <si>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</si>
  <si>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</si>
  <si>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</si>
  <si>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</si>
  <si>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</si>
  <si>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</si>
  <si>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</si>
  <si>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</si>
  <si>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</si>
  <si>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</si>
  <si>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</si>
  <si>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</si>
  <si>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</si>
  <si>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</si>
  <si>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</si>
  <si>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</si>
  <si>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</si>
  <si>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</si>
  <si>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</si>
  <si>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</si>
  <si>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</si>
  <si>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</si>
  <si>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</si>
  <si>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</si>
  <si>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</si>
  <si>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</si>
  <si>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</si>
  <si>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</si>
  <si>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</si>
  <si>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</si>
  <si>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</si>
  <si>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</si>
  <si>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</si>
  <si>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</si>
  <si>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</si>
  <si>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</si>
  <si>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</si>
  <si>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</si>
  <si>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</si>
  <si>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</si>
  <si>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</si>
  <si>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</si>
  <si>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</si>
  <si>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</si>
  <si>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</si>
  <si>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</si>
  <si>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</si>
  <si>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</si>
  <si>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</si>
  <si>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</si>
  <si>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</si>
  <si>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</si>
  <si>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</si>
  <si>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</si>
  <si>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</si>
  <si>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</si>
  <si>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</si>
  <si>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</si>
  <si>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</si>
  <si>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</si>
  <si>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</si>
  <si>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</si>
  <si>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</si>
  <si>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</si>
  <si>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</si>
  <si>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</si>
  <si>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</si>
  <si>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</si>
  <si>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</si>
  <si>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</si>
  <si>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</si>
  <si>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</si>
  <si>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</si>
  <si>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</si>
  <si>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</si>
  <si>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</si>
  <si>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</si>
  <si>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</si>
  <si>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</si>
  <si>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</si>
  <si>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</si>
  <si>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</si>
  <si>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</si>
  <si>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</si>
  <si>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</si>
  <si>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</si>
  <si>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</si>
  <si>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</si>
  <si>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</si>
  <si>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</si>
  <si>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</si>
  <si>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</si>
  <si>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</si>
  <si>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</si>
  <si>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</si>
  <si>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</si>
  <si>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</si>
  <si>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</si>
  <si>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</si>
  <si>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</si>
  <si>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</si>
  <si>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</si>
  <si>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</si>
  <si>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</si>
  <si>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</si>
  <si>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</si>
  <si>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</si>
  <si>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</si>
  <si>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</si>
  <si>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</si>
  <si>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</si>
  <si>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</si>
  <si>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</si>
  <si>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</si>
  <si>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</si>
  <si>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</si>
  <si>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</si>
  <si>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</si>
  <si>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</si>
  <si>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</si>
  <si>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</si>
  <si>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</si>
  <si>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</si>
  <si>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</si>
  <si>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</si>
  <si>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</si>
  <si>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</si>
  <si>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</si>
  <si>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</si>
  <si>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</si>
  <si>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</si>
  <si>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</si>
  <si>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</si>
  <si>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</si>
  <si>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</si>
  <si>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</si>
  <si>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</si>
  <si>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</si>
  <si>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</si>
  <si>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</si>
  <si>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</si>
  <si>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</si>
  <si>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</si>
  <si>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</si>
  <si>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</si>
  <si>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</si>
  <si>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</si>
  <si>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</si>
  <si>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</si>
  <si>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</si>
  <si>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</si>
  <si>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</si>
  <si>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</si>
  <si>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</si>
  <si>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</si>
  <si>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</si>
  <si>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</si>
  <si>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</si>
  <si>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</si>
  <si>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</si>
  <si>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</si>
  <si>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</si>
  <si>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</si>
  <si>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</si>
  <si>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</si>
  <si>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</si>
  <si>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</si>
  <si>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</si>
  <si>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</si>
  <si>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</si>
  <si>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</si>
  <si>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</si>
  <si>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</si>
  <si>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</si>
  <si>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</si>
  <si>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</si>
  <si>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</si>
  <si>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</si>
  <si>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</si>
  <si>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</si>
  <si>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</si>
  <si>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</si>
  <si>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</si>
  <si>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</si>
  <si>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</si>
  <si>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</si>
  <si>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</si>
  <si>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</si>
  <si>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</si>
  <si>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</si>
  <si>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</si>
  <si>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</si>
  <si>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</si>
  <si>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</si>
  <si>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</si>
  <si>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</si>
  <si>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</si>
  <si>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</si>
  <si>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</si>
  <si>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</si>
  <si>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</si>
  <si>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</si>
  <si>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</si>
  <si>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</si>
  <si>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</si>
  <si>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</si>
  <si>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</si>
  <si>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</si>
  <si>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</si>
  <si>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</si>
  <si>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</si>
  <si>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</si>
  <si>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</si>
  <si>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</si>
  <si>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</si>
  <si>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</si>
  <si>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</si>
  <si>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</si>
  <si>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</si>
  <si>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</si>
  <si>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</si>
  <si>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</si>
  <si>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</si>
  <si>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</si>
  <si>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</si>
  <si>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</si>
  <si>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</si>
  <si>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</si>
  <si>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</si>
  <si>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</si>
  <si>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</si>
  <si>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</si>
  <si>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</si>
  <si>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</si>
  <si>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</si>
  <si>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</si>
  <si>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</si>
  <si>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</si>
  <si>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</si>
  <si>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</si>
  <si>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</si>
  <si>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</si>
  <si>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</si>
  <si>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</si>
  <si>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</si>
  <si>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</si>
  <si>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</si>
  <si>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</si>
  <si>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</si>
  <si>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</si>
  <si>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</si>
  <si>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</si>
  <si>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</si>
  <si>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</si>
  <si>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</si>
  <si>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</si>
  <si>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</si>
  <si>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</si>
  <si>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</si>
  <si>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</si>
  <si>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</si>
  <si>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</si>
  <si>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</si>
  <si>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</si>
  <si>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</si>
  <si>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</si>
  <si>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</si>
  <si>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</si>
  <si>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</si>
  <si>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</si>
  <si>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</si>
  <si>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</si>
  <si>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</si>
  <si>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</si>
  <si>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</si>
  <si>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</si>
  <si>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</si>
  <si>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</si>
  <si>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</si>
  <si>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</si>
  <si>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</si>
  <si>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</si>
  <si>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</si>
  <si>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</si>
  <si>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</si>
  <si>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</si>
  <si>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</si>
  <si>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</si>
  <si>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</si>
  <si>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</si>
  <si>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</si>
  <si>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</si>
  <si>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</si>
  <si>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</si>
  <si>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</si>
  <si>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</si>
  <si>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</si>
  <si>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</si>
  <si>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</si>
  <si>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</si>
  <si>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</si>
  <si>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</si>
  <si>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</si>
  <si>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</si>
  <si>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</si>
  <si>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</si>
  <si>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</si>
  <si>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</si>
  <si>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</si>
  <si>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</si>
  <si>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</si>
  <si>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</si>
  <si>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</si>
  <si>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</si>
  <si>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</si>
  <si>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</si>
  <si>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</si>
  <si>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</si>
  <si>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</si>
  <si>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</si>
  <si>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</si>
  <si>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</si>
  <si>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</si>
  <si>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</si>
  <si>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</si>
  <si>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</si>
  <si>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</si>
  <si>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</si>
  <si>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</si>
  <si>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</si>
  <si>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</si>
  <si>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</si>
  <si>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</si>
  <si>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</si>
  <si>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</si>
  <si>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</si>
  <si>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</si>
  <si>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</si>
  <si>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</si>
  <si>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</si>
  <si>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</si>
  <si>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</si>
  <si>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</si>
  <si>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</si>
  <si>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</si>
  <si>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</si>
  <si>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</si>
  <si>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</si>
  <si>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</si>
  <si>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</si>
  <si>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</si>
  <si>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</si>
  <si>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</si>
  <si>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</si>
  <si>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</si>
  <si>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</si>
  <si>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</si>
  <si>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</si>
  <si>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</si>
  <si>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</si>
  <si>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</si>
  <si>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</si>
  <si>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</si>
  <si>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</si>
  <si>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</si>
  <si>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</si>
  <si>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</si>
  <si>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</si>
  <si>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</si>
  <si>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</si>
  <si>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</si>
  <si>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</si>
  <si>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</si>
  <si>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</si>
  <si>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</si>
  <si>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</si>
  <si>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</si>
  <si>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</si>
  <si>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</si>
  <si>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</si>
  <si>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</si>
  <si>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</si>
  <si>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</si>
  <si>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</si>
  <si>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</si>
  <si>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</si>
  <si>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</si>
  <si>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</si>
  <si>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</si>
  <si>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</si>
  <si>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</si>
  <si>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</si>
  <si>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</si>
  <si>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</si>
  <si>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</si>
  <si>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</si>
  <si>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</si>
  <si>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</si>
  <si>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</si>
  <si>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</si>
  <si>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</si>
  <si>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</si>
  <si>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</si>
  <si>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</si>
  <si>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</si>
  <si>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</si>
  <si>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</si>
  <si>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</si>
  <si>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</si>
  <si>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</si>
  <si>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</si>
  <si>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</si>
  <si>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</si>
  <si>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</si>
  <si>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</si>
  <si>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</si>
  <si>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</si>
  <si>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</si>
  <si>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</si>
  <si>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</si>
  <si>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</si>
  <si>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</si>
  <si>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</si>
  <si>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</si>
  <si>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</si>
  <si>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</si>
  <si>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</si>
  <si>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</si>
  <si>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</si>
  <si>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</si>
  <si>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</si>
  <si>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</si>
  <si>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</si>
  <si>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</si>
  <si>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</si>
  <si>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</si>
  <si>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</si>
  <si>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</si>
  <si>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</si>
  <si>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</si>
  <si>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</si>
  <si>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</si>
  <si>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</si>
  <si>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</si>
  <si>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</si>
  <si>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</si>
  <si>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</si>
  <si>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</si>
  <si>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</si>
  <si>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</si>
  <si>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</si>
  <si>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</si>
  <si>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</si>
  <si>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</si>
  <si>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</si>
  <si>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</si>
  <si>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</si>
  <si>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</si>
  <si>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</si>
  <si>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</si>
  <si>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</si>
  <si>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</si>
  <si>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</si>
  <si>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</si>
  <si>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</si>
  <si>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</si>
  <si>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</si>
  <si>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</si>
  <si>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</si>
  <si>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</si>
  <si>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</si>
  <si>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</si>
  <si>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</si>
  <si>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</si>
  <si>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</si>
  <si>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</si>
  <si>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</si>
  <si>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</si>
  <si>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</si>
  <si>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</si>
  <si>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</si>
  <si>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</si>
  <si>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</si>
  <si>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</si>
  <si>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</si>
  <si>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</si>
  <si>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</si>
  <si>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</si>
  <si>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</si>
  <si>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</si>
  <si>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</si>
  <si>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</si>
  <si>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</si>
  <si>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</si>
  <si>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</si>
  <si>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</si>
  <si>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</si>
  <si>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</si>
  <si>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</si>
  <si>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</si>
  <si>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</si>
  <si>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</si>
  <si>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</si>
  <si>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</si>
  <si>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</si>
  <si>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</si>
  <si>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</si>
  <si>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</si>
  <si>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</si>
  <si>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</si>
  <si>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</si>
  <si>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</si>
  <si>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</si>
  <si>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</si>
  <si>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</si>
  <si>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</si>
  <si>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</si>
  <si>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</si>
  <si>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</si>
  <si>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</si>
  <si>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</si>
  <si>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</si>
  <si>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</si>
  <si>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</si>
  <si>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</si>
  <si>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</si>
  <si>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</si>
  <si>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</si>
  <si>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</si>
  <si>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</si>
  <si>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</si>
  <si>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</si>
  <si>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</si>
  <si>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</si>
  <si>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</si>
  <si>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</si>
  <si>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</si>
  <si>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</si>
  <si>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</si>
  <si>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</si>
  <si>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</si>
  <si>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</si>
  <si>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</si>
  <si>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</si>
  <si>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</si>
  <si>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</si>
  <si>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</si>
  <si>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</si>
  <si>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</si>
  <si>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</si>
  <si>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</si>
  <si>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</si>
  <si>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</si>
  <si>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</si>
  <si>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</si>
  <si>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</si>
  <si>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</si>
  <si>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</si>
  <si>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</si>
  <si>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</si>
  <si>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</si>
  <si>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</si>
  <si>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</si>
  <si>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</si>
  <si>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</si>
  <si>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</si>
  <si>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</si>
  <si>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</si>
  <si>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</si>
  <si>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</si>
  <si>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</si>
  <si>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</si>
  <si>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</si>
  <si>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</si>
  <si>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</si>
  <si>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</si>
  <si>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</si>
  <si>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</si>
  <si>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</si>
  <si>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</si>
  <si>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</si>
  <si>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</si>
  <si>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</si>
  <si>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</si>
  <si>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</si>
  <si>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</si>
  <si>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</si>
  <si>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</si>
  <si>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</si>
  <si>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</si>
  <si>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</si>
  <si>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</si>
  <si>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</si>
  <si>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</si>
  <si>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</si>
  <si>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</si>
  <si>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</si>
  <si>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</si>
  <si>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</si>
  <si>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</si>
  <si>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</si>
  <si>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</si>
  <si>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</si>
  <si>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</si>
  <si>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</si>
  <si>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</si>
  <si>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</si>
  <si>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</si>
  <si>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</si>
  <si>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</si>
  <si>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</si>
  <si>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</si>
  <si>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</si>
  <si>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</si>
  <si>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</si>
  <si>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</si>
  <si>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</si>
  <si>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</si>
  <si>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</si>
  <si>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</si>
  <si>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</si>
  <si>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</si>
  <si>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</si>
  <si>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</si>
  <si>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</si>
  <si>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</si>
  <si>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</si>
  <si>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</si>
  <si>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</si>
  <si>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</si>
  <si>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</si>
  <si>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</si>
  <si>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</si>
  <si>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</si>
  <si>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</si>
  <si>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</si>
  <si>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</si>
  <si>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</si>
  <si>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</si>
  <si>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</si>
  <si>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</si>
  <si>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</si>
  <si>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</si>
  <si>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</si>
  <si>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</si>
  <si>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</si>
  <si>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</si>
  <si>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</si>
  <si>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</si>
  <si>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</si>
  <si>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</si>
  <si>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</si>
  <si>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</si>
  <si>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</si>
  <si>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</si>
  <si>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</si>
  <si>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</si>
  <si>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</si>
  <si>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</si>
  <si>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</si>
  <si>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</si>
  <si>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</si>
  <si>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</si>
  <si>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</si>
  <si>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</si>
  <si>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</si>
  <si>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</si>
  <si>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</si>
  <si>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</si>
  <si>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</si>
  <si>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</si>
  <si>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</si>
  <si>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</si>
  <si>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</si>
  <si>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</si>
  <si>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</si>
  <si>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</si>
  <si>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</si>
  <si>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</si>
  <si>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</si>
  <si>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</si>
  <si>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</si>
  <si>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</si>
  <si>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</si>
  <si>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</si>
  <si>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</si>
  <si>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</si>
  <si>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</si>
  <si>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</si>
  <si>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</si>
  <si>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</si>
  <si>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</si>
  <si>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</si>
  <si>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</si>
  <si>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</si>
  <si>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</si>
  <si>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</si>
  <si>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</si>
  <si>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</si>
  <si>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</si>
  <si>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</si>
  <si>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</si>
  <si>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</si>
  <si>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</si>
  <si>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</si>
  <si>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</si>
  <si>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</si>
  <si>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</si>
  <si>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</si>
  <si>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</si>
  <si>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</si>
  <si>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</si>
  <si>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</si>
  <si>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</si>
  <si>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</si>
  <si>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</si>
  <si>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</si>
  <si>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</si>
  <si>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</si>
  <si>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</si>
  <si>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</si>
  <si>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</si>
  <si>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</si>
  <si>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</si>
  <si>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</si>
  <si>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</si>
  <si>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</si>
  <si>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</si>
  <si>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</si>
  <si>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</si>
  <si>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</si>
  <si>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</si>
  <si>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</si>
  <si>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</si>
  <si>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</si>
  <si>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</si>
  <si>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</si>
  <si>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</si>
  <si>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</si>
  <si>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</si>
  <si>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</si>
  <si>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</si>
  <si>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</si>
  <si>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</si>
  <si>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</si>
  <si>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</si>
  <si>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</si>
  <si>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</si>
  <si>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</si>
  <si>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</si>
  <si>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</si>
  <si>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</si>
  <si>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</si>
  <si>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</si>
  <si>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</si>
  <si>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</si>
  <si>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</si>
  <si>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</si>
  <si>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</si>
  <si>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</si>
  <si>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</si>
  <si>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</si>
  <si>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</si>
  <si>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</si>
  <si>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</si>
  <si>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</si>
  <si>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</si>
  <si>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</si>
  <si>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</si>
  <si>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</si>
  <si>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</si>
  <si>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</si>
  <si>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</si>
  <si>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</si>
  <si>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</si>
  <si>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</si>
  <si>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</si>
  <si>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</si>
  <si>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</si>
  <si>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</si>
  <si>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</si>
  <si>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</si>
  <si>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</si>
  <si>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</si>
  <si>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</si>
  <si>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</si>
  <si>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</si>
  <si>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</si>
  <si>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</si>
  <si>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</si>
  <si>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</si>
  <si>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</si>
  <si>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</si>
  <si>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</si>
  <si>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</si>
  <si>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</si>
  <si>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</si>
  <si>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</si>
  <si>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</si>
  <si>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</si>
  <si>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</si>
  <si>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</si>
  <si>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</si>
  <si>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</si>
  <si>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</si>
  <si>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</si>
  <si>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</si>
  <si>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</si>
  <si>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</si>
  <si>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</si>
  <si>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</si>
  <si>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</si>
  <si>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</si>
  <si>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</si>
  <si>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</si>
  <si>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</si>
  <si>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</si>
  <si>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</si>
  <si>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</si>
  <si>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</si>
  <si>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</si>
  <si>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</si>
  <si>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</si>
  <si>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</si>
  <si>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</si>
  <si>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</si>
  <si>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</si>
  <si>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</si>
  <si>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</si>
  <si>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</si>
  <si>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</si>
  <si>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</si>
  <si>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</si>
  <si>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</si>
  <si>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</si>
  <si>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</si>
  <si>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</si>
  <si>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</si>
  <si>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</si>
  <si>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</si>
  <si>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</si>
  <si>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</si>
  <si>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</si>
  <si>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</si>
  <si>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</si>
  <si>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</si>
  <si>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</si>
  <si>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</si>
  <si>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</si>
  <si>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</si>
  <si>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</si>
  <si>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</si>
  <si>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</si>
  <si>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</si>
  <si>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</si>
  <si>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</si>
  <si>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</si>
  <si>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</si>
  <si>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</si>
  <si>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</si>
  <si>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</si>
  <si>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</si>
  <si>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</si>
  <si>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</si>
  <si>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</si>
  <si>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</si>
  <si>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</si>
  <si>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</si>
  <si>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</si>
  <si>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</si>
  <si>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</si>
  <si>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</si>
  <si>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</si>
  <si>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</si>
  <si>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</si>
  <si>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</si>
  <si>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</si>
  <si>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</si>
  <si>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</si>
  <si>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</si>
  <si>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</si>
  <si>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</si>
  <si>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</si>
  <si>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</si>
  <si>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</si>
  <si>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</si>
  <si>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</si>
  <si>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</si>
  <si>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</si>
  <si>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</si>
  <si>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</si>
  <si>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</si>
  <si>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</si>
  <si>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</si>
  <si>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</si>
  <si>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</si>
  <si>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</si>
  <si>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</si>
  <si>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</si>
  <si>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</si>
  <si>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</si>
  <si>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</si>
  <si>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</si>
  <si>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</si>
  <si>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</si>
  <si>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</si>
  <si>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</si>
  <si>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</si>
  <si>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</si>
  <si>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</si>
  <si>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</si>
  <si>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</si>
  <si>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</si>
  <si>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</si>
  <si>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</si>
  <si>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</si>
  <si>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</si>
  <si>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</si>
  <si>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</si>
  <si>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</si>
  <si>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</si>
  <si>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</si>
  <si>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</si>
  <si>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</si>
  <si>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</si>
  <si>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</si>
  <si>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</si>
  <si>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</si>
  <si>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</si>
  <si>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</si>
  <si>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</si>
  <si>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</si>
  <si>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</si>
  <si>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</si>
  <si>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</si>
  <si>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</si>
  <si>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</si>
  <si>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</si>
  <si>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</si>
  <si>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</si>
  <si>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</si>
  <si>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</si>
  <si>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</si>
  <si>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</si>
  <si>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</si>
  <si>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</si>
  <si>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</si>
  <si>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</si>
  <si>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</si>
  <si>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</si>
  <si>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</si>
  <si>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</si>
  <si>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</si>
  <si>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</si>
  <si>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</si>
  <si>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</si>
  <si>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</si>
  <si>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</si>
  <si>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</si>
  <si>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</si>
  <si>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</si>
  <si>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</si>
  <si>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</si>
  <si>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</si>
  <si>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</si>
  <si>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</si>
  <si>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</si>
  <si>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</si>
  <si>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</si>
  <si>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</si>
  <si>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</si>
  <si>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</si>
  <si>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</si>
  <si>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</si>
  <si>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</si>
  <si>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</si>
  <si>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</si>
  <si>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</si>
  <si>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</si>
  <si>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</si>
  <si>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</si>
  <si>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</si>
  <si>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</si>
  <si>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</si>
  <si>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</si>
  <si>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</si>
  <si>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</si>
  <si>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</si>
  <si>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</si>
  <si>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</si>
  <si>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</si>
  <si>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</si>
  <si>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</si>
  <si>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</si>
  <si>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</si>
  <si>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</si>
  <si>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</si>
  <si>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</si>
  <si>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</si>
  <si>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</si>
  <si>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</si>
  <si>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</si>
  <si>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</si>
  <si>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</si>
  <si>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</si>
  <si>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</si>
  <si>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</si>
  <si>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</si>
  <si>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</si>
  <si>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</si>
  <si>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</si>
  <si>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</si>
  <si>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</si>
  <si>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</si>
  <si>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</si>
  <si>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</si>
  <si>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</si>
  <si>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</si>
  <si>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</si>
  <si>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</si>
  <si>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</si>
  <si>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</si>
  <si>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</si>
  <si>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</si>
  <si>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</si>
  <si>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</si>
  <si>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</si>
  <si>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</si>
  <si>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</si>
  <si>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</si>
  <si>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</si>
  <si>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</si>
  <si>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</si>
  <si>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</si>
  <si>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</si>
  <si>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</si>
  <si>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</si>
  <si>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</si>
  <si>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</si>
  <si>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</si>
  <si>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</si>
  <si>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</si>
  <si>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</si>
  <si>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</si>
  <si>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</si>
  <si>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</si>
  <si>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</si>
  <si>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</si>
  <si>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</si>
  <si>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</si>
  <si>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</si>
  <si>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</si>
  <si>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</si>
  <si>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</si>
  <si>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</si>
  <si>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</si>
  <si>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</si>
  <si>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</si>
  <si>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</si>
  <si>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</si>
  <si>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</si>
  <si>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</si>
  <si>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</si>
  <si>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</si>
  <si>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</si>
  <si>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</si>
  <si>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</si>
  <si>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</si>
  <si>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</si>
  <si>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</si>
  <si>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</si>
  <si>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</si>
  <si>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</si>
  <si>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</si>
  <si>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</si>
  <si>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</si>
  <si>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</si>
  <si>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</si>
  <si>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</si>
  <si>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</si>
  <si>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</si>
  <si>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</si>
  <si>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</si>
  <si>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</si>
  <si>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</si>
  <si>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</si>
  <si>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</si>
  <si>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</si>
  <si>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</si>
  <si>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</si>
  <si>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</si>
  <si>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</si>
  <si>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</si>
  <si>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</si>
  <si>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</si>
  <si>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</si>
  <si>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</si>
  <si>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</si>
  <si>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</si>
  <si>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</si>
  <si>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</si>
  <si>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</si>
  <si>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</si>
  <si>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</si>
  <si>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</si>
  <si>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</si>
  <si>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</si>
  <si>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</si>
  <si>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</si>
  <si>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</si>
  <si>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</si>
  <si>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</si>
  <si>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</si>
  <si>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</si>
  <si>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</si>
  <si>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</si>
  <si>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</si>
  <si>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</si>
  <si>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</si>
  <si>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</si>
  <si>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</si>
  <si>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</si>
  <si>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</si>
  <si>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</si>
  <si>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</si>
  <si>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</si>
  <si>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</si>
  <si>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</si>
  <si>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</si>
  <si>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</si>
  <si>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</si>
  <si>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</si>
  <si>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</si>
  <si>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</si>
  <si>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</si>
  <si>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</si>
  <si>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</si>
  <si>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</si>
  <si>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</si>
  <si>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</si>
  <si>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</si>
  <si>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</si>
  <si>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</si>
  <si>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</si>
  <si>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</si>
  <si>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</si>
  <si>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</si>
  <si>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</si>
  <si>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</si>
  <si>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</si>
  <si>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</si>
  <si>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</si>
  <si>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</si>
  <si>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</si>
  <si>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</si>
  <si>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</si>
  <si>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</si>
  <si>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</si>
  <si>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</si>
  <si>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</si>
  <si>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</si>
  <si>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</si>
  <si>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</si>
  <si>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</si>
  <si>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</si>
  <si>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</si>
  <si>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</si>
  <si>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</si>
  <si>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</si>
  <si>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</si>
  <si>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</si>
  <si>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</si>
  <si>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</si>
  <si>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</si>
  <si>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</si>
  <si>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</si>
  <si>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</si>
  <si>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</si>
  <si>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</si>
  <si>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</si>
  <si>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</si>
  <si>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</si>
  <si>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</si>
  <si>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</si>
  <si>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</si>
  <si>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</si>
  <si>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</si>
  <si>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</si>
  <si>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</si>
  <si>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</si>
  <si>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</si>
  <si>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</si>
  <si>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</si>
  <si>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</si>
  <si>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</si>
  <si>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</si>
  <si>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</si>
  <si>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</si>
  <si>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</si>
  <si>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</si>
  <si>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</si>
  <si>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</si>
  <si>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</si>
  <si>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</si>
  <si>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</si>
  <si>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</si>
  <si>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</si>
  <si>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</si>
  <si>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</si>
  <si>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</si>
  <si>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</si>
  <si>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</si>
  <si>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</si>
  <si>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</si>
  <si>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</si>
  <si>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</si>
  <si>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</si>
  <si>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</si>
  <si>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</si>
  <si>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</si>
  <si>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</si>
  <si>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</si>
  <si>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</si>
  <si>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</si>
  <si>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</si>
  <si>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</si>
  <si>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</si>
  <si>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</si>
  <si>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</si>
  <si>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</si>
  <si>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</si>
  <si>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</si>
  <si>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</si>
  <si>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</si>
  <si>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</si>
  <si>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</si>
  <si>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</si>
  <si>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</si>
  <si>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</si>
  <si>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</si>
  <si>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</si>
  <si>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</si>
  <si>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</si>
  <si>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</si>
  <si>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</si>
  <si>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</si>
  <si>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</si>
  <si>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</si>
  <si>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</si>
  <si>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</si>
  <si>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</si>
  <si>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</si>
  <si>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</si>
  <si>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</si>
  <si>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</si>
  <si>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</si>
  <si>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</si>
  <si>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</si>
  <si>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</si>
  <si>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</si>
  <si>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</si>
  <si>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</si>
  <si>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</si>
  <si>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</si>
  <si>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</si>
  <si>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</si>
  <si>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</si>
  <si>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</si>
  <si>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</si>
  <si>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</si>
  <si>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</si>
  <si>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</si>
  <si>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</si>
  <si>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</si>
  <si>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</si>
  <si>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</si>
  <si>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</si>
  <si>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</si>
  <si>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</si>
  <si>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</si>
  <si>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</si>
  <si>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</si>
  <si>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</si>
  <si>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</si>
  <si>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</si>
  <si>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</si>
  <si>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</si>
  <si>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</si>
  <si>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</si>
  <si>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</si>
  <si>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</si>
  <si>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</si>
  <si>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</si>
  <si>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</si>
  <si>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</si>
  <si>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</si>
  <si>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</si>
  <si>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</si>
  <si>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</si>
  <si>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</si>
  <si>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</si>
  <si>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</si>
  <si>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</si>
  <si>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</si>
  <si>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</si>
  <si>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</si>
  <si>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</si>
  <si>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</si>
  <si>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</si>
  <si>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</si>
  <si>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</si>
  <si>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</si>
  <si>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</si>
  <si>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</si>
  <si>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</si>
  <si>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</si>
  <si>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</si>
  <si>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</si>
  <si>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</si>
  <si>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</si>
  <si>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</si>
  <si>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</si>
  <si>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</si>
  <si>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</si>
  <si>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</si>
  <si>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</si>
  <si>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</si>
  <si>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</si>
  <si>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</si>
  <si>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</si>
  <si>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</si>
  <si>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</si>
  <si>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</si>
  <si>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</si>
  <si>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</si>
  <si>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</si>
  <si>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</si>
  <si>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</si>
  <si>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</si>
  <si>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</si>
  <si>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</si>
  <si>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</si>
  <si>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</si>
  <si>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</si>
  <si>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</si>
  <si>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</si>
  <si>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</si>
  <si>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</si>
  <si>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</si>
  <si>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</si>
  <si>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</si>
  <si>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</si>
  <si>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</si>
  <si>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</si>
  <si>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</si>
  <si>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</si>
  <si>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</si>
  <si>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</si>
  <si>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</si>
  <si>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</si>
  <si>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</si>
  <si>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</si>
  <si>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</si>
  <si>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</si>
  <si>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</si>
  <si>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</si>
  <si>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</si>
  <si>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</si>
  <si>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</si>
  <si>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</si>
  <si>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</si>
  <si>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</si>
  <si>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</si>
  <si>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</si>
  <si>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</si>
  <si>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</si>
  <si>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</si>
  <si>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</si>
  <si>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</si>
  <si>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</si>
  <si>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</si>
  <si>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</si>
  <si>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</si>
  <si>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</si>
  <si>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</si>
  <si>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</si>
  <si>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</si>
  <si>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</si>
  <si>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</si>
  <si>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</si>
  <si>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</si>
  <si>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</si>
  <si>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</si>
  <si>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</si>
  <si>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</si>
  <si>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</si>
  <si>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</si>
  <si>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</si>
  <si>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</si>
  <si>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</si>
  <si>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</si>
  <si>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</si>
  <si>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</si>
  <si>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</si>
  <si>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</si>
  <si>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</si>
  <si>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</si>
  <si>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</si>
  <si>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</si>
  <si>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</si>
  <si>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</si>
  <si>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</si>
  <si>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</si>
  <si>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</si>
  <si>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</si>
  <si>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</si>
  <si>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</si>
  <si>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</si>
  <si>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</si>
  <si>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</si>
  <si>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</si>
  <si>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</si>
  <si>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</si>
  <si>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</si>
  <si>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</si>
  <si>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</si>
  <si>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</si>
  <si>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</si>
  <si>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</si>
  <si>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</si>
  <si>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</si>
  <si>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</si>
  <si>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</si>
  <si>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</si>
  <si>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</si>
  <si>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</si>
  <si>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</si>
  <si>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</si>
  <si>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</si>
  <si>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</si>
  <si>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</si>
  <si>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</si>
  <si>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</si>
  <si>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</si>
  <si>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</si>
  <si>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</si>
  <si>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</si>
  <si>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</si>
  <si>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</si>
  <si>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</si>
  <si>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</si>
  <si>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</si>
  <si>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</si>
  <si>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</si>
  <si>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</si>
  <si>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</si>
  <si>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</si>
  <si>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</si>
  <si>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</si>
  <si>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</si>
  <si>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</si>
  <si>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</si>
  <si>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</si>
  <si>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</si>
  <si>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</si>
  <si>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</si>
  <si>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</si>
  <si>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</si>
  <si>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</si>
  <si>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</si>
  <si>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</si>
  <si>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</si>
  <si>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</si>
  <si>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</si>
  <si>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</si>
  <si>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</si>
  <si>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</si>
  <si>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</si>
  <si>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</si>
  <si>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</si>
  <si>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</si>
  <si>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</si>
  <si>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</si>
  <si>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</si>
  <si>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</si>
  <si>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</si>
  <si>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</si>
  <si>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</si>
  <si>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</si>
  <si>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</si>
  <si>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</si>
  <si>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</si>
  <si>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</si>
  <si>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</si>
  <si>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</si>
  <si>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</si>
  <si>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</si>
  <si>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</si>
  <si>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</si>
  <si>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</si>
  <si>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</si>
  <si>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</si>
  <si>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</si>
  <si>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</si>
  <si>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</si>
  <si>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</si>
  <si>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</si>
  <si>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</si>
  <si>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</si>
  <si>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</si>
  <si>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</si>
  <si>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</si>
  <si>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</si>
  <si>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</si>
  <si>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</si>
  <si>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</si>
  <si>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</si>
  <si>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</si>
  <si>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</si>
  <si>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</si>
  <si>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</si>
  <si>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</si>
  <si>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</si>
  <si>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</si>
  <si>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</si>
  <si>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</si>
  <si>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</si>
  <si>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</si>
  <si>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</si>
  <si>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</si>
  <si>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</si>
  <si>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</si>
  <si>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</si>
  <si>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</si>
  <si>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</si>
  <si>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</si>
  <si>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</si>
  <si>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</si>
  <si>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</si>
  <si>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</si>
  <si>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</si>
  <si>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</si>
  <si>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</si>
  <si>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</si>
  <si>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</si>
  <si>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</si>
  <si>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</si>
  <si>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</si>
  <si>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</si>
  <si>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</si>
  <si>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</si>
  <si>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</si>
  <si>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</si>
  <si>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</si>
  <si>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</si>
  <si>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</si>
  <si>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</si>
  <si>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</si>
  <si>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</si>
  <si>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</si>
  <si>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</si>
  <si>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</si>
  <si>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</si>
  <si>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</si>
  <si>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</si>
  <si>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</si>
  <si>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</si>
  <si>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</si>
  <si>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</si>
  <si>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</si>
  <si>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</si>
  <si>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</si>
  <si>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</si>
  <si>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</si>
  <si>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</si>
  <si>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</si>
  <si>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</si>
  <si>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</si>
  <si>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</si>
  <si>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</si>
  <si>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</si>
  <si>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</si>
  <si>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</si>
  <si>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</si>
  <si>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</si>
  <si>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</si>
  <si>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</si>
  <si>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</si>
  <si>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</si>
  <si>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</si>
  <si>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</si>
  <si>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</si>
  <si>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</si>
  <si>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</si>
  <si>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</si>
  <si>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</si>
  <si>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</si>
  <si>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</si>
  <si>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</si>
  <si>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</si>
  <si>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</si>
  <si>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</si>
  <si>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</si>
  <si>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</si>
  <si>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</si>
  <si>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</si>
  <si>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</si>
  <si>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</si>
  <si>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</si>
  <si>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</si>
  <si>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</si>
  <si>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</si>
  <si>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</si>
  <si>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</si>
  <si>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</si>
  <si>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</si>
  <si>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</si>
  <si>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</si>
  <si>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</si>
  <si>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</si>
  <si>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</si>
  <si>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</si>
  <si>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</si>
  <si>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</si>
  <si>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</si>
  <si>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</si>
  <si>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</si>
  <si>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</si>
  <si>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</si>
  <si>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</si>
  <si>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</si>
  <si>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</si>
  <si>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</si>
  <si>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</si>
  <si>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</si>
  <si>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</si>
  <si>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</si>
  <si>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</si>
  <si>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</si>
  <si>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</si>
  <si>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</si>
  <si>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</si>
  <si>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</si>
  <si>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</si>
  <si>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</si>
  <si>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</si>
  <si>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</si>
  <si>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</si>
  <si>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</si>
  <si>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</si>
  <si>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</si>
  <si>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</si>
  <si>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</si>
  <si>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</si>
  <si>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</si>
  <si>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</si>
  <si>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</si>
  <si>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</si>
  <si>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</si>
  <si>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</si>
  <si>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</si>
  <si>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</si>
  <si>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</si>
  <si>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</si>
  <si>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</si>
  <si>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</si>
  <si>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</si>
  <si>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</si>
  <si>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</si>
  <si>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</si>
  <si>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</si>
  <si>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</si>
  <si>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</si>
  <si>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</si>
  <si>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</si>
  <si>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</si>
  <si>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</si>
  <si>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</si>
  <si>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</si>
  <si>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</si>
  <si>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</si>
  <si>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</si>
  <si>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</si>
  <si>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</si>
  <si>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</si>
  <si>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</si>
  <si>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</si>
  <si>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</si>
  <si>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</si>
  <si>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</si>
  <si>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</si>
  <si>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</si>
  <si>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</si>
  <si>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</si>
  <si>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</si>
  <si>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</si>
  <si>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</si>
  <si>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</si>
  <si>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</si>
  <si>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</si>
  <si>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</si>
  <si>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</si>
  <si>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</si>
  <si>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</si>
  <si>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</si>
  <si>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</si>
  <si>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</si>
  <si>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</si>
  <si>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</si>
  <si>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</si>
  <si>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</si>
  <si>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</si>
  <si>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</si>
  <si>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</si>
  <si>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</si>
  <si>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</si>
  <si>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</si>
  <si>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</si>
  <si>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</si>
  <si>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</si>
  <si>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</si>
  <si>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</si>
  <si>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</si>
  <si>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</si>
  <si>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</si>
  <si>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</si>
  <si>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</si>
  <si>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</si>
  <si>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</si>
  <si>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</si>
  <si>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</si>
  <si>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</si>
  <si>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</si>
  <si>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</si>
  <si>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</si>
  <si>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</si>
  <si>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</si>
  <si>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</si>
  <si>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</si>
  <si>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</si>
  <si>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</si>
  <si>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</si>
  <si>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</si>
  <si>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</si>
  <si>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</si>
  <si>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</si>
  <si>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</si>
  <si>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</si>
  <si>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</si>
  <si>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</si>
  <si>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</si>
  <si>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</si>
  <si>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</si>
  <si>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</si>
  <si>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</si>
  <si>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</si>
  <si>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</si>
  <si>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</si>
  <si>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</si>
  <si>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</si>
  <si>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</si>
  <si>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</si>
  <si>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</si>
  <si>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</si>
  <si>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</si>
  <si>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</si>
  <si>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</si>
  <si>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</si>
  <si>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</si>
  <si>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</si>
  <si>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</si>
  <si>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</si>
  <si>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</si>
  <si>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</si>
  <si>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</si>
  <si>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</si>
  <si>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</si>
  <si>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</si>
  <si>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</si>
  <si>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</si>
  <si>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</si>
  <si>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</si>
  <si>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</si>
  <si>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</si>
  <si>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</si>
  <si>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</si>
  <si>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</si>
  <si>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</si>
  <si>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</si>
  <si>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</si>
  <si>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</si>
  <si>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</si>
  <si>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</si>
  <si>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</si>
  <si>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</si>
  <si>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</si>
  <si>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</si>
  <si>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</si>
  <si>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</si>
  <si>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</si>
  <si>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</si>
  <si>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</si>
  <si>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</si>
  <si>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</si>
  <si>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</si>
  <si>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</si>
  <si>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</si>
  <si>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</si>
  <si>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</si>
  <si>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</si>
  <si>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</si>
  <si>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</si>
  <si>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</si>
  <si>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</si>
  <si>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</si>
  <si>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</si>
  <si>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</si>
  <si>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</si>
  <si>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</si>
  <si>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</si>
  <si>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</si>
  <si>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</si>
  <si>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</si>
  <si>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</si>
  <si>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</si>
  <si>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</si>
  <si>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</si>
  <si>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</si>
  <si>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</si>
  <si>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</si>
  <si>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</si>
  <si>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</si>
  <si>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</si>
  <si>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</si>
  <si>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</si>
  <si>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</si>
  <si>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</si>
  <si>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</si>
  <si>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</si>
  <si>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</si>
  <si>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</si>
  <si>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</si>
  <si>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</si>
  <si>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</si>
  <si>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</si>
  <si>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</si>
  <si>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</si>
  <si>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</si>
  <si>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</si>
  <si>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</si>
  <si>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</si>
  <si>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</si>
  <si>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</si>
  <si>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</si>
  <si>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</si>
  <si>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</si>
  <si>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</si>
  <si>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</si>
  <si>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</si>
  <si>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</si>
  <si>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</si>
  <si>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</si>
  <si>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</si>
  <si>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</si>
  <si>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</si>
  <si>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</si>
  <si>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</si>
  <si>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</si>
  <si>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</si>
  <si>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</si>
  <si>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</si>
  <si>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</si>
  <si>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</si>
  <si>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</si>
  <si>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</si>
  <si>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</si>
  <si>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</si>
  <si>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</si>
  <si>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</si>
  <si>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</si>
  <si>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</si>
  <si>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</si>
  <si>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</si>
  <si>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</si>
  <si>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</si>
  <si>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</si>
  <si>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</si>
  <si>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</si>
  <si>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</si>
  <si>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</si>
  <si>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</si>
  <si>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</si>
  <si>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</si>
  <si>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</si>
  <si>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</si>
  <si>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</si>
  <si>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</si>
  <si>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</si>
  <si>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</si>
  <si>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</si>
  <si>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</si>
  <si>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</si>
  <si>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</si>
  <si>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</si>
  <si>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</si>
  <si>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</si>
  <si>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</si>
  <si>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</si>
  <si>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Johnson, Alexander, Massac, Pulaski, Union</t>
  </si>
  <si>
    <t>Second &amp; Washington Street</t>
  </si>
  <si>
    <t>Tamms</t>
  </si>
  <si>
    <t>patrictharner@fivecountyrvs.com</t>
  </si>
  <si>
    <t>Beussink, Hey, Roe &amp; Stroder, LLC</t>
  </si>
  <si>
    <t>Jeffrey C. Stroder, CPA</t>
  </si>
  <si>
    <t>16 South Silver Springs Road</t>
  </si>
  <si>
    <t>Cape Girardeau</t>
  </si>
  <si>
    <t>MO</t>
  </si>
  <si>
    <t>573-334-7971</t>
  </si>
  <si>
    <t>573-334-8875</t>
  </si>
  <si>
    <t>066-003889</t>
  </si>
  <si>
    <t>jstroder@bhrcpas.com</t>
  </si>
  <si>
    <t>No Contracts</t>
  </si>
  <si>
    <t>Page 10, Line 107 - Fund 10 - Other Local Revenues (1999):</t>
  </si>
  <si>
    <t>Union County CEO Program</t>
  </si>
  <si>
    <t>Page 12, Line 18 - Fund 10 - Other Restricted Revenue (3999):</t>
  </si>
  <si>
    <t>FY21 Maintenance Grant</t>
  </si>
  <si>
    <t xml:space="preserve">  </t>
  </si>
  <si>
    <t>Page 13, Line 220 - Fund 10 - CTE Other (4799):</t>
  </si>
  <si>
    <t>V.E. Perkins - Title IIC Secondary (4745)</t>
  </si>
  <si>
    <t>Page 16, Line 83 - Fund 10 - Other Payments to Instate Govt units</t>
  </si>
  <si>
    <t>CTEI Vienna High School Equipment</t>
  </si>
  <si>
    <t>CTEI Vienna High School Supplies</t>
  </si>
  <si>
    <t>CTEI Anna-Jonesboro Supplies</t>
  </si>
  <si>
    <t>CTEI Cobden Supplies</t>
  </si>
  <si>
    <t>CTEI Anna-Jonesboro Equipment</t>
  </si>
  <si>
    <t>CTEI Vienna High School Purchased Services</t>
  </si>
  <si>
    <t>CTEI Massac Purchased Services</t>
  </si>
  <si>
    <t>CTEI Shawnee HS Purchased Services</t>
  </si>
  <si>
    <t>None</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</si>
  <si>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</si>
  <si>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</si>
  <si>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</si>
  <si>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</si>
  <si>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</si>
  <si>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</si>
  <si>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</si>
  <si>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</si>
  <si>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</si>
  <si>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</si>
  <si>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</si>
  <si>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</si>
  <si>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</si>
  <si>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</si>
  <si>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</si>
  <si>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</si>
  <si>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</si>
  <si>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</si>
  <si>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</si>
  <si>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</si>
  <si>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</si>
  <si>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</si>
  <si>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</si>
  <si>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</si>
  <si>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</si>
  <si>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</si>
  <si>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</si>
  <si>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</si>
  <si>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</si>
  <si>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</si>
  <si>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</si>
  <si>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</si>
  <si>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</si>
  <si>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</si>
  <si>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</si>
  <si>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</si>
  <si>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</si>
  <si>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The budget must be submitted to the Illinois State Board of Education per their requirement of October 31st each year.</t>
  </si>
  <si>
    <t>The budget was filed with the Illinois State Board of Education on January 30, 2020.</t>
  </si>
  <si>
    <t>The District did not timely file their budget pursuant to the Illinois State Board of Education requirements.</t>
  </si>
  <si>
    <t>The District is not in compliance with the Illinois State Board of Education requirements.</t>
  </si>
  <si>
    <t>The District did not submit the budget form timely.</t>
  </si>
  <si>
    <t>We recommend that the District submit the budget form to the Illinois State Board of Education by the deadline of October 31st each year.</t>
  </si>
  <si>
    <t>We will ensure the budget is filed timely going forward.</t>
  </si>
  <si>
    <t xml:space="preserve">The financial statements are presented in a format that complies with regulatory provisions by the Illinois State Board of Education, whose practices differ from accounting principles generally accepted in the United States of America. </t>
  </si>
  <si>
    <t xml:space="preserve">  Five County Reg Voc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</si>
</sst>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44" fontId="142" fillId="0" borderId="0" applyFont="0" applyFill="0" applyBorder="0" applyAlignment="0" applyProtection="0"/>
    <xf numFmtId="0" fontId="2"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42" fontId="58" fillId="0" borderId="164" xfId="20" applyNumberFormat="1" applyFont="1" applyBorder="1"/>
    <xf numFmtId="41" fontId="58" fillId="0" borderId="0" xfId="0" applyNumberFormat="1" applyFont="1"/>
    <xf numFmtId="41" fontId="58" fillId="0" borderId="78" xfId="0" applyNumberFormat="1" applyFont="1" applyBorder="1"/>
    <xf numFmtId="185" fontId="58" fillId="0" borderId="164" xfId="0" applyNumberFormat="1" applyFont="1" applyBorder="1"/>
    <xf numFmtId="185" fontId="58" fillId="0" borderId="0" xfId="0" applyNumberFormat="1" applyFont="1"/>
    <xf numFmtId="0" fontId="58" fillId="0" borderId="0" xfId="3" applyFont="1" applyAlignment="1">
      <alignment horizontal="center" vertical="center"/>
    </xf>
    <xf numFmtId="0" fontId="58" fillId="0" borderId="165" xfId="3" applyFont="1" applyBorder="1" applyAlignment="1">
      <alignment vertical="center"/>
    </xf>
    <xf numFmtId="0" fontId="58" fillId="0" borderId="166" xfId="3" applyFont="1" applyBorder="1" applyAlignment="1">
      <alignment vertical="center"/>
    </xf>
    <xf numFmtId="0" fontId="66" fillId="0" borderId="166" xfId="3" applyFont="1" applyBorder="1" applyAlignment="1">
      <alignment horizontal="center" vertical="center"/>
    </xf>
    <xf numFmtId="0" fontId="66" fillId="0" borderId="166" xfId="3" applyFont="1" applyBorder="1" applyAlignment="1">
      <alignment horizontal="left" vertical="center"/>
    </xf>
    <xf numFmtId="0" fontId="58" fillId="0" borderId="167" xfId="3" applyFont="1" applyBorder="1" applyAlignment="1">
      <alignment vertical="center"/>
    </xf>
    <xf numFmtId="0" fontId="2" fillId="0" borderId="0" xfId="21"/>
    <xf numFmtId="0" fontId="58" fillId="0" borderId="168" xfId="3" applyFont="1" applyBorder="1" applyAlignment="1">
      <alignment vertical="center"/>
    </xf>
    <xf numFmtId="0" fontId="66" fillId="0" borderId="0" xfId="3" applyFont="1" applyAlignment="1">
      <alignment horizontal="left" vertical="center"/>
    </xf>
    <xf numFmtId="0" fontId="58" fillId="0" borderId="169" xfId="3" applyFont="1" applyBorder="1" applyAlignment="1">
      <alignment vertical="center"/>
    </xf>
    <xf numFmtId="0" fontId="66" fillId="22" borderId="170"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1"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70"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1"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1" applyFont="1" applyBorder="1" applyAlignment="1">
      <alignment horizontal="center" vertical="center" wrapText="1"/>
    </xf>
    <xf numFmtId="0" fontId="66" fillId="0" borderId="125" xfId="3" applyFont="1" applyBorder="1" applyAlignment="1">
      <alignment horizontal="center" vertical="center"/>
    </xf>
    <xf numFmtId="164" fontId="66" fillId="0" borderId="172"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2"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8"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8" xfId="3" applyFont="1" applyBorder="1" applyAlignment="1">
      <alignment vertical="center"/>
    </xf>
    <xf numFmtId="0" fontId="58" fillId="0" borderId="168"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8"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3" xfId="3" applyFont="1" applyBorder="1" applyAlignment="1">
      <alignment vertical="center"/>
    </xf>
    <xf numFmtId="0" fontId="58" fillId="0" borderId="174" xfId="3" applyFont="1" applyBorder="1" applyAlignment="1">
      <alignment vertical="center"/>
    </xf>
    <xf numFmtId="0" fontId="58" fillId="0" borderId="175" xfId="3" applyFont="1" applyBorder="1" applyAlignment="1">
      <alignment vertical="center"/>
    </xf>
    <xf numFmtId="0" fontId="58" fillId="0" borderId="168" xfId="21" applyFont="1" applyBorder="1"/>
    <xf numFmtId="0" fontId="58" fillId="0" borderId="0" xfId="21" applyFont="1"/>
    <xf numFmtId="0" fontId="58" fillId="0" borderId="169" xfId="21" applyFont="1" applyBorder="1"/>
    <xf numFmtId="0" fontId="58" fillId="0" borderId="168" xfId="21" applyFont="1" applyBorder="1" applyAlignment="1">
      <alignment wrapText="1"/>
    </xf>
    <xf numFmtId="0" fontId="58" fillId="0" borderId="0" xfId="21" applyFont="1" applyAlignment="1">
      <alignment wrapText="1"/>
    </xf>
    <xf numFmtId="0" fontId="58" fillId="0" borderId="169" xfId="21" applyFont="1" applyBorder="1" applyAlignment="1">
      <alignment wrapText="1"/>
    </xf>
    <xf numFmtId="0" fontId="144" fillId="0" borderId="168" xfId="21" applyFont="1" applyBorder="1"/>
    <xf numFmtId="0" fontId="89" fillId="0" borderId="0" xfId="21" applyFont="1"/>
    <xf numFmtId="0" fontId="100" fillId="0" borderId="0" xfId="21" applyFont="1" applyAlignment="1">
      <alignment wrapText="1"/>
    </xf>
    <xf numFmtId="0" fontId="100" fillId="0" borderId="169" xfId="21" applyFont="1" applyBorder="1" applyAlignment="1">
      <alignment wrapText="1"/>
    </xf>
    <xf numFmtId="0" fontId="58" fillId="27" borderId="77" xfId="21" applyFont="1" applyFill="1" applyBorder="1"/>
    <xf numFmtId="0" fontId="102" fillId="0" borderId="77" xfId="21" applyFont="1" applyBorder="1" applyAlignment="1">
      <alignment horizontal="center" wrapText="1"/>
    </xf>
    <xf numFmtId="0" fontId="58" fillId="27" borderId="77" xfId="21" applyFont="1" applyFill="1" applyBorder="1" applyAlignment="1">
      <alignment horizontal="center"/>
    </xf>
    <xf numFmtId="0" fontId="102" fillId="0" borderId="183" xfId="21" applyFont="1" applyBorder="1" applyAlignment="1">
      <alignment horizontal="center" wrapText="1"/>
    </xf>
    <xf numFmtId="0" fontId="58" fillId="0" borderId="185" xfId="21" applyFont="1" applyBorder="1" applyAlignment="1">
      <alignment horizontal="center"/>
    </xf>
    <xf numFmtId="38" fontId="66" fillId="26" borderId="186" xfId="21" applyNumberFormat="1" applyFont="1" applyFill="1" applyBorder="1" applyAlignment="1" applyProtection="1">
      <alignment horizontal="center"/>
      <protection locked="0"/>
    </xf>
    <xf numFmtId="38" fontId="58" fillId="27" borderId="0" xfId="21" applyNumberFormat="1" applyFont="1" applyFill="1" applyAlignment="1">
      <alignment horizontal="center"/>
    </xf>
    <xf numFmtId="38" fontId="58" fillId="0" borderId="187" xfId="21" applyNumberFormat="1" applyFont="1" applyBorder="1" applyAlignment="1" applyProtection="1">
      <alignment horizontal="center"/>
      <protection locked="0"/>
    </xf>
    <xf numFmtId="38" fontId="58" fillId="0" borderId="185" xfId="21" applyNumberFormat="1" applyFont="1" applyBorder="1" applyAlignment="1" applyProtection="1">
      <alignment horizontal="center"/>
      <protection locked="0"/>
    </xf>
    <xf numFmtId="38" fontId="66" fillId="16" borderId="188" xfId="21" applyNumberFormat="1" applyFont="1" applyFill="1" applyBorder="1" applyAlignment="1">
      <alignment horizontal="center" wrapText="1"/>
    </xf>
    <xf numFmtId="0" fontId="58" fillId="0" borderId="190" xfId="21" applyFont="1" applyBorder="1" applyAlignment="1">
      <alignment horizontal="center"/>
    </xf>
    <xf numFmtId="38" fontId="66" fillId="26" borderId="191" xfId="21" applyNumberFormat="1" applyFont="1" applyFill="1" applyBorder="1" applyAlignment="1" applyProtection="1">
      <alignment horizontal="center"/>
      <protection locked="0"/>
    </xf>
    <xf numFmtId="38" fontId="58" fillId="0" borderId="192" xfId="21" applyNumberFormat="1" applyFont="1" applyBorder="1" applyAlignment="1" applyProtection="1">
      <alignment horizontal="center"/>
      <protection locked="0"/>
    </xf>
    <xf numFmtId="38" fontId="58" fillId="0" borderId="190" xfId="21" applyNumberFormat="1" applyFont="1" applyBorder="1" applyAlignment="1" applyProtection="1">
      <alignment horizontal="center"/>
      <protection locked="0"/>
    </xf>
    <xf numFmtId="0" fontId="58" fillId="0" borderId="194" xfId="21" applyFont="1" applyBorder="1" applyAlignment="1">
      <alignment horizontal="center"/>
    </xf>
    <xf numFmtId="38" fontId="66" fillId="26" borderId="195" xfId="21" applyNumberFormat="1" applyFont="1" applyFill="1" applyBorder="1" applyAlignment="1" applyProtection="1">
      <alignment horizontal="center"/>
      <protection locked="0"/>
    </xf>
    <xf numFmtId="38" fontId="58" fillId="0" borderId="196" xfId="21" applyNumberFormat="1" applyFont="1" applyBorder="1" applyAlignment="1" applyProtection="1">
      <alignment horizontal="center"/>
      <protection locked="0"/>
    </xf>
    <xf numFmtId="38" fontId="58" fillId="0" borderId="194" xfId="21" applyNumberFormat="1" applyFont="1" applyBorder="1" applyAlignment="1" applyProtection="1">
      <alignment horizontal="center"/>
      <protection locked="0"/>
    </xf>
    <xf numFmtId="38" fontId="66" fillId="16" borderId="77" xfId="21" applyNumberFormat="1" applyFont="1" applyFill="1" applyBorder="1" applyAlignment="1">
      <alignment horizontal="center"/>
    </xf>
    <xf numFmtId="38" fontId="66" fillId="27" borderId="77" xfId="21" applyNumberFormat="1" applyFont="1" applyFill="1" applyBorder="1" applyAlignment="1">
      <alignment horizontal="center"/>
    </xf>
    <xf numFmtId="38" fontId="66" fillId="16" borderId="183" xfId="21" applyNumberFormat="1" applyFont="1" applyFill="1" applyBorder="1" applyAlignment="1">
      <alignment horizontal="center"/>
    </xf>
    <xf numFmtId="0" fontId="101" fillId="0" borderId="168" xfId="21" applyFont="1" applyBorder="1"/>
    <xf numFmtId="0" fontId="101" fillId="0" borderId="0" xfId="21" applyFont="1"/>
    <xf numFmtId="0" fontId="145" fillId="0" borderId="0" xfId="21" applyFont="1"/>
    <xf numFmtId="0" fontId="101" fillId="0" borderId="169" xfId="21" applyFont="1" applyBorder="1"/>
    <xf numFmtId="0" fontId="100" fillId="0" borderId="168" xfId="21" applyFont="1" applyBorder="1"/>
    <xf numFmtId="0" fontId="101" fillId="0" borderId="173" xfId="21" applyFont="1" applyBorder="1"/>
    <xf numFmtId="0" fontId="101" fillId="0" borderId="174" xfId="21" applyFont="1" applyBorder="1"/>
    <xf numFmtId="0" fontId="101" fillId="0" borderId="175" xfId="21" applyFont="1" applyBorder="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146" fillId="0" borderId="0" xfId="21" applyFont="1" applyAlignment="1">
      <alignment horizontal="left" vertical="center" wrapText="1"/>
    </xf>
    <xf numFmtId="0" fontId="102" fillId="0" borderId="0" xfId="21" applyFont="1" applyAlignment="1">
      <alignment horizontal="center" vertical="top" wrapText="1"/>
    </xf>
    <xf numFmtId="0" fontId="102" fillId="0" borderId="169" xfId="21" applyFont="1" applyBorder="1" applyAlignment="1">
      <alignment horizontal="center" vertical="top" wrapText="1"/>
    </xf>
    <xf numFmtId="0" fontId="146" fillId="0" borderId="174" xfId="21" applyFont="1" applyBorder="1" applyAlignment="1">
      <alignment horizontal="left" vertical="center" wrapText="1"/>
    </xf>
    <xf numFmtId="0" fontId="58" fillId="0" borderId="189" xfId="21" applyFont="1" applyBorder="1"/>
    <xf numFmtId="0" fontId="58" fillId="0" borderId="190" xfId="21" applyFont="1" applyBorder="1"/>
    <xf numFmtId="0" fontId="58" fillId="0" borderId="193" xfId="21" applyFont="1" applyBorder="1"/>
    <xf numFmtId="0" fontId="58" fillId="0" borderId="194" xfId="21" applyFont="1" applyBorder="1"/>
    <xf numFmtId="0" fontId="66" fillId="0" borderId="181" xfId="21" applyFont="1" applyBorder="1"/>
    <xf numFmtId="0" fontId="66" fillId="0" borderId="77" xfId="21" applyFont="1" applyBorder="1"/>
    <xf numFmtId="0" fontId="146" fillId="0" borderId="169" xfId="21"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80" xfId="3" applyNumberFormat="1" applyFont="1" applyBorder="1" applyAlignment="1">
      <alignment horizontal="left" vertical="center" indent="1"/>
    </xf>
    <xf numFmtId="0" fontId="58" fillId="27" borderId="181" xfId="21" applyFont="1" applyFill="1" applyBorder="1"/>
    <xf numFmtId="0" fontId="58" fillId="27" borderId="77" xfId="21" applyFont="1" applyFill="1" applyBorder="1"/>
    <xf numFmtId="0" fontId="66" fillId="0" borderId="166" xfId="21" applyFont="1" applyBorder="1" applyAlignment="1">
      <alignment horizontal="center" wrapText="1"/>
    </xf>
    <xf numFmtId="0" fontId="66" fillId="0" borderId="167" xfId="21" applyFont="1" applyBorder="1" applyAlignment="1">
      <alignment horizontal="center" wrapText="1"/>
    </xf>
    <xf numFmtId="0" fontId="102" fillId="0" borderId="182" xfId="21" applyFont="1" applyBorder="1" applyAlignment="1">
      <alignment horizontal="center"/>
    </xf>
    <xf numFmtId="0" fontId="102" fillId="0" borderId="78" xfId="21" applyFont="1" applyBorder="1" applyAlignment="1">
      <alignment horizontal="center"/>
    </xf>
    <xf numFmtId="0" fontId="102" fillId="0" borderId="99" xfId="21" applyFont="1" applyBorder="1" applyAlignment="1">
      <alignment horizontal="center"/>
    </xf>
    <xf numFmtId="0" fontId="58" fillId="0" borderId="184" xfId="21" applyFont="1" applyBorder="1"/>
    <xf numFmtId="0" fontId="58" fillId="0" borderId="185" xfId="21" applyFont="1" applyBorder="1"/>
    <xf numFmtId="0" fontId="58" fillId="0" borderId="189" xfId="21" applyFont="1" applyBorder="1" applyAlignment="1">
      <alignment wrapText="1"/>
    </xf>
    <xf numFmtId="0" fontId="58" fillId="0" borderId="190" xfId="21" applyFont="1" applyBorder="1" applyAlignment="1">
      <alignment wrapText="1"/>
    </xf>
    <xf numFmtId="0" fontId="58" fillId="0" borderId="126" xfId="3" applyFont="1" applyBorder="1" applyAlignment="1">
      <alignment horizontal="left" vertical="center" indent="1"/>
    </xf>
    <xf numFmtId="0" fontId="58" fillId="0" borderId="179"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3" fillId="0" borderId="176" xfId="21" applyFont="1" applyBorder="1" applyAlignment="1">
      <alignment horizontal="center"/>
    </xf>
    <xf numFmtId="0" fontId="143" fillId="0" borderId="177" xfId="21" applyFont="1" applyBorder="1" applyAlignment="1">
      <alignment horizontal="center"/>
    </xf>
    <xf numFmtId="0" fontId="143" fillId="0" borderId="178" xfId="21" applyFont="1" applyBorder="1" applyAlignment="1">
      <alignment horizontal="center"/>
    </xf>
    <xf numFmtId="0" fontId="58" fillId="0" borderId="168" xfId="21" applyFont="1" applyBorder="1" applyAlignment="1">
      <alignment wrapText="1"/>
    </xf>
    <xf numFmtId="0" fontId="58" fillId="0" borderId="0" xfId="21" applyFont="1" applyAlignment="1">
      <alignment wrapText="1"/>
    </xf>
    <xf numFmtId="0" fontId="58" fillId="0" borderId="169" xfId="2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8"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1"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E996CB69-BC0B-4ADC-BB4C-5D42E1AE360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D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1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1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2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2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2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2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2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140277</xdr:colOff>
          <xdr:row>2</xdr:row>
          <xdr:rowOff>148070</xdr:rowOff>
        </xdr:from>
        <xdr:to>
          <xdr:col>1</xdr:col>
          <xdr:colOff>1054677</xdr:colOff>
          <xdr:row>7</xdr:row>
          <xdr:rowOff>37234</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5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sbe.net/Pages/ebfdistribution.aspx"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8.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5">
        <f>+'AFR20'!E4</f>
        <v>44119</v>
      </c>
      <c r="C1" s="2035"/>
      <c r="D1" s="2036"/>
      <c r="I1" s="2114" t="s">
        <v>402</v>
      </c>
      <c r="J1" s="2115"/>
      <c r="K1" s="2115"/>
      <c r="L1" s="2115"/>
      <c r="M1" s="2115"/>
      <c r="N1" s="2115"/>
      <c r="O1" s="2115"/>
      <c r="P1" s="2115"/>
      <c r="Q1" s="2115"/>
      <c r="R1" s="2115"/>
      <c r="S1" s="2115"/>
    </row>
    <row r="2" spans="1:32" ht="12" customHeight="1" x14ac:dyDescent="0.2">
      <c r="A2" s="1824" t="str">
        <f>"Due to ISBE on "</f>
        <v xml:space="preserve">Due to ISBE on </v>
      </c>
      <c r="B2" s="2037">
        <f>+'AFR20'!F4</f>
        <v>44151</v>
      </c>
      <c r="C2" s="2037"/>
      <c r="D2" s="2038"/>
      <c r="I2" s="2116" t="s">
        <v>2006</v>
      </c>
      <c r="J2" s="2115"/>
      <c r="K2" s="2115"/>
      <c r="L2" s="2115"/>
      <c r="M2" s="2115"/>
      <c r="N2" s="2115"/>
      <c r="O2" s="2115"/>
      <c r="P2" s="2115"/>
      <c r="Q2" s="2115"/>
      <c r="R2" s="2115"/>
      <c r="S2" s="2115"/>
    </row>
    <row r="3" spans="1:32" ht="12" customHeight="1" x14ac:dyDescent="0.2">
      <c r="A3" s="1827" t="str">
        <f>"SD/JA"&amp;MID('AFR20'!E2,3,2)</f>
        <v>SD/JA20</v>
      </c>
      <c r="B3" s="151"/>
      <c r="C3" s="151"/>
      <c r="D3" s="152"/>
      <c r="I3" s="2116" t="s">
        <v>52</v>
      </c>
      <c r="J3" s="2115"/>
      <c r="K3" s="2115"/>
      <c r="L3" s="2115"/>
      <c r="M3" s="2115"/>
      <c r="N3" s="2115"/>
      <c r="O3" s="2115"/>
      <c r="P3" s="2115"/>
      <c r="Q3" s="2115"/>
      <c r="R3" s="2115"/>
      <c r="S3" s="2115"/>
    </row>
    <row r="4" spans="1:32" ht="12" customHeight="1" x14ac:dyDescent="0.2">
      <c r="A4" s="37"/>
      <c r="I4" s="2116" t="s">
        <v>521</v>
      </c>
      <c r="J4" s="2115"/>
      <c r="K4" s="2115"/>
      <c r="L4" s="2115"/>
      <c r="M4" s="2115"/>
      <c r="N4" s="2115"/>
      <c r="O4" s="2115"/>
      <c r="P4" s="2115"/>
      <c r="Q4" s="2115"/>
      <c r="R4" s="2115"/>
      <c r="S4" s="2115"/>
    </row>
    <row r="5" spans="1:32" ht="14.1" customHeight="1" x14ac:dyDescent="0.2">
      <c r="B5" s="101"/>
      <c r="C5" s="26" t="s">
        <v>904</v>
      </c>
      <c r="D5" s="81"/>
      <c r="E5" s="81"/>
      <c r="H5" s="38"/>
      <c r="I5" s="2123" t="s">
        <v>675</v>
      </c>
      <c r="J5" s="2068"/>
      <c r="K5" s="2068"/>
      <c r="L5" s="2068"/>
      <c r="M5" s="2068"/>
      <c r="N5" s="2068"/>
      <c r="O5" s="2068"/>
      <c r="P5" s="2068"/>
      <c r="Q5" s="2068"/>
      <c r="R5" s="2068"/>
      <c r="S5" s="2068"/>
      <c r="AF5" s="1820"/>
    </row>
    <row r="6" spans="1:32" ht="14.1" customHeight="1" x14ac:dyDescent="0.2">
      <c r="B6" s="101" t="s">
        <v>2021</v>
      </c>
      <c r="C6" s="26" t="s">
        <v>905</v>
      </c>
      <c r="D6" s="81"/>
      <c r="E6" s="81"/>
      <c r="I6" s="2122" t="s">
        <v>877</v>
      </c>
      <c r="J6" s="2068"/>
      <c r="K6" s="2068"/>
      <c r="L6" s="2068"/>
      <c r="M6" s="2068"/>
      <c r="N6" s="2068"/>
      <c r="O6" s="2068"/>
      <c r="P6" s="2068"/>
      <c r="Q6" s="2068"/>
      <c r="R6" s="2068"/>
      <c r="S6" s="2068"/>
    </row>
    <row r="7" spans="1:32" ht="12.2" customHeight="1" x14ac:dyDescent="0.2">
      <c r="I7" s="2117" t="str">
        <f>"June 30, "&amp;'AFR20'!E2</f>
        <v>June 30, 2020</v>
      </c>
      <c r="J7" s="2118"/>
      <c r="K7" s="2118"/>
      <c r="L7" s="2118"/>
      <c r="M7" s="2118"/>
      <c r="N7" s="2118"/>
      <c r="O7" s="2118"/>
      <c r="P7" s="2118"/>
      <c r="Q7" s="2118"/>
      <c r="R7" s="2118"/>
      <c r="S7" s="211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9" t="s">
        <v>669</v>
      </c>
      <c r="J9" s="2120"/>
      <c r="K9" s="2120"/>
      <c r="L9" s="2120"/>
      <c r="M9" s="2120"/>
      <c r="N9" s="2120"/>
      <c r="O9" s="2120"/>
      <c r="P9" s="2120"/>
      <c r="Q9" s="2120"/>
      <c r="R9" s="2120"/>
      <c r="S9" s="2121"/>
      <c r="T9" s="2064" t="s">
        <v>530</v>
      </c>
      <c r="U9" s="2065"/>
      <c r="V9" s="2065"/>
      <c r="W9" s="2065"/>
      <c r="X9" s="2065"/>
      <c r="Y9" s="2065"/>
      <c r="Z9" s="2065"/>
      <c r="AA9" s="2066"/>
    </row>
    <row r="10" spans="1:32" ht="13.5" customHeight="1" x14ac:dyDescent="0.2">
      <c r="A10" s="2073" t="s">
        <v>670</v>
      </c>
      <c r="B10" s="2074"/>
      <c r="C10" s="2074"/>
      <c r="D10" s="2074"/>
      <c r="E10" s="2074"/>
      <c r="F10" s="2074"/>
      <c r="G10" s="2074"/>
      <c r="H10" s="2075"/>
      <c r="I10" s="29"/>
      <c r="J10" s="30"/>
      <c r="K10" s="28"/>
      <c r="R10" s="30"/>
      <c r="S10" s="30"/>
      <c r="T10" s="2067"/>
      <c r="U10" s="2068"/>
      <c r="V10" s="2068"/>
      <c r="W10" s="2068"/>
      <c r="X10" s="2068"/>
      <c r="Y10" s="2068"/>
      <c r="Z10" s="2068"/>
      <c r="AA10" s="2069"/>
    </row>
    <row r="11" spans="1:32" ht="14.25" customHeight="1" x14ac:dyDescent="0.2">
      <c r="A11" s="2076" t="s">
        <v>949</v>
      </c>
      <c r="B11" s="2077"/>
      <c r="C11" s="2077"/>
      <c r="D11" s="2077"/>
      <c r="E11" s="2077"/>
      <c r="F11" s="2077"/>
      <c r="G11" s="2077"/>
      <c r="H11" s="2078"/>
      <c r="I11" s="27"/>
      <c r="J11" s="71"/>
      <c r="K11" s="27"/>
      <c r="O11" s="144" t="s">
        <v>2021</v>
      </c>
      <c r="P11" s="97" t="s">
        <v>199</v>
      </c>
      <c r="Q11" s="30"/>
      <c r="R11" s="28"/>
      <c r="S11" s="27"/>
      <c r="T11" s="2070"/>
      <c r="U11" s="2071"/>
      <c r="V11" s="2071"/>
      <c r="W11" s="2071"/>
      <c r="X11" s="2071"/>
      <c r="Y11" s="2071"/>
      <c r="Z11" s="2071"/>
      <c r="AA11" s="207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4">
        <v>30002748045</v>
      </c>
      <c r="B13" s="2085"/>
      <c r="C13" s="2085"/>
      <c r="D13" s="2085"/>
      <c r="E13" s="2085"/>
      <c r="F13" s="2085"/>
      <c r="G13" s="2085"/>
      <c r="H13" s="2086"/>
      <c r="I13" s="31"/>
      <c r="J13" s="30"/>
      <c r="K13" s="28"/>
      <c r="L13" s="30"/>
      <c r="M13" s="30"/>
      <c r="N13" s="30"/>
      <c r="O13" s="30"/>
      <c r="P13" s="30"/>
      <c r="Q13" s="30"/>
      <c r="R13" s="30"/>
      <c r="S13" s="30"/>
      <c r="T13" s="2089" t="s">
        <v>2026</v>
      </c>
      <c r="U13" s="2090"/>
      <c r="V13" s="2090"/>
      <c r="W13" s="2090"/>
      <c r="X13" s="2090"/>
      <c r="Y13" s="2091"/>
      <c r="Z13" s="2091"/>
      <c r="AA13" s="209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2" t="s">
        <v>2022</v>
      </c>
      <c r="B15" s="2087"/>
      <c r="C15" s="2087"/>
      <c r="D15" s="2087"/>
      <c r="E15" s="2087"/>
      <c r="F15" s="2087"/>
      <c r="G15" s="2087"/>
      <c r="H15" s="2088"/>
      <c r="T15" s="2050" t="s">
        <v>2027</v>
      </c>
      <c r="U15" s="2051"/>
      <c r="V15" s="2051"/>
      <c r="W15" s="2051"/>
      <c r="X15" s="2051"/>
      <c r="Y15" s="2093"/>
      <c r="Z15" s="2093"/>
      <c r="AA15" s="209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2" t="s">
        <v>2098</v>
      </c>
      <c r="B17" s="2112"/>
      <c r="C17" s="2112"/>
      <c r="D17" s="2112"/>
      <c r="E17" s="2112"/>
      <c r="F17" s="2112"/>
      <c r="G17" s="2112"/>
      <c r="H17" s="2113"/>
      <c r="T17" s="2099" t="s">
        <v>2028</v>
      </c>
      <c r="U17" s="2100"/>
      <c r="V17" s="2100"/>
      <c r="W17" s="2100"/>
      <c r="X17" s="2100"/>
      <c r="Y17" s="2100"/>
      <c r="Z17" s="2100"/>
      <c r="AA17" s="2101"/>
    </row>
    <row r="18" spans="1:27" ht="13.5" customHeight="1" x14ac:dyDescent="0.2">
      <c r="A18" s="82" t="s">
        <v>527</v>
      </c>
      <c r="B18" s="73"/>
      <c r="C18" s="69"/>
      <c r="D18" s="73"/>
      <c r="E18" s="73"/>
      <c r="F18" s="73"/>
      <c r="G18" s="73"/>
      <c r="H18" s="53"/>
      <c r="I18" s="2109" t="s">
        <v>671</v>
      </c>
      <c r="J18" s="2110"/>
      <c r="K18" s="2110"/>
      <c r="L18" s="2110"/>
      <c r="M18" s="2110"/>
      <c r="N18" s="2110"/>
      <c r="O18" s="2110"/>
      <c r="P18" s="2110"/>
      <c r="Q18" s="2110"/>
      <c r="R18" s="2110"/>
      <c r="S18" s="2111"/>
      <c r="T18" s="82" t="s">
        <v>706</v>
      </c>
      <c r="U18" s="48"/>
      <c r="V18" s="69"/>
      <c r="W18" s="47"/>
      <c r="X18" s="82" t="s">
        <v>264</v>
      </c>
      <c r="Y18" s="78"/>
      <c r="Z18" s="154" t="s">
        <v>672</v>
      </c>
      <c r="AA18" s="44"/>
    </row>
    <row r="19" spans="1:27" ht="13.5" customHeight="1" x14ac:dyDescent="0.2">
      <c r="A19" s="2082" t="s">
        <v>2023</v>
      </c>
      <c r="B19" s="2083"/>
      <c r="C19" s="2083"/>
      <c r="D19" s="2083"/>
      <c r="E19" s="2083"/>
      <c r="F19" s="2083"/>
      <c r="G19" s="2083"/>
      <c r="H19" s="2081"/>
      <c r="I19" s="30"/>
      <c r="J19" s="96"/>
      <c r="K19" s="40"/>
      <c r="L19" s="38"/>
      <c r="M19" s="109" t="s">
        <v>312</v>
      </c>
      <c r="P19" s="27"/>
      <c r="Q19" s="27"/>
      <c r="R19" s="27"/>
      <c r="S19" s="31"/>
      <c r="T19" s="2082" t="s">
        <v>2029</v>
      </c>
      <c r="U19" s="2080"/>
      <c r="V19" s="2080"/>
      <c r="W19" s="2081"/>
      <c r="X19" s="2097" t="s">
        <v>2030</v>
      </c>
      <c r="Y19" s="2098"/>
      <c r="Z19" s="2095">
        <v>63703</v>
      </c>
      <c r="AA19" s="209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9" t="s">
        <v>2024</v>
      </c>
      <c r="B21" s="2080"/>
      <c r="C21" s="2080"/>
      <c r="D21" s="2080"/>
      <c r="E21" s="2080"/>
      <c r="F21" s="2080"/>
      <c r="G21" s="2080"/>
      <c r="H21" s="2081"/>
      <c r="I21" s="2105" t="s">
        <v>673</v>
      </c>
      <c r="J21" s="2068"/>
      <c r="K21" s="2068"/>
      <c r="L21" s="2068"/>
      <c r="M21" s="2068"/>
      <c r="N21" s="2068"/>
      <c r="O21" s="2068"/>
      <c r="P21" s="2068"/>
      <c r="Q21" s="2068"/>
      <c r="R21" s="2068"/>
      <c r="S21" s="2069"/>
      <c r="T21" s="2047" t="s">
        <v>2031</v>
      </c>
      <c r="U21" s="2048"/>
      <c r="V21" s="2048"/>
      <c r="W21" s="2048"/>
      <c r="X21" s="2061" t="s">
        <v>2032</v>
      </c>
      <c r="Y21" s="2062"/>
      <c r="Z21" s="2062"/>
      <c r="AA21" s="2063"/>
    </row>
    <row r="22" spans="1:27" ht="13.5" customHeight="1" x14ac:dyDescent="0.2">
      <c r="A22" s="84" t="s">
        <v>528</v>
      </c>
      <c r="B22" s="56"/>
      <c r="C22" s="56"/>
      <c r="D22" s="56"/>
      <c r="E22" s="56"/>
      <c r="F22" s="56"/>
      <c r="G22" s="56"/>
      <c r="H22" s="57"/>
      <c r="I22" s="2106" t="s">
        <v>1415</v>
      </c>
      <c r="J22" s="2107"/>
      <c r="K22" s="2107"/>
      <c r="L22" s="2107"/>
      <c r="M22" s="2107"/>
      <c r="N22" s="2107"/>
      <c r="O22" s="2107"/>
      <c r="P22" s="2107"/>
      <c r="Q22" s="2107"/>
      <c r="R22" s="2107"/>
      <c r="S22" s="2108"/>
      <c r="T22" s="82" t="s">
        <v>1502</v>
      </c>
      <c r="U22" s="48"/>
      <c r="V22" s="69"/>
      <c r="W22" s="48"/>
      <c r="X22" s="155" t="s">
        <v>1309</v>
      </c>
      <c r="Z22" s="43"/>
      <c r="AA22" s="44"/>
    </row>
    <row r="23" spans="1:27" ht="13.5" customHeight="1" x14ac:dyDescent="0.2">
      <c r="A23" s="2102" t="s">
        <v>2025</v>
      </c>
      <c r="B23" s="2103"/>
      <c r="C23" s="2103"/>
      <c r="D23" s="2103"/>
      <c r="E23" s="2103"/>
      <c r="F23" s="2103"/>
      <c r="G23" s="2103"/>
      <c r="H23" s="2104"/>
      <c r="T23" s="2042" t="s">
        <v>2033</v>
      </c>
      <c r="U23" s="2043"/>
      <c r="V23" s="2043"/>
      <c r="W23" s="2043"/>
      <c r="X23" s="2058">
        <v>44530</v>
      </c>
      <c r="Y23" s="2059"/>
      <c r="Z23" s="2059"/>
      <c r="AA23" s="2060"/>
    </row>
    <row r="24" spans="1:27" ht="14.1" customHeight="1" x14ac:dyDescent="0.2">
      <c r="A24" s="85" t="s">
        <v>672</v>
      </c>
      <c r="B24" s="46"/>
      <c r="C24" s="46"/>
      <c r="D24" s="46"/>
      <c r="E24" s="46"/>
      <c r="F24" s="46"/>
      <c r="G24" s="46"/>
      <c r="H24" s="58"/>
      <c r="J24" s="2144" t="str">
        <f>IF(B5="x",IF(AUDITCHECK!D29="AFR form Incomplete.","",IF(AUDITCHECK!D29="Deficit reduction plan is required.","School District must complete a deficit reduction plan in the 2019-2020 Budget",)),"")</f>
        <v/>
      </c>
      <c r="K24" s="2144"/>
      <c r="L24" s="2144"/>
      <c r="M24" s="2144"/>
      <c r="N24" s="2144"/>
      <c r="O24" s="2144"/>
      <c r="P24" s="2144"/>
      <c r="Q24" s="2144"/>
      <c r="R24" s="2144"/>
      <c r="S24" s="2145"/>
      <c r="T24" s="102" t="s">
        <v>528</v>
      </c>
      <c r="U24" s="103"/>
      <c r="V24" s="103"/>
      <c r="W24" s="103"/>
      <c r="X24" s="104"/>
      <c r="Y24" s="104"/>
      <c r="Z24" s="104"/>
      <c r="AA24" s="105"/>
    </row>
    <row r="25" spans="1:27" ht="14.1" customHeight="1" x14ac:dyDescent="0.2">
      <c r="A25" s="2079">
        <v>62988</v>
      </c>
      <c r="B25" s="2080"/>
      <c r="C25" s="2080"/>
      <c r="D25" s="2080"/>
      <c r="E25" s="2080"/>
      <c r="F25" s="2080"/>
      <c r="G25" s="2080"/>
      <c r="H25" s="2081"/>
      <c r="I25" s="110"/>
      <c r="J25" s="2146"/>
      <c r="K25" s="2146"/>
      <c r="L25" s="2146"/>
      <c r="M25" s="2146"/>
      <c r="N25" s="2146"/>
      <c r="O25" s="2146"/>
      <c r="P25" s="2146"/>
      <c r="Q25" s="2146"/>
      <c r="R25" s="2146"/>
      <c r="S25" s="2147"/>
      <c r="T25" s="2039" t="s">
        <v>2034</v>
      </c>
      <c r="U25" s="2040"/>
      <c r="V25" s="2040"/>
      <c r="W25" s="2040"/>
      <c r="X25" s="2040"/>
      <c r="Y25" s="2040"/>
      <c r="Z25" s="2040"/>
      <c r="AA25" s="20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7" t="s">
        <v>1497</v>
      </c>
      <c r="J27" s="2110"/>
      <c r="K27" s="2110"/>
      <c r="L27" s="2110"/>
      <c r="M27" s="2110"/>
      <c r="N27" s="2110"/>
      <c r="O27" s="2110"/>
      <c r="P27" s="2110"/>
      <c r="Q27" s="2110"/>
      <c r="R27" s="2110"/>
      <c r="S27" s="211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3"/>
      <c r="Q35" s="2080"/>
      <c r="R35" s="208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2"/>
      <c r="B38" s="2112"/>
      <c r="C38" s="2112"/>
      <c r="D38" s="2112"/>
      <c r="E38" s="2112"/>
      <c r="F38" s="2080"/>
      <c r="G38" s="2080"/>
      <c r="H38" s="2081"/>
      <c r="I38" s="2131"/>
      <c r="J38" s="2051"/>
      <c r="K38" s="2051"/>
      <c r="L38" s="2051"/>
      <c r="M38" s="2051"/>
      <c r="N38" s="2051"/>
      <c r="O38" s="2051"/>
      <c r="P38" s="2052"/>
      <c r="Q38" s="2052"/>
      <c r="R38" s="2052"/>
      <c r="S38" s="2053"/>
      <c r="T38" s="2050"/>
      <c r="U38" s="2051"/>
      <c r="V38" s="2051"/>
      <c r="W38" s="2051"/>
      <c r="X38" s="2052"/>
      <c r="Y38" s="2052"/>
      <c r="Z38" s="2052"/>
      <c r="AA38" s="2053"/>
    </row>
    <row r="39" spans="1:27" ht="12" customHeight="1" x14ac:dyDescent="0.2">
      <c r="A39" s="2135" t="s">
        <v>528</v>
      </c>
      <c r="B39" s="2136"/>
      <c r="C39" s="69"/>
      <c r="D39" s="66"/>
      <c r="E39" s="66"/>
      <c r="F39" s="76"/>
      <c r="G39" s="66"/>
      <c r="H39" s="53"/>
      <c r="I39" s="2135" t="s">
        <v>528</v>
      </c>
      <c r="J39" s="2136"/>
      <c r="K39" s="2136"/>
      <c r="L39" s="2136"/>
      <c r="M39" s="2136"/>
      <c r="N39" s="64"/>
      <c r="O39" s="69"/>
      <c r="P39" s="69"/>
      <c r="Q39" s="75"/>
      <c r="R39" s="69"/>
      <c r="S39" s="53"/>
      <c r="T39" s="69" t="s">
        <v>528</v>
      </c>
      <c r="U39" s="48"/>
      <c r="V39" s="69"/>
      <c r="W39" s="47"/>
      <c r="X39" s="75"/>
      <c r="Y39" s="43"/>
      <c r="Z39" s="43"/>
      <c r="AA39" s="44"/>
    </row>
    <row r="40" spans="1:27" ht="13.5" customHeight="1" x14ac:dyDescent="0.2">
      <c r="A40" s="2138"/>
      <c r="B40" s="2139"/>
      <c r="C40" s="2140"/>
      <c r="D40" s="2140"/>
      <c r="E40" s="2140"/>
      <c r="F40" s="2141"/>
      <c r="G40" s="2141"/>
      <c r="H40" s="2142"/>
      <c r="I40" s="2054"/>
      <c r="J40" s="2056"/>
      <c r="K40" s="2056"/>
      <c r="L40" s="2056"/>
      <c r="M40" s="2056"/>
      <c r="N40" s="2056"/>
      <c r="O40" s="2056"/>
      <c r="P40" s="2056"/>
      <c r="Q40" s="2056"/>
      <c r="R40" s="2056"/>
      <c r="S40" s="2057"/>
      <c r="T40" s="2054"/>
      <c r="U40" s="2055"/>
      <c r="V40" s="2056"/>
      <c r="W40" s="2056"/>
      <c r="X40" s="2056"/>
      <c r="Y40" s="2056"/>
      <c r="Z40" s="2056"/>
      <c r="AA40" s="205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8"/>
      <c r="B42" s="2129"/>
      <c r="C42" s="2130"/>
      <c r="D42" s="2143"/>
      <c r="E42" s="2129"/>
      <c r="F42" s="2129"/>
      <c r="G42" s="2129"/>
      <c r="H42" s="2130"/>
      <c r="I42" s="2049"/>
      <c r="J42" s="2045"/>
      <c r="K42" s="2045"/>
      <c r="L42" s="2045"/>
      <c r="M42" s="2045"/>
      <c r="N42" s="2045"/>
      <c r="O42" s="2046"/>
      <c r="P42" s="2044"/>
      <c r="Q42" s="2045"/>
      <c r="R42" s="2045"/>
      <c r="S42" s="2046"/>
      <c r="T42" s="2049"/>
      <c r="U42" s="2045"/>
      <c r="V42" s="2045"/>
      <c r="W42" s="2046"/>
      <c r="X42" s="2044"/>
      <c r="Y42" s="2045"/>
      <c r="Z42" s="2045"/>
      <c r="AA42" s="204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2"/>
      <c r="B44" s="2133"/>
      <c r="C44" s="2133"/>
      <c r="D44" s="2133"/>
      <c r="E44" s="2133"/>
      <c r="F44" s="2133"/>
      <c r="G44" s="2133"/>
      <c r="H44" s="2134"/>
      <c r="I44" s="2124"/>
      <c r="J44" s="2126"/>
      <c r="K44" s="2126"/>
      <c r="L44" s="2126"/>
      <c r="M44" s="2126"/>
      <c r="N44" s="2126"/>
      <c r="O44" s="2126"/>
      <c r="P44" s="2126"/>
      <c r="Q44" s="2126"/>
      <c r="R44" s="2126"/>
      <c r="S44" s="2127"/>
      <c r="T44" s="2124"/>
      <c r="U44" s="2125"/>
      <c r="V44" s="2125"/>
      <c r="W44" s="2125"/>
      <c r="X44" s="2125"/>
      <c r="Y44" s="2125"/>
      <c r="Z44" s="2126"/>
      <c r="AA44" s="212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1" t="s">
        <v>1058</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686</v>
      </c>
      <c r="B40" s="2148"/>
      <c r="C40" s="2148"/>
      <c r="D40" s="2148"/>
      <c r="E40" s="2148"/>
    </row>
    <row r="41" spans="1:5" x14ac:dyDescent="0.2">
      <c r="A41" s="2149" t="s">
        <v>1594</v>
      </c>
      <c r="B41" s="2149"/>
      <c r="C41" s="2149"/>
      <c r="D41" s="2149"/>
      <c r="E41" s="2149"/>
    </row>
    <row r="42" spans="1:5" ht="12.75" customHeight="1" x14ac:dyDescent="0.2">
      <c r="A42" s="2150" t="s">
        <v>1015</v>
      </c>
      <c r="B42" s="2150"/>
      <c r="C42" s="2150"/>
      <c r="D42" s="2150"/>
      <c r="E42" s="2150"/>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9"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1160</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2021</v>
      </c>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6" t="s">
        <v>1619</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310</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t="s">
        <v>2097</v>
      </c>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1314</v>
      </c>
      <c r="B70" s="2169"/>
      <c r="C70" s="2169"/>
      <c r="D70" s="2169"/>
      <c r="E70" s="2170"/>
      <c r="F70" s="2170"/>
      <c r="G70" s="2170"/>
      <c r="H70" s="2170"/>
      <c r="I70" s="217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1311</v>
      </c>
      <c r="B83" s="2171"/>
      <c r="C83" s="2171"/>
      <c r="D83" s="217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2" t="s">
        <v>1992</v>
      </c>
      <c r="B85" s="2182"/>
      <c r="C85" s="2182"/>
      <c r="D85" s="2183"/>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4" t="s">
        <v>1992</v>
      </c>
      <c r="B88" s="2185"/>
      <c r="C88" s="2185"/>
      <c r="D88" s="2186"/>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c r="D114" s="216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1321</v>
      </c>
      <c r="D117" s="2164"/>
      <c r="E117" s="2165"/>
      <c r="F117" s="2165"/>
      <c r="G117" s="2165"/>
      <c r="H117" s="2165"/>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110" zoomScaleNormal="110" workbookViewId="0">
      <selection activeCell="B54" sqref="B54:L6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383</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17">
        <f>ROUND(D10+F10+H10,5)</f>
        <v>0</v>
      </c>
      <c r="K10" s="217"/>
      <c r="L10" s="332"/>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794366</v>
      </c>
      <c r="E16" s="1540"/>
      <c r="F16" s="1539">
        <f>SUM('Acct Summary 7-8'!C17,'Acct Summary 7-8'!D17,'Acct Summary 7-8'!F17)</f>
        <v>696922</v>
      </c>
      <c r="G16" s="1540"/>
      <c r="H16" s="1539">
        <f>SUM(D16-F16)</f>
        <v>97444</v>
      </c>
      <c r="I16" s="1541"/>
      <c r="J16" s="1539">
        <f>SUM('Acct Summary 7-8'!C81,'Acct Summary 7-8'!D81,'Acct Summary 7-8'!F81,'Acct Summary 7-8'!I81)</f>
        <v>742835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B57" sqref="B57:J6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552</v>
      </c>
      <c r="B2" s="2206"/>
      <c r="C2" s="2206"/>
      <c r="D2" s="2206"/>
      <c r="E2" s="2206"/>
      <c r="F2" s="2206"/>
      <c r="G2" s="2206"/>
      <c r="H2" s="2206"/>
      <c r="I2" s="2206"/>
      <c r="J2" s="2206"/>
      <c r="K2" s="2206"/>
      <c r="L2" s="2206"/>
      <c r="M2" s="2206"/>
      <c r="N2" s="2206"/>
      <c r="O2" s="2206"/>
      <c r="P2" s="2206"/>
      <c r="Q2" s="2206"/>
      <c r="R2" s="2206"/>
    </row>
    <row r="3" spans="1:18" ht="12.75" x14ac:dyDescent="0.2">
      <c r="A3" s="2207" t="s">
        <v>1399</v>
      </c>
      <c r="B3" s="2207"/>
      <c r="C3" s="2207"/>
      <c r="D3" s="2207"/>
      <c r="E3" s="2207"/>
      <c r="F3" s="2207"/>
      <c r="G3" s="2207"/>
      <c r="H3" s="2207"/>
      <c r="I3" s="2207"/>
      <c r="J3" s="2207"/>
      <c r="K3" s="2207"/>
      <c r="L3" s="2207"/>
      <c r="M3" s="2207"/>
      <c r="N3" s="2207"/>
      <c r="O3" s="2207"/>
      <c r="P3" s="2207"/>
      <c r="Q3" s="2207"/>
      <c r="R3" s="2207"/>
    </row>
    <row r="4" spans="1:18" x14ac:dyDescent="0.2">
      <c r="A4" s="2208" t="s">
        <v>1540</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Five County Reg Voc System</v>
      </c>
      <c r="E7" s="368"/>
      <c r="G7" s="247"/>
      <c r="H7" s="364"/>
      <c r="I7" s="364"/>
      <c r="J7" s="364"/>
      <c r="K7" s="364"/>
      <c r="L7" s="307"/>
      <c r="M7" s="307"/>
      <c r="N7" s="307"/>
      <c r="O7" s="307"/>
      <c r="P7" s="307"/>
    </row>
    <row r="8" spans="1:18" ht="12.75" x14ac:dyDescent="0.2">
      <c r="A8" s="307"/>
      <c r="B8" s="307"/>
      <c r="C8" s="366" t="s">
        <v>1117</v>
      </c>
      <c r="D8" s="369">
        <f>COVER!A13</f>
        <v>30002748045</v>
      </c>
      <c r="E8" s="370"/>
      <c r="G8" s="307"/>
      <c r="H8" s="307"/>
      <c r="I8" s="307"/>
      <c r="J8" s="307"/>
      <c r="K8" s="307"/>
      <c r="L8" s="307"/>
      <c r="M8" s="307"/>
      <c r="N8" s="307"/>
      <c r="O8" s="307"/>
      <c r="P8" s="307"/>
    </row>
    <row r="9" spans="1:18" ht="12.75" x14ac:dyDescent="0.2">
      <c r="A9" s="307"/>
      <c r="B9" s="307"/>
      <c r="C9" s="366" t="s">
        <v>708</v>
      </c>
      <c r="D9" s="371" t="str">
        <f>COVER!A15</f>
        <v>Johnson, Alexander, Massac, Pulaski, Union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742835</v>
      </c>
      <c r="I12" s="380"/>
      <c r="J12" s="380"/>
      <c r="K12" s="1552">
        <f>TRUNC((H12/H13*100000),5)/100000</f>
        <v>0.9351293987</v>
      </c>
      <c r="L12" s="381"/>
      <c r="M12" s="337" t="s">
        <v>1136</v>
      </c>
      <c r="N12" s="337"/>
      <c r="O12" s="1555">
        <v>0.35</v>
      </c>
      <c r="P12" s="213"/>
      <c r="Q12" s="213"/>
    </row>
    <row r="13" spans="1:18" s="382" customFormat="1" ht="12.75" x14ac:dyDescent="0.2">
      <c r="A13" s="213"/>
      <c r="B13" s="377"/>
      <c r="C13" s="2204" t="s">
        <v>1315</v>
      </c>
      <c r="D13" s="2205"/>
      <c r="E13" s="213"/>
      <c r="F13" s="383" t="s">
        <v>788</v>
      </c>
      <c r="G13" s="378"/>
      <c r="H13" s="1544">
        <f>SUM('Acct Summary 7-8'!C8+'Acct Summary 7-8'!D8+'Acct Summary 7-8'!F8+'Acct Summary 7-8'!I8)+H14</f>
        <v>794366</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696922</v>
      </c>
      <c r="I17" s="380"/>
      <c r="J17" s="389"/>
      <c r="K17" s="1552">
        <f>TRUNC((H17/H18*100000),5)/100000</f>
        <v>0.87733110430000005</v>
      </c>
      <c r="L17" s="381"/>
      <c r="M17" s="390" t="s">
        <v>1163</v>
      </c>
      <c r="O17" s="1558" t="str">
        <f>IF(AND(O16="2", J20 &gt; 2),"1",IF(AND(O16 = "1", J20 &gt; 2),"2",IF(AND(O16="1", J20 &gt;1),"1","0")))</f>
        <v>0</v>
      </c>
      <c r="P17" s="213"/>
    </row>
    <row r="18" spans="1:18" s="382" customFormat="1" ht="11.25" x14ac:dyDescent="0.2">
      <c r="A18" s="213"/>
      <c r="B18" s="377"/>
      <c r="C18" s="2204" t="s">
        <v>1308</v>
      </c>
      <c r="D18" s="2205"/>
      <c r="E18" s="213"/>
      <c r="F18" s="391" t="s">
        <v>789</v>
      </c>
      <c r="G18" s="378"/>
      <c r="H18" s="1544">
        <f>SUM('Acct Summary 7-8'!C8+'Acct Summary 7-8'!D8+'Acct Summary 7-8'!F8+'Acct Summary 7-8'!I8)+H19</f>
        <v>794366</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201" t="s">
        <v>1398</v>
      </c>
      <c r="D24" s="2201"/>
      <c r="E24" s="213"/>
      <c r="F24" s="213" t="s">
        <v>442</v>
      </c>
      <c r="G24" s="378"/>
      <c r="H24" s="1544">
        <f>SUM('Assets-Liab 5-6'!C4+'Assets-Liab 5-6'!D4+'Assets-Liab 5-6'!F4+'Assets-Liab 5-6'!I4+'Assets-Liab 5-6'!C5+'Assets-Liab 5-6'!D5+'Assets-Liab 5-6'!F5+'Assets-Liab 5-6'!I5)</f>
        <v>742835</v>
      </c>
      <c r="I24" s="394"/>
      <c r="J24" s="394"/>
      <c r="K24" s="1548">
        <f>TRUNC(((H24/H25*100000)/100000),2)</f>
        <v>383.71</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1935.89444</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e">
        <f>IF(K28&gt;=75,"4",IF(K28&gt;=50,"3",IF(K28&gt;=25,"2",1)))</f>
        <v>#DIV/0!</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t="e">
        <f>TRUNC(100-((((H28/H29*100))*100)/100),2)</f>
        <v>#DIV/0!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0</v>
      </c>
      <c r="I29" s="397"/>
      <c r="J29" s="397"/>
      <c r="K29" s="1551"/>
      <c r="L29" s="213"/>
      <c r="M29" s="337" t="s">
        <v>1137</v>
      </c>
      <c r="N29" s="337"/>
      <c r="O29" s="1556" t="e">
        <f>O27*O28</f>
        <v>#DIV/0!</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e">
        <f>IF(K32&gt;=75,"4",IF(K32&gt;=50,"3",IF(K32&gt;=25,"2",1)))</f>
        <v>#VALUE!</v>
      </c>
      <c r="P31" s="211"/>
    </row>
    <row r="32" spans="1:18" s="382" customFormat="1" ht="11.25" x14ac:dyDescent="0.2">
      <c r="A32" s="213"/>
      <c r="B32" s="377"/>
      <c r="C32" s="213" t="s">
        <v>842</v>
      </c>
      <c r="D32" s="213"/>
      <c r="E32" s="213"/>
      <c r="F32" s="213"/>
      <c r="G32" s="378"/>
      <c r="H32" s="1544">
        <f>'FP Info 3'!H37</f>
        <v>0</v>
      </c>
      <c r="I32" s="392"/>
      <c r="J32" s="392"/>
      <c r="K32" s="1548" t="e">
        <f>TRUNC(100-((((H32/H33*100))*100)/100),2)</f>
        <v>#VALUE!</v>
      </c>
      <c r="L32" s="381"/>
      <c r="M32" s="337" t="s">
        <v>1136</v>
      </c>
      <c r="N32" s="337"/>
      <c r="O32" s="1561">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61" t="e">
        <f>(O31*O32)</f>
        <v>#VALUE!</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t="e">
        <f>(O13+O20+O25+O29+O33)</f>
        <v>#DIV/0!</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57" sqref="B57:J67"/>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1" t="s">
        <v>967</v>
      </c>
      <c r="B3" s="2212"/>
      <c r="C3" s="1299"/>
      <c r="D3" s="1300"/>
      <c r="E3" s="1300"/>
      <c r="F3" s="1300"/>
      <c r="G3" s="1300"/>
      <c r="H3" s="1300"/>
      <c r="I3" s="1300"/>
      <c r="J3" s="1300"/>
      <c r="K3" s="1300"/>
      <c r="L3" s="1300"/>
      <c r="M3" s="1301"/>
      <c r="N3" s="1302"/>
    </row>
    <row r="4" spans="1:14" ht="13.5" customHeight="1" x14ac:dyDescent="0.2">
      <c r="A4" s="427" t="s">
        <v>1635</v>
      </c>
      <c r="B4" s="428"/>
      <c r="C4" s="1565">
        <v>742835</v>
      </c>
      <c r="D4" s="1566"/>
      <c r="E4" s="1566"/>
      <c r="F4" s="1566"/>
      <c r="G4" s="1566"/>
      <c r="H4" s="1566"/>
      <c r="I4" s="1566"/>
      <c r="J4" s="1567"/>
      <c r="K4" s="1566"/>
      <c r="L4" s="1566">
        <v>3297</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742835</v>
      </c>
      <c r="D13" s="1580">
        <f t="shared" ref="D13:L13" si="0">SUM(D4:D12)</f>
        <v>0</v>
      </c>
      <c r="E13" s="1580">
        <f t="shared" si="0"/>
        <v>0</v>
      </c>
      <c r="F13" s="1580">
        <f t="shared" si="0"/>
        <v>0</v>
      </c>
      <c r="G13" s="1580">
        <f t="shared" si="0"/>
        <v>0</v>
      </c>
      <c r="H13" s="1580">
        <f t="shared" si="0"/>
        <v>0</v>
      </c>
      <c r="I13" s="1580">
        <f t="shared" si="0"/>
        <v>0</v>
      </c>
      <c r="J13" s="1580">
        <f t="shared" si="0"/>
        <v>0</v>
      </c>
      <c r="K13" s="1580">
        <f t="shared" si="0"/>
        <v>0</v>
      </c>
      <c r="L13" s="1580">
        <f t="shared" si="0"/>
        <v>3297</v>
      </c>
      <c r="M13" s="1568"/>
      <c r="N13" s="1569"/>
    </row>
    <row r="14" spans="1:14" ht="18" customHeight="1" thickTop="1" x14ac:dyDescent="0.2">
      <c r="A14" s="2213" t="s">
        <v>146</v>
      </c>
      <c r="B14" s="2214"/>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74162</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180040</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1763262</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0</v>
      </c>
    </row>
    <row r="23" spans="1:14" ht="13.5" customHeight="1" thickBot="1" x14ac:dyDescent="0.25">
      <c r="A23" s="1419" t="s">
        <v>638</v>
      </c>
      <c r="B23" s="1422"/>
      <c r="C23" s="1568"/>
      <c r="D23" s="1568"/>
      <c r="E23" s="1568"/>
      <c r="F23" s="1568"/>
      <c r="G23" s="1568"/>
      <c r="H23" s="1568"/>
      <c r="I23" s="1568"/>
      <c r="J23" s="1568"/>
      <c r="K23" s="1568"/>
      <c r="L23" s="1568"/>
      <c r="M23" s="1587">
        <f>SUM(M15:M22)</f>
        <v>2017464</v>
      </c>
      <c r="N23" s="1587">
        <f>SUM(N21:N22)</f>
        <v>0</v>
      </c>
    </row>
    <row r="24" spans="1:14" ht="18" customHeight="1" thickTop="1" x14ac:dyDescent="0.2">
      <c r="A24" s="2215" t="s">
        <v>594</v>
      </c>
      <c r="B24" s="2216"/>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3297</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3297</v>
      </c>
      <c r="M34" s="1568"/>
      <c r="N34" s="1578"/>
    </row>
    <row r="35" spans="1:14" ht="18" customHeight="1" thickTop="1" x14ac:dyDescent="0.2">
      <c r="A35" s="2217" t="s">
        <v>526</v>
      </c>
      <c r="B35" s="2218"/>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0</v>
      </c>
    </row>
    <row r="37" spans="1:14" ht="13.5" thickBot="1" x14ac:dyDescent="0.25">
      <c r="A37" s="1419" t="s">
        <v>648</v>
      </c>
      <c r="B37" s="1422"/>
      <c r="C37" s="1575"/>
      <c r="D37" s="1575"/>
      <c r="E37" s="1575"/>
      <c r="F37" s="1575"/>
      <c r="G37" s="1575"/>
      <c r="H37" s="1575"/>
      <c r="I37" s="1575"/>
      <c r="J37" s="1575"/>
      <c r="K37" s="1575"/>
      <c r="L37" s="1578"/>
      <c r="M37" s="1568"/>
      <c r="N37" s="1587">
        <f>SUM(N36:N36)</f>
        <v>0</v>
      </c>
    </row>
    <row r="38" spans="1:14" s="307" customFormat="1" ht="13.5" customHeight="1" thickTop="1" x14ac:dyDescent="0.2">
      <c r="A38" s="438" t="s">
        <v>417</v>
      </c>
      <c r="B38" s="432">
        <v>714</v>
      </c>
      <c r="C38" s="1566">
        <v>50000</v>
      </c>
      <c r="D38" s="1566"/>
      <c r="E38" s="1566"/>
      <c r="F38" s="1566"/>
      <c r="G38" s="1566"/>
      <c r="H38" s="1566"/>
      <c r="I38" s="1566"/>
      <c r="J38" s="1567"/>
      <c r="K38" s="1566"/>
      <c r="L38" s="1579"/>
      <c r="M38" s="1597"/>
      <c r="N38" s="1597"/>
    </row>
    <row r="39" spans="1:14" s="307" customFormat="1" ht="13.5" customHeight="1" x14ac:dyDescent="0.2">
      <c r="A39" s="438" t="s">
        <v>339</v>
      </c>
      <c r="B39" s="432">
        <v>730</v>
      </c>
      <c r="C39" s="1566">
        <v>692835</v>
      </c>
      <c r="D39" s="1566"/>
      <c r="E39" s="1566"/>
      <c r="F39" s="1566"/>
      <c r="G39" s="1566"/>
      <c r="H39" s="1566"/>
      <c r="I39" s="1566"/>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2017464</v>
      </c>
      <c r="N40" s="1597"/>
    </row>
    <row r="41" spans="1:14" ht="13.5" customHeight="1" thickBot="1" x14ac:dyDescent="0.25">
      <c r="A41" s="1419" t="s">
        <v>650</v>
      </c>
      <c r="B41" s="1398"/>
      <c r="C41" s="1587">
        <f>(SUM(C34,C37,C38,C39))</f>
        <v>742835</v>
      </c>
      <c r="D41" s="1587">
        <f t="shared" ref="D41:L41" si="2">SUM(D34,D37,D38:D39)</f>
        <v>0</v>
      </c>
      <c r="E41" s="1587">
        <f t="shared" si="2"/>
        <v>0</v>
      </c>
      <c r="F41" s="1587">
        <f t="shared" si="2"/>
        <v>0</v>
      </c>
      <c r="G41" s="1587">
        <f t="shared" si="2"/>
        <v>0</v>
      </c>
      <c r="H41" s="1587">
        <f t="shared" si="2"/>
        <v>0</v>
      </c>
      <c r="I41" s="1587">
        <f t="shared" si="2"/>
        <v>0</v>
      </c>
      <c r="J41" s="1587">
        <f t="shared" si="2"/>
        <v>0</v>
      </c>
      <c r="K41" s="1587">
        <f t="shared" si="2"/>
        <v>0</v>
      </c>
      <c r="L41" s="1587">
        <f t="shared" si="2"/>
        <v>3297</v>
      </c>
      <c r="M41" s="1587">
        <f>SUM(M40)</f>
        <v>2017464</v>
      </c>
      <c r="N41" s="1587">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activeCell="C40" sqref="C40"/>
      <selection pane="bottomLeft" activeCell="C40" sqref="C4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9" t="s">
        <v>1167</v>
      </c>
      <c r="B3" s="2240"/>
      <c r="C3" s="1304"/>
      <c r="D3" s="1305"/>
      <c r="E3" s="1305"/>
      <c r="F3" s="1305"/>
      <c r="G3" s="1305"/>
      <c r="H3" s="1305"/>
      <c r="I3" s="1305"/>
      <c r="J3" s="1305"/>
      <c r="K3" s="1306"/>
      <c r="L3" s="446"/>
    </row>
    <row r="4" spans="1:13" ht="15.75" customHeight="1" x14ac:dyDescent="0.2">
      <c r="A4" s="1530" t="s">
        <v>1485</v>
      </c>
      <c r="B4" s="1531">
        <v>1000</v>
      </c>
      <c r="C4" s="1599">
        <f>'Revenues 9-14'!C109</f>
        <v>295055</v>
      </c>
      <c r="D4" s="1599">
        <f>'Revenues 9-14'!D109</f>
        <v>0</v>
      </c>
      <c r="E4" s="1599">
        <f>'Revenues 9-14'!E109</f>
        <v>0</v>
      </c>
      <c r="F4" s="1599">
        <f>'Revenues 9-14'!F109</f>
        <v>0</v>
      </c>
      <c r="G4" s="1599">
        <f>'Revenues 9-14'!G109</f>
        <v>0</v>
      </c>
      <c r="H4" s="1599">
        <f>'Revenues 9-14'!H109</f>
        <v>0</v>
      </c>
      <c r="I4" s="1599">
        <f>'Revenues 9-14'!I109</f>
        <v>0</v>
      </c>
      <c r="J4" s="1599">
        <f>'Revenues 9-14'!J109</f>
        <v>0</v>
      </c>
      <c r="K4" s="1599">
        <f>'Revenues 9-14'!K109</f>
        <v>0</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381293</v>
      </c>
      <c r="D6" s="1600">
        <f>'Revenues 9-14'!D170</f>
        <v>0</v>
      </c>
      <c r="E6" s="1600">
        <f>'Revenues 9-14'!E170</f>
        <v>0</v>
      </c>
      <c r="F6" s="1600">
        <f>'Revenues 9-14'!F170</f>
        <v>0</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118018</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794366</v>
      </c>
      <c r="D8" s="1587">
        <f t="shared" ref="D8:K8" si="0">SUM(D4:D7)</f>
        <v>0</v>
      </c>
      <c r="E8" s="1587">
        <f t="shared" si="0"/>
        <v>0</v>
      </c>
      <c r="F8" s="1587">
        <f t="shared" si="0"/>
        <v>0</v>
      </c>
      <c r="G8" s="1587">
        <f t="shared" si="0"/>
        <v>0</v>
      </c>
      <c r="H8" s="1587">
        <f t="shared" si="0"/>
        <v>0</v>
      </c>
      <c r="I8" s="1587">
        <f t="shared" si="0"/>
        <v>0</v>
      </c>
      <c r="J8" s="1587">
        <f t="shared" si="0"/>
        <v>0</v>
      </c>
      <c r="K8" s="1587">
        <f t="shared" si="0"/>
        <v>0</v>
      </c>
      <c r="L8" s="325"/>
    </row>
    <row r="9" spans="1:13" ht="15.75" thickTop="1" x14ac:dyDescent="0.2">
      <c r="A9" s="449" t="s">
        <v>1637</v>
      </c>
      <c r="B9" s="450">
        <v>3998</v>
      </c>
      <c r="C9" s="1579">
        <v>306663</v>
      </c>
      <c r="D9" s="1606"/>
      <c r="E9" s="1579"/>
      <c r="F9" s="1579"/>
      <c r="G9" s="1607"/>
      <c r="H9" s="1579"/>
      <c r="I9" s="1602" t="s">
        <v>1161</v>
      </c>
      <c r="J9" s="1576"/>
      <c r="K9" s="1579"/>
      <c r="L9" s="325"/>
    </row>
    <row r="10" spans="1:13" s="452" customFormat="1" ht="13.5" thickBot="1" x14ac:dyDescent="0.25">
      <c r="A10" s="1419" t="s">
        <v>1165</v>
      </c>
      <c r="B10" s="1400"/>
      <c r="C10" s="1587">
        <f>SUM(C8:C9)</f>
        <v>1101029</v>
      </c>
      <c r="D10" s="1587">
        <f t="shared" ref="D10:K10" si="1">SUM(D8:D9)</f>
        <v>0</v>
      </c>
      <c r="E10" s="1587">
        <f t="shared" si="1"/>
        <v>0</v>
      </c>
      <c r="F10" s="1587">
        <f t="shared" si="1"/>
        <v>0</v>
      </c>
      <c r="G10" s="1587">
        <f t="shared" si="1"/>
        <v>0</v>
      </c>
      <c r="H10" s="1587">
        <f t="shared" si="1"/>
        <v>0</v>
      </c>
      <c r="I10" s="1587">
        <f t="shared" si="1"/>
        <v>0</v>
      </c>
      <c r="J10" s="1587">
        <f t="shared" si="1"/>
        <v>0</v>
      </c>
      <c r="K10" s="1587">
        <f t="shared" si="1"/>
        <v>0</v>
      </c>
      <c r="L10" s="451"/>
    </row>
    <row r="11" spans="1:13" s="452" customFormat="1" ht="16.7" customHeight="1" thickTop="1" x14ac:dyDescent="0.2">
      <c r="A11" s="2213" t="s">
        <v>1168</v>
      </c>
      <c r="B11" s="2214"/>
      <c r="C11" s="1595"/>
      <c r="D11" s="1596"/>
      <c r="E11" s="1596"/>
      <c r="F11" s="1596"/>
      <c r="G11" s="1596"/>
      <c r="H11" s="1596"/>
      <c r="I11" s="1596"/>
      <c r="J11" s="1596"/>
      <c r="K11" s="1608"/>
      <c r="L11" s="451"/>
    </row>
    <row r="12" spans="1:13" ht="15.75" customHeight="1" x14ac:dyDescent="0.2">
      <c r="A12" s="1307" t="s">
        <v>453</v>
      </c>
      <c r="B12" s="1309">
        <v>1000</v>
      </c>
      <c r="C12" s="1599">
        <f>'Expenditures 15-22'!K33</f>
        <v>412281</v>
      </c>
      <c r="D12" s="1609" t="s">
        <v>1161</v>
      </c>
      <c r="E12" s="1568" t="s">
        <v>1161</v>
      </c>
      <c r="F12" s="1568" t="s">
        <v>1161</v>
      </c>
      <c r="G12" s="1599">
        <f>'Expenditures 15-22'!K229</f>
        <v>0</v>
      </c>
      <c r="H12" s="1610"/>
      <c r="I12" s="1568" t="s">
        <v>1161</v>
      </c>
      <c r="J12" s="1568" t="s">
        <v>1161</v>
      </c>
      <c r="K12" s="1610" t="s">
        <v>1161</v>
      </c>
      <c r="L12" s="325"/>
    </row>
    <row r="13" spans="1:13" ht="15.75" customHeight="1" x14ac:dyDescent="0.2">
      <c r="A13" s="1307" t="s">
        <v>454</v>
      </c>
      <c r="B13" s="1309">
        <v>2000</v>
      </c>
      <c r="C13" s="1600">
        <f>'Expenditures 15-22'!K74</f>
        <v>252966</v>
      </c>
      <c r="D13" s="1600">
        <f>'Expenditures 15-22'!K129</f>
        <v>0</v>
      </c>
      <c r="E13" s="1569" t="s">
        <v>1161</v>
      </c>
      <c r="F13" s="1600">
        <f>'Expenditures 15-22'!K184</f>
        <v>0</v>
      </c>
      <c r="G13" s="1600">
        <f>'Expenditures 15-22'!K279</f>
        <v>0</v>
      </c>
      <c r="H13" s="1600">
        <f>'Expenditures 15-22'!K303</f>
        <v>0</v>
      </c>
      <c r="I13" s="1568" t="s">
        <v>1161</v>
      </c>
      <c r="J13" s="1600">
        <f>'Expenditures 15-22'!K330</f>
        <v>0</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31675</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0</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696922</v>
      </c>
      <c r="D17" s="1587">
        <f t="shared" si="2"/>
        <v>0</v>
      </c>
      <c r="E17" s="1587">
        <f t="shared" si="2"/>
        <v>0</v>
      </c>
      <c r="F17" s="1587">
        <f t="shared" si="2"/>
        <v>0</v>
      </c>
      <c r="G17" s="1587">
        <f t="shared" si="2"/>
        <v>0</v>
      </c>
      <c r="H17" s="1587">
        <f t="shared" si="2"/>
        <v>0</v>
      </c>
      <c r="I17" s="1568"/>
      <c r="J17" s="1587">
        <f>SUM(J12:J16)</f>
        <v>0</v>
      </c>
      <c r="K17" s="1587">
        <f>SUM(K12:K16)</f>
        <v>0</v>
      </c>
      <c r="L17" s="325"/>
    </row>
    <row r="18" spans="1:12" ht="15" customHeight="1" thickTop="1" x14ac:dyDescent="0.2">
      <c r="A18" s="1423" t="s">
        <v>1638</v>
      </c>
      <c r="B18" s="1424">
        <v>4180</v>
      </c>
      <c r="C18" s="1599">
        <f t="shared" ref="C18:H18" si="3">C9</f>
        <v>306663</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1003585</v>
      </c>
      <c r="D19" s="1587">
        <f t="shared" si="4"/>
        <v>0</v>
      </c>
      <c r="E19" s="1587">
        <f t="shared" si="4"/>
        <v>0</v>
      </c>
      <c r="F19" s="1587">
        <f t="shared" si="4"/>
        <v>0</v>
      </c>
      <c r="G19" s="1587">
        <f t="shared" si="4"/>
        <v>0</v>
      </c>
      <c r="H19" s="1587">
        <f t="shared" si="4"/>
        <v>0</v>
      </c>
      <c r="I19" s="1568"/>
      <c r="J19" s="1587">
        <f>SUM(J17:J18)</f>
        <v>0</v>
      </c>
      <c r="K19" s="1587">
        <f>SUM(K17:K18)</f>
        <v>0</v>
      </c>
      <c r="L19" s="325"/>
    </row>
    <row r="20" spans="1:12" ht="16.5" thickTop="1" thickBot="1" x14ac:dyDescent="0.25">
      <c r="A20" s="2229" t="s">
        <v>1639</v>
      </c>
      <c r="B20" s="2230"/>
      <c r="C20" s="1615">
        <f>C8-C17</f>
        <v>97444</v>
      </c>
      <c r="D20" s="1615">
        <f t="shared" ref="D20:K20" si="5">D8-D17</f>
        <v>0</v>
      </c>
      <c r="E20" s="1615">
        <f t="shared" si="5"/>
        <v>0</v>
      </c>
      <c r="F20" s="1615">
        <f t="shared" si="5"/>
        <v>0</v>
      </c>
      <c r="G20" s="1615">
        <f t="shared" si="5"/>
        <v>0</v>
      </c>
      <c r="H20" s="1615">
        <f t="shared" si="5"/>
        <v>0</v>
      </c>
      <c r="I20" s="1615">
        <f t="shared" si="5"/>
        <v>0</v>
      </c>
      <c r="J20" s="1615">
        <f t="shared" si="5"/>
        <v>0</v>
      </c>
      <c r="K20" s="1615">
        <f t="shared" si="5"/>
        <v>0</v>
      </c>
      <c r="L20" s="325"/>
    </row>
    <row r="21" spans="1:12" ht="16.7" customHeight="1" thickTop="1" x14ac:dyDescent="0.2">
      <c r="A21" s="2241" t="s">
        <v>591</v>
      </c>
      <c r="B21" s="2242"/>
      <c r="C21" s="1595"/>
      <c r="D21" s="1596"/>
      <c r="E21" s="1596"/>
      <c r="F21" s="1596"/>
      <c r="G21" s="1596"/>
      <c r="H21" s="1596"/>
      <c r="I21" s="1596"/>
      <c r="J21" s="1596"/>
      <c r="K21" s="1608"/>
      <c r="L21" s="453"/>
    </row>
    <row r="22" spans="1:12" ht="15.75" customHeight="1" collapsed="1" x14ac:dyDescent="0.2">
      <c r="A22" s="2237" t="s">
        <v>592</v>
      </c>
      <c r="B22" s="2238"/>
      <c r="C22" s="1575"/>
      <c r="D22" s="1575"/>
      <c r="E22" s="1575"/>
      <c r="F22" s="1575"/>
      <c r="G22" s="1575"/>
      <c r="H22" s="1575"/>
      <c r="I22" s="1575"/>
      <c r="J22" s="1575"/>
      <c r="K22" s="1575"/>
      <c r="L22" s="325"/>
    </row>
    <row r="23" spans="1:12" s="433" customFormat="1" ht="15.75" customHeight="1" x14ac:dyDescent="0.2">
      <c r="A23" s="2233" t="s">
        <v>290</v>
      </c>
      <c r="B23" s="2234"/>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5" t="s">
        <v>974</v>
      </c>
      <c r="B32" s="2236"/>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43" t="s">
        <v>371</v>
      </c>
      <c r="B44" s="2244"/>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7" t="s">
        <v>108</v>
      </c>
      <c r="B45" s="2238"/>
      <c r="C45" s="1618"/>
      <c r="D45" s="1618"/>
      <c r="E45" s="1618"/>
      <c r="F45" s="1618"/>
      <c r="G45" s="1618"/>
      <c r="H45" s="1618"/>
      <c r="I45" s="1618"/>
      <c r="J45" s="1618"/>
      <c r="K45" s="1618"/>
      <c r="L45" s="325"/>
    </row>
    <row r="46" spans="1:12" s="433" customFormat="1" ht="15.75" customHeight="1" x14ac:dyDescent="0.2">
      <c r="A46" s="2245" t="s">
        <v>109</v>
      </c>
      <c r="B46" s="2246"/>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9" t="s">
        <v>437</v>
      </c>
      <c r="B76" s="2220"/>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21" t="s">
        <v>1169</v>
      </c>
      <c r="B77" s="2222"/>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25" t="s">
        <v>593</v>
      </c>
      <c r="B78" s="2226"/>
      <c r="C78" s="1622">
        <f t="shared" ref="C78:K78" si="9">C20+C77</f>
        <v>97444</v>
      </c>
      <c r="D78" s="1622">
        <f t="shared" si="9"/>
        <v>0</v>
      </c>
      <c r="E78" s="1622">
        <f t="shared" si="9"/>
        <v>0</v>
      </c>
      <c r="F78" s="1622">
        <f t="shared" si="9"/>
        <v>0</v>
      </c>
      <c r="G78" s="1622">
        <f t="shared" si="9"/>
        <v>0</v>
      </c>
      <c r="H78" s="1622">
        <f t="shared" si="9"/>
        <v>0</v>
      </c>
      <c r="I78" s="1622">
        <f t="shared" si="9"/>
        <v>0</v>
      </c>
      <c r="J78" s="1622">
        <f t="shared" si="9"/>
        <v>0</v>
      </c>
      <c r="K78" s="1622">
        <f t="shared" si="9"/>
        <v>0</v>
      </c>
      <c r="L78" s="457"/>
    </row>
    <row r="79" spans="1:12" ht="13.5" thickTop="1" x14ac:dyDescent="0.2">
      <c r="A79" s="1837" t="str">
        <f>"Fund Balances - July 1, "&amp;'AFR20'!E2-1</f>
        <v>Fund Balances - July 1, 2019</v>
      </c>
      <c r="B79" s="458"/>
      <c r="C79" s="1576">
        <v>645391</v>
      </c>
      <c r="D79" s="1623"/>
      <c r="E79" s="1623"/>
      <c r="F79" s="1623"/>
      <c r="G79" s="1623"/>
      <c r="H79" s="1623"/>
      <c r="I79" s="1623"/>
      <c r="J79" s="1623"/>
      <c r="K79" s="1623"/>
      <c r="L79" s="325"/>
    </row>
    <row r="80" spans="1:12" x14ac:dyDescent="0.2">
      <c r="A80" s="2231" t="s">
        <v>1775</v>
      </c>
      <c r="B80" s="2232"/>
      <c r="C80" s="1567"/>
      <c r="D80" s="1567"/>
      <c r="E80" s="1567"/>
      <c r="F80" s="1567"/>
      <c r="G80" s="1567"/>
      <c r="H80" s="1567"/>
      <c r="I80" s="1567"/>
      <c r="J80" s="1567"/>
      <c r="K80" s="1567"/>
      <c r="L80" s="325"/>
    </row>
    <row r="81" spans="1:12" ht="13.5" thickBot="1" x14ac:dyDescent="0.25">
      <c r="A81" s="2223" t="str">
        <f>"Fund Balances - June 30, "&amp;'AFR20'!E2</f>
        <v>Fund Balances - June 30, 2020</v>
      </c>
      <c r="B81" s="2224"/>
      <c r="C81" s="1587">
        <f>(SUM(C78:C80))</f>
        <v>742835</v>
      </c>
      <c r="D81" s="1587">
        <f>SUM(D78:D80)</f>
        <v>0</v>
      </c>
      <c r="E81" s="1587">
        <f t="shared" ref="E81:K81" si="10">SUM(E78:E80)</f>
        <v>0</v>
      </c>
      <c r="F81" s="1587">
        <f t="shared" si="10"/>
        <v>0</v>
      </c>
      <c r="G81" s="1587">
        <f t="shared" si="10"/>
        <v>0</v>
      </c>
      <c r="H81" s="1587">
        <f t="shared" si="10"/>
        <v>0</v>
      </c>
      <c r="I81" s="1587">
        <f t="shared" si="10"/>
        <v>0</v>
      </c>
      <c r="J81" s="1587">
        <f t="shared" si="10"/>
        <v>0</v>
      </c>
      <c r="K81" s="1587">
        <f t="shared" si="10"/>
        <v>0</v>
      </c>
      <c r="L81" s="325"/>
    </row>
    <row r="82" spans="1:12" ht="0.75" customHeight="1" thickTop="1" thickBot="1" x14ac:dyDescent="0.25">
      <c r="A82" s="459" t="s">
        <v>340</v>
      </c>
      <c r="B82" s="460"/>
      <c r="C82" s="461">
        <f>(C81-C79)</f>
        <v>97444</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0.13117852551374126</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0" activePane="bottomLeft" state="frozen"/>
      <selection activeCell="C40" sqref="C40"/>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1782</v>
      </c>
      <c r="B1" s="416"/>
      <c r="C1" s="417" t="s">
        <v>422</v>
      </c>
      <c r="D1" s="417" t="s">
        <v>423</v>
      </c>
      <c r="E1" s="417" t="s">
        <v>424</v>
      </c>
      <c r="F1" s="417" t="s">
        <v>425</v>
      </c>
      <c r="G1" s="417" t="s">
        <v>426</v>
      </c>
      <c r="H1" s="417" t="s">
        <v>427</v>
      </c>
      <c r="I1" s="417" t="s">
        <v>428</v>
      </c>
      <c r="J1" s="417" t="s">
        <v>429</v>
      </c>
      <c r="K1" s="417" t="s">
        <v>751</v>
      </c>
    </row>
    <row r="2" spans="1:12" ht="36" x14ac:dyDescent="0.2">
      <c r="A2" s="222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c r="D5" s="1579"/>
      <c r="E5" s="1566"/>
      <c r="F5" s="1624"/>
      <c r="G5" s="1566"/>
      <c r="H5" s="1566"/>
      <c r="I5" s="1566"/>
      <c r="J5" s="1567"/>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c r="D7" s="1566"/>
      <c r="E7" s="1568"/>
      <c r="F7" s="1567"/>
      <c r="G7" s="1567"/>
      <c r="H7" s="1567"/>
      <c r="I7" s="1568"/>
      <c r="J7" s="1568"/>
      <c r="K7" s="1568"/>
    </row>
    <row r="8" spans="1:12" x14ac:dyDescent="0.2">
      <c r="A8" s="427" t="s">
        <v>410</v>
      </c>
      <c r="B8" s="429">
        <v>1150</v>
      </c>
      <c r="C8" s="1573"/>
      <c r="D8" s="1573"/>
      <c r="E8" s="1575"/>
      <c r="F8" s="1575"/>
      <c r="G8" s="1579"/>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0</v>
      </c>
      <c r="D12" s="1626">
        <f t="shared" si="0"/>
        <v>0</v>
      </c>
      <c r="E12" s="1626">
        <f t="shared" si="0"/>
        <v>0</v>
      </c>
      <c r="F12" s="1626">
        <f t="shared" si="0"/>
        <v>0</v>
      </c>
      <c r="G12" s="1626">
        <f t="shared" si="0"/>
        <v>0</v>
      </c>
      <c r="H12" s="1626">
        <f t="shared" si="0"/>
        <v>0</v>
      </c>
      <c r="I12" s="1626">
        <f t="shared" si="0"/>
        <v>0</v>
      </c>
      <c r="J12" s="1626">
        <f t="shared" si="0"/>
        <v>0</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c r="D16" s="1566"/>
      <c r="E16" s="1566"/>
      <c r="F16" s="1566"/>
      <c r="G16" s="1566"/>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0</v>
      </c>
      <c r="D18" s="1628">
        <f t="shared" ref="D18:K18" si="1">SUM(D14:D17)</f>
        <v>0</v>
      </c>
      <c r="E18" s="1628">
        <f t="shared" si="1"/>
        <v>0</v>
      </c>
      <c r="F18" s="1628">
        <f t="shared" si="1"/>
        <v>0</v>
      </c>
      <c r="G18" s="1628">
        <f t="shared" si="1"/>
        <v>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v>269214</v>
      </c>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269214</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4841</v>
      </c>
      <c r="D65" s="1566"/>
      <c r="E65" s="1566"/>
      <c r="F65" s="1567"/>
      <c r="G65" s="1566"/>
      <c r="H65" s="1566"/>
      <c r="I65" s="1566"/>
      <c r="J65" s="1567"/>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4841</v>
      </c>
      <c r="D67" s="1587">
        <f t="shared" ref="D67:K67" si="2">SUM(D65:D66)</f>
        <v>0</v>
      </c>
      <c r="E67" s="1587">
        <f t="shared" si="2"/>
        <v>0</v>
      </c>
      <c r="F67" s="1587">
        <f t="shared" si="2"/>
        <v>0</v>
      </c>
      <c r="G67" s="1587">
        <f t="shared" si="2"/>
        <v>0</v>
      </c>
      <c r="H67" s="1587">
        <f t="shared" si="2"/>
        <v>0</v>
      </c>
      <c r="I67" s="1587">
        <f t="shared" si="2"/>
        <v>0</v>
      </c>
      <c r="J67" s="1587">
        <f t="shared" si="2"/>
        <v>0</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0</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0</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0</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c r="E95" s="1610"/>
      <c r="F95" s="1610"/>
      <c r="G95" s="1610"/>
      <c r="H95" s="1610"/>
      <c r="I95" s="1610"/>
      <c r="J95" s="1610"/>
      <c r="K95" s="1610"/>
    </row>
    <row r="96" spans="1:11" ht="12.75" customHeight="1" x14ac:dyDescent="0.2">
      <c r="A96" s="427" t="s">
        <v>388</v>
      </c>
      <c r="B96" s="429">
        <v>1920</v>
      </c>
      <c r="C96" s="1625"/>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21000</v>
      </c>
      <c r="D107" s="1566"/>
      <c r="E107" s="1566"/>
      <c r="F107" s="1566"/>
      <c r="G107" s="1566"/>
      <c r="H107" s="1566"/>
      <c r="I107" s="1566"/>
      <c r="J107" s="1567"/>
      <c r="K107" s="1566"/>
    </row>
    <row r="108" spans="1:12" ht="12.75" customHeight="1" thickBot="1" x14ac:dyDescent="0.25">
      <c r="A108" s="1399" t="s">
        <v>484</v>
      </c>
      <c r="B108" s="1401"/>
      <c r="C108" s="1626">
        <f>SUM(C95:C107)</f>
        <v>21000</v>
      </c>
      <c r="D108" s="1626">
        <f t="shared" ref="D108:K108" si="3">SUM(D95:D107)</f>
        <v>0</v>
      </c>
      <c r="E108" s="1626">
        <f t="shared" si="3"/>
        <v>0</v>
      </c>
      <c r="F108" s="1626">
        <f t="shared" si="3"/>
        <v>0</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295055</v>
      </c>
      <c r="D109" s="1634">
        <f t="shared" si="4"/>
        <v>0</v>
      </c>
      <c r="E109" s="1634">
        <f t="shared" si="4"/>
        <v>0</v>
      </c>
      <c r="F109" s="1634">
        <f t="shared" si="4"/>
        <v>0</v>
      </c>
      <c r="G109" s="1634">
        <f t="shared" si="4"/>
        <v>0</v>
      </c>
      <c r="H109" s="1634">
        <f t="shared" si="4"/>
        <v>0</v>
      </c>
      <c r="I109" s="1634">
        <f t="shared" si="4"/>
        <v>0</v>
      </c>
      <c r="J109" s="1634">
        <f t="shared" si="4"/>
        <v>0</v>
      </c>
      <c r="K109" s="1622">
        <f t="shared" si="4"/>
        <v>0</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0</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0</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v>331293</v>
      </c>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331293</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c r="G152" s="1567"/>
      <c r="H152" s="1568"/>
      <c r="I152" s="1568"/>
      <c r="J152" s="1568"/>
      <c r="K152" s="1568"/>
    </row>
    <row r="153" spans="1:11" ht="12.75" customHeight="1" x14ac:dyDescent="0.2">
      <c r="A153" s="427" t="s">
        <v>1050</v>
      </c>
      <c r="B153" s="478">
        <v>3510</v>
      </c>
      <c r="C153" s="1625"/>
      <c r="D153" s="1566"/>
      <c r="E153" s="1633"/>
      <c r="F153" s="1566"/>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0</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50000</v>
      </c>
      <c r="D168" s="1648"/>
      <c r="E168" s="1648"/>
      <c r="F168" s="1648"/>
      <c r="G168" s="1649"/>
      <c r="H168" s="1650"/>
      <c r="I168" s="1649"/>
      <c r="J168" s="1649"/>
      <c r="K168" s="1650"/>
    </row>
    <row r="169" spans="1:11" ht="12.75" customHeight="1" thickTop="1" thickBot="1" x14ac:dyDescent="0.25">
      <c r="A169" s="2247" t="s">
        <v>395</v>
      </c>
      <c r="B169" s="2248"/>
      <c r="C169" s="1651">
        <f t="shared" ref="C169:K169" si="6">SUM(C132,C141,C145,C146:C150,C155,C156:C167,C168)</f>
        <v>381293</v>
      </c>
      <c r="D169" s="1651">
        <f t="shared" si="6"/>
        <v>0</v>
      </c>
      <c r="E169" s="1651">
        <f t="shared" si="6"/>
        <v>0</v>
      </c>
      <c r="F169" s="1651">
        <f t="shared" si="6"/>
        <v>0</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381293</v>
      </c>
      <c r="D170" s="1634">
        <f t="shared" si="7"/>
        <v>0</v>
      </c>
      <c r="E170" s="1634">
        <f t="shared" si="7"/>
        <v>0</v>
      </c>
      <c r="F170" s="1634">
        <f t="shared" si="7"/>
        <v>0</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49" t="s">
        <v>1478</v>
      </c>
      <c r="B172" s="2250"/>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3" t="s">
        <v>1649</v>
      </c>
      <c r="B175" s="2254"/>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7" t="s">
        <v>1648</v>
      </c>
      <c r="B176" s="2258"/>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5" t="s">
        <v>780</v>
      </c>
      <c r="B181" s="2256"/>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1" t="s">
        <v>1783</v>
      </c>
      <c r="B182" s="2252"/>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0</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0</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t="s">
        <v>2040</v>
      </c>
      <c r="E216" s="1568"/>
      <c r="F216" s="1566"/>
      <c r="G216" s="1566"/>
      <c r="H216" s="1568"/>
      <c r="I216" s="1568"/>
      <c r="J216" s="1568"/>
      <c r="K216" s="1568"/>
    </row>
    <row r="217" spans="1:11" ht="12.75" customHeight="1" thickBot="1" x14ac:dyDescent="0.25">
      <c r="A217" s="1399" t="s">
        <v>444</v>
      </c>
      <c r="B217" s="1400"/>
      <c r="C217" s="1626">
        <f>SUM(C211:C216)</f>
        <v>0</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v>118018</v>
      </c>
      <c r="D220" s="1566"/>
      <c r="E220" s="1568"/>
      <c r="F220" s="1568"/>
      <c r="G220" s="1566"/>
      <c r="H220" s="1568"/>
      <c r="I220" s="1568"/>
      <c r="J220" s="1568"/>
      <c r="K220" s="1568"/>
    </row>
    <row r="221" spans="1:11" ht="12.75" customHeight="1" thickBot="1" x14ac:dyDescent="0.25">
      <c r="A221" s="1408" t="s">
        <v>1078</v>
      </c>
      <c r="B221" s="1409"/>
      <c r="C221" s="1626">
        <f>SUM(C219:C220)</f>
        <v>118018</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c r="D263" s="1644"/>
      <c r="E263" s="1568"/>
      <c r="F263" s="1644"/>
      <c r="G263" s="1644"/>
      <c r="H263" s="1568"/>
      <c r="I263" s="1568"/>
      <c r="J263" s="1568"/>
      <c r="K263" s="1568"/>
    </row>
    <row r="264" spans="1:11" ht="12.75" customHeight="1" thickTop="1" thickBot="1" x14ac:dyDescent="0.25">
      <c r="A264" s="427" t="s">
        <v>374</v>
      </c>
      <c r="B264" s="429">
        <v>4992</v>
      </c>
      <c r="C264" s="1643"/>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118018</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118018</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794366</v>
      </c>
      <c r="D268" s="1634">
        <f t="shared" si="12"/>
        <v>0</v>
      </c>
      <c r="E268" s="1634">
        <f t="shared" si="12"/>
        <v>0</v>
      </c>
      <c r="F268" s="1634">
        <f t="shared" si="12"/>
        <v>0</v>
      </c>
      <c r="G268" s="1634">
        <f t="shared" si="12"/>
        <v>0</v>
      </c>
      <c r="H268" s="1634">
        <f t="shared" si="12"/>
        <v>0</v>
      </c>
      <c r="I268" s="1634">
        <f t="shared" si="12"/>
        <v>0</v>
      </c>
      <c r="J268" s="1634">
        <f t="shared" si="12"/>
        <v>0</v>
      </c>
      <c r="K268" s="162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activeCell="C40" sqref="C40"/>
      <selection pane="bottomLeft" activeCell="C40" sqref="C4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5" t="s">
        <v>294</v>
      </c>
      <c r="B3" s="2266"/>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c r="D5" s="1566"/>
      <c r="E5" s="1566"/>
      <c r="F5" s="1566"/>
      <c r="G5" s="1566"/>
      <c r="H5" s="1566"/>
      <c r="I5" s="1567"/>
      <c r="J5" s="1567"/>
      <c r="K5" s="1665">
        <f>SUM(C5:J5)</f>
        <v>0</v>
      </c>
      <c r="L5" s="1566"/>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c r="D7" s="1567"/>
      <c r="E7" s="1567"/>
      <c r="F7" s="1567"/>
      <c r="G7" s="1567"/>
      <c r="H7" s="1567"/>
      <c r="I7" s="1567"/>
      <c r="J7" s="1567"/>
      <c r="K7" s="1665">
        <f t="shared" ref="K7:K32" si="0">SUM(C7:J7)</f>
        <v>0</v>
      </c>
      <c r="L7" s="1566"/>
    </row>
    <row r="8" spans="1:14" x14ac:dyDescent="0.2">
      <c r="A8" s="1267" t="s">
        <v>163</v>
      </c>
      <c r="B8" s="503">
        <v>1200</v>
      </c>
      <c r="C8" s="1566"/>
      <c r="D8" s="1566"/>
      <c r="E8" s="1566"/>
      <c r="F8" s="1566"/>
      <c r="G8" s="1566"/>
      <c r="H8" s="1566"/>
      <c r="I8" s="1567"/>
      <c r="J8" s="1567"/>
      <c r="K8" s="1665">
        <f t="shared" si="0"/>
        <v>0</v>
      </c>
      <c r="L8" s="1566"/>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c r="D10" s="1566"/>
      <c r="E10" s="1566"/>
      <c r="F10" s="1566"/>
      <c r="G10" s="1566"/>
      <c r="H10" s="1566"/>
      <c r="I10" s="1567"/>
      <c r="J10" s="1567"/>
      <c r="K10" s="1665">
        <f t="shared" si="0"/>
        <v>0</v>
      </c>
      <c r="L10" s="1566"/>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v>289989</v>
      </c>
      <c r="D13" s="1566">
        <v>38433</v>
      </c>
      <c r="E13" s="1566">
        <v>8182</v>
      </c>
      <c r="F13" s="1566">
        <v>47994</v>
      </c>
      <c r="G13" s="1566">
        <v>27683</v>
      </c>
      <c r="H13" s="1566"/>
      <c r="I13" s="1567"/>
      <c r="J13" s="1567"/>
      <c r="K13" s="1665">
        <f t="shared" si="0"/>
        <v>412281</v>
      </c>
      <c r="L13" s="1566">
        <v>466865</v>
      </c>
    </row>
    <row r="14" spans="1:14" x14ac:dyDescent="0.2">
      <c r="A14" s="1267" t="s">
        <v>957</v>
      </c>
      <c r="B14" s="503">
        <v>1500</v>
      </c>
      <c r="C14" s="1566"/>
      <c r="D14" s="1566"/>
      <c r="E14" s="1566"/>
      <c r="F14" s="1566"/>
      <c r="G14" s="1566"/>
      <c r="H14" s="1566"/>
      <c r="I14" s="1567"/>
      <c r="J14" s="1567"/>
      <c r="K14" s="1665">
        <f t="shared" si="0"/>
        <v>0</v>
      </c>
      <c r="L14" s="1566"/>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289989</v>
      </c>
      <c r="D33" s="1667">
        <f t="shared" ref="D33:L33" si="1">SUM(D5:D32)</f>
        <v>38433</v>
      </c>
      <c r="E33" s="1667">
        <f t="shared" si="1"/>
        <v>8182</v>
      </c>
      <c r="F33" s="1667">
        <f t="shared" si="1"/>
        <v>47994</v>
      </c>
      <c r="G33" s="1667">
        <f t="shared" si="1"/>
        <v>27683</v>
      </c>
      <c r="H33" s="1667">
        <f t="shared" si="1"/>
        <v>0</v>
      </c>
      <c r="I33" s="1667">
        <f t="shared" si="1"/>
        <v>0</v>
      </c>
      <c r="J33" s="1667">
        <f t="shared" si="1"/>
        <v>0</v>
      </c>
      <c r="K33" s="1667">
        <f t="shared" si="1"/>
        <v>412281</v>
      </c>
      <c r="L33" s="1667">
        <f t="shared" si="1"/>
        <v>466865</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row>
    <row r="37" spans="1:14" x14ac:dyDescent="0.2">
      <c r="A37" s="1267" t="s">
        <v>1083</v>
      </c>
      <c r="B37" s="503">
        <v>2120</v>
      </c>
      <c r="C37" s="1566">
        <v>21009</v>
      </c>
      <c r="D37" s="1566">
        <v>1768</v>
      </c>
      <c r="E37" s="1566">
        <v>4</v>
      </c>
      <c r="F37" s="1566"/>
      <c r="G37" s="1566"/>
      <c r="H37" s="1566"/>
      <c r="I37" s="1567"/>
      <c r="J37" s="1567"/>
      <c r="K37" s="1665">
        <f t="shared" si="2"/>
        <v>22781</v>
      </c>
      <c r="L37" s="1566"/>
    </row>
    <row r="38" spans="1:14" x14ac:dyDescent="0.2">
      <c r="A38" s="1267" t="s">
        <v>196</v>
      </c>
      <c r="B38" s="503">
        <v>2130</v>
      </c>
      <c r="C38" s="1566"/>
      <c r="D38" s="1566"/>
      <c r="E38" s="1566"/>
      <c r="F38" s="1566"/>
      <c r="G38" s="1566"/>
      <c r="H38" s="1566"/>
      <c r="I38" s="1567"/>
      <c r="J38" s="1567"/>
      <c r="K38" s="1665">
        <f t="shared" si="2"/>
        <v>0</v>
      </c>
      <c r="L38" s="1566"/>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c r="F40" s="1566"/>
      <c r="G40" s="1566"/>
      <c r="H40" s="1566"/>
      <c r="I40" s="1567"/>
      <c r="J40" s="1567"/>
      <c r="K40" s="1665">
        <f t="shared" si="2"/>
        <v>0</v>
      </c>
      <c r="L40" s="1566"/>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21009</v>
      </c>
      <c r="D42" s="1667">
        <f t="shared" ref="D42:L42" si="3">SUM(D36:D41)</f>
        <v>1768</v>
      </c>
      <c r="E42" s="1667">
        <f t="shared" si="3"/>
        <v>4</v>
      </c>
      <c r="F42" s="1667">
        <f t="shared" si="3"/>
        <v>0</v>
      </c>
      <c r="G42" s="1667">
        <f t="shared" si="3"/>
        <v>0</v>
      </c>
      <c r="H42" s="1667">
        <f t="shared" si="3"/>
        <v>0</v>
      </c>
      <c r="I42" s="1667">
        <f t="shared" si="3"/>
        <v>0</v>
      </c>
      <c r="J42" s="1667">
        <f t="shared" si="3"/>
        <v>0</v>
      </c>
      <c r="K42" s="1667">
        <f t="shared" si="3"/>
        <v>22781</v>
      </c>
      <c r="L42" s="1667">
        <f t="shared" si="3"/>
        <v>0</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50605</v>
      </c>
      <c r="D44" s="1579">
        <v>16007</v>
      </c>
      <c r="E44" s="1579">
        <v>5591</v>
      </c>
      <c r="F44" s="1579">
        <v>1783</v>
      </c>
      <c r="G44" s="1579"/>
      <c r="H44" s="1579"/>
      <c r="I44" s="1567"/>
      <c r="J44" s="1567"/>
      <c r="K44" s="1671">
        <f>SUM(C44:J44)</f>
        <v>73986</v>
      </c>
      <c r="L44" s="1579">
        <v>115239</v>
      </c>
    </row>
    <row r="45" spans="1:14" x14ac:dyDescent="0.2">
      <c r="A45" s="1267" t="s">
        <v>810</v>
      </c>
      <c r="B45" s="503">
        <v>2220</v>
      </c>
      <c r="C45" s="1566"/>
      <c r="D45" s="1566"/>
      <c r="E45" s="1566"/>
      <c r="F45" s="1566"/>
      <c r="G45" s="1566"/>
      <c r="H45" s="1566"/>
      <c r="I45" s="1567"/>
      <c r="J45" s="1567"/>
      <c r="K45" s="1671">
        <f>SUM(C45:J45)</f>
        <v>0</v>
      </c>
      <c r="L45" s="1566"/>
    </row>
    <row r="46" spans="1:14" x14ac:dyDescent="0.2">
      <c r="A46" s="1267" t="s">
        <v>811</v>
      </c>
      <c r="B46" s="503">
        <v>2230</v>
      </c>
      <c r="C46" s="1566"/>
      <c r="D46" s="1566"/>
      <c r="E46" s="1566">
        <v>88</v>
      </c>
      <c r="F46" s="1566"/>
      <c r="G46" s="1566"/>
      <c r="H46" s="1566"/>
      <c r="I46" s="1567"/>
      <c r="J46" s="1567"/>
      <c r="K46" s="1671">
        <f>SUM(C46:J46)</f>
        <v>88</v>
      </c>
      <c r="L46" s="1566"/>
    </row>
    <row r="47" spans="1:14" ht="12.75" customHeight="1" thickBot="1" x14ac:dyDescent="0.25">
      <c r="A47" s="1373" t="s">
        <v>557</v>
      </c>
      <c r="B47" s="1374" t="s">
        <v>32</v>
      </c>
      <c r="C47" s="1667">
        <f>SUM(C44:C46)</f>
        <v>50605</v>
      </c>
      <c r="D47" s="1667">
        <f t="shared" ref="D47:K47" si="4">SUM(D44:D46)</f>
        <v>16007</v>
      </c>
      <c r="E47" s="1667">
        <f t="shared" si="4"/>
        <v>5679</v>
      </c>
      <c r="F47" s="1667">
        <f t="shared" si="4"/>
        <v>1783</v>
      </c>
      <c r="G47" s="1667">
        <f t="shared" si="4"/>
        <v>0</v>
      </c>
      <c r="H47" s="1667">
        <f t="shared" si="4"/>
        <v>0</v>
      </c>
      <c r="I47" s="1667">
        <f t="shared" si="4"/>
        <v>0</v>
      </c>
      <c r="J47" s="1667">
        <f t="shared" si="4"/>
        <v>0</v>
      </c>
      <c r="K47" s="1667">
        <f t="shared" si="4"/>
        <v>74074</v>
      </c>
      <c r="L47" s="1667">
        <f>SUM(L44:L46)</f>
        <v>115239</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1489</v>
      </c>
      <c r="D49" s="1579">
        <v>114</v>
      </c>
      <c r="E49" s="1579">
        <v>221</v>
      </c>
      <c r="F49" s="1579"/>
      <c r="G49" s="1579"/>
      <c r="H49" s="1579"/>
      <c r="I49" s="1567"/>
      <c r="J49" s="1567"/>
      <c r="K49" s="1671">
        <f>SUM(C49:J49)</f>
        <v>1824</v>
      </c>
      <c r="L49" s="1579">
        <v>1825</v>
      </c>
    </row>
    <row r="50" spans="1:14" x14ac:dyDescent="0.2">
      <c r="A50" s="1267" t="s">
        <v>813</v>
      </c>
      <c r="B50" s="503">
        <v>2320</v>
      </c>
      <c r="C50" s="1566"/>
      <c r="D50" s="1566"/>
      <c r="E50" s="1566"/>
      <c r="F50" s="1566"/>
      <c r="G50" s="1566"/>
      <c r="H50" s="1566"/>
      <c r="I50" s="1567"/>
      <c r="J50" s="1567"/>
      <c r="K50" s="1671">
        <f>SUM(C50:J50)</f>
        <v>0</v>
      </c>
      <c r="L50" s="1566"/>
    </row>
    <row r="51" spans="1:14" x14ac:dyDescent="0.2">
      <c r="A51" s="1267" t="s">
        <v>42</v>
      </c>
      <c r="B51" s="503">
        <v>2330</v>
      </c>
      <c r="C51" s="1566">
        <v>61083</v>
      </c>
      <c r="D51" s="1566">
        <v>18194</v>
      </c>
      <c r="E51" s="1566">
        <v>11431</v>
      </c>
      <c r="F51" s="1566"/>
      <c r="G51" s="1566"/>
      <c r="H51" s="1566">
        <v>3087</v>
      </c>
      <c r="I51" s="1567"/>
      <c r="J51" s="1567"/>
      <c r="K51" s="1671">
        <f>SUM(C51:J51)</f>
        <v>93795</v>
      </c>
      <c r="L51" s="1566">
        <v>95724</v>
      </c>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62572</v>
      </c>
      <c r="D53" s="1667">
        <f t="shared" ref="D53:L53" si="5">SUM(D49:D52)</f>
        <v>18308</v>
      </c>
      <c r="E53" s="1667">
        <f t="shared" si="5"/>
        <v>11652</v>
      </c>
      <c r="F53" s="1667">
        <f t="shared" si="5"/>
        <v>0</v>
      </c>
      <c r="G53" s="1667">
        <f t="shared" si="5"/>
        <v>0</v>
      </c>
      <c r="H53" s="1667">
        <f t="shared" si="5"/>
        <v>3087</v>
      </c>
      <c r="I53" s="1667">
        <f t="shared" si="5"/>
        <v>0</v>
      </c>
      <c r="J53" s="1667">
        <f t="shared" si="5"/>
        <v>0</v>
      </c>
      <c r="K53" s="1667">
        <f t="shared" si="5"/>
        <v>95619</v>
      </c>
      <c r="L53" s="1667">
        <f t="shared" si="5"/>
        <v>97549</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c r="D55" s="1579"/>
      <c r="E55" s="1579"/>
      <c r="F55" s="1579"/>
      <c r="G55" s="1579"/>
      <c r="H55" s="1579"/>
      <c r="I55" s="1567"/>
      <c r="J55" s="1567"/>
      <c r="K55" s="1671">
        <f>SUM(C55:J55)</f>
        <v>0</v>
      </c>
      <c r="L55" s="1579"/>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0</v>
      </c>
      <c r="D57" s="1672">
        <f t="shared" ref="D57:K57" si="6">SUM(D55:D56)</f>
        <v>0</v>
      </c>
      <c r="E57" s="1672">
        <f t="shared" si="6"/>
        <v>0</v>
      </c>
      <c r="F57" s="1672">
        <f t="shared" si="6"/>
        <v>0</v>
      </c>
      <c r="G57" s="1672">
        <f t="shared" si="6"/>
        <v>0</v>
      </c>
      <c r="H57" s="1672">
        <f t="shared" si="6"/>
        <v>0</v>
      </c>
      <c r="I57" s="1672">
        <f t="shared" si="6"/>
        <v>0</v>
      </c>
      <c r="J57" s="1672">
        <f t="shared" si="6"/>
        <v>0</v>
      </c>
      <c r="K57" s="1672">
        <f t="shared" si="6"/>
        <v>0</v>
      </c>
      <c r="L57" s="1667">
        <f>SUM(L55:L56)</f>
        <v>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10652</v>
      </c>
      <c r="D60" s="1566">
        <v>815</v>
      </c>
      <c r="E60" s="1566">
        <v>3630</v>
      </c>
      <c r="F60" s="1566">
        <v>1010</v>
      </c>
      <c r="G60" s="1566">
        <v>1304</v>
      </c>
      <c r="H60" s="1566"/>
      <c r="I60" s="1567"/>
      <c r="J60" s="1567"/>
      <c r="K60" s="1671">
        <f t="shared" si="7"/>
        <v>17411</v>
      </c>
      <c r="L60" s="1566">
        <v>19592</v>
      </c>
      <c r="M60" s="501"/>
      <c r="N60" s="501"/>
    </row>
    <row r="61" spans="1:14" s="321" customFormat="1" x14ac:dyDescent="0.2">
      <c r="A61" s="1267" t="s">
        <v>195</v>
      </c>
      <c r="B61" s="503">
        <v>2540</v>
      </c>
      <c r="C61" s="1566"/>
      <c r="D61" s="1566"/>
      <c r="E61" s="1566">
        <v>26636</v>
      </c>
      <c r="F61" s="1566">
        <v>16445</v>
      </c>
      <c r="G61" s="1566"/>
      <c r="H61" s="1566"/>
      <c r="I61" s="1567"/>
      <c r="J61" s="1567"/>
      <c r="K61" s="1671">
        <f t="shared" si="7"/>
        <v>43081</v>
      </c>
      <c r="L61" s="1566">
        <v>51845</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c r="D63" s="1566"/>
      <c r="E63" s="1566"/>
      <c r="F63" s="1566"/>
      <c r="G63" s="1566"/>
      <c r="H63" s="1566"/>
      <c r="I63" s="1567"/>
      <c r="J63" s="1567"/>
      <c r="K63" s="1671">
        <f t="shared" si="7"/>
        <v>0</v>
      </c>
      <c r="L63" s="1566"/>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10652</v>
      </c>
      <c r="D65" s="1667">
        <f t="shared" ref="D65:L65" si="8">SUM(D59:D64)</f>
        <v>815</v>
      </c>
      <c r="E65" s="1667">
        <f t="shared" si="8"/>
        <v>30266</v>
      </c>
      <c r="F65" s="1667">
        <f t="shared" si="8"/>
        <v>17455</v>
      </c>
      <c r="G65" s="1667">
        <f t="shared" si="8"/>
        <v>1304</v>
      </c>
      <c r="H65" s="1667">
        <f t="shared" si="8"/>
        <v>0</v>
      </c>
      <c r="I65" s="1667">
        <f t="shared" si="8"/>
        <v>0</v>
      </c>
      <c r="J65" s="1667">
        <f t="shared" si="8"/>
        <v>0</v>
      </c>
      <c r="K65" s="1667">
        <f t="shared" si="8"/>
        <v>60492</v>
      </c>
      <c r="L65" s="1667">
        <f t="shared" si="8"/>
        <v>71437</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144838</v>
      </c>
      <c r="D74" s="1674">
        <f t="shared" ref="D74:K74" si="10">SUM(D42,D47,D53,D57,D65,D72,D73)</f>
        <v>36898</v>
      </c>
      <c r="E74" s="1674">
        <f t="shared" si="10"/>
        <v>47601</v>
      </c>
      <c r="F74" s="1674">
        <f t="shared" si="10"/>
        <v>19238</v>
      </c>
      <c r="G74" s="1674">
        <f t="shared" si="10"/>
        <v>1304</v>
      </c>
      <c r="H74" s="1674">
        <f t="shared" si="10"/>
        <v>3087</v>
      </c>
      <c r="I74" s="1674">
        <f t="shared" si="10"/>
        <v>0</v>
      </c>
      <c r="J74" s="1674">
        <f t="shared" si="10"/>
        <v>0</v>
      </c>
      <c r="K74" s="1674">
        <f t="shared" si="10"/>
        <v>252966</v>
      </c>
      <c r="L74" s="1674">
        <f>SUM(L42,L47,L53,L57,L65,L72,L73)</f>
        <v>284225</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c r="I79" s="1575"/>
      <c r="J79" s="1575"/>
      <c r="K79" s="1665">
        <f t="shared" si="11"/>
        <v>0</v>
      </c>
      <c r="L79" s="1566"/>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v>31675</v>
      </c>
      <c r="I83" s="1575"/>
      <c r="J83" s="1575"/>
      <c r="K83" s="1665">
        <f t="shared" si="11"/>
        <v>31675</v>
      </c>
      <c r="L83" s="1566"/>
    </row>
    <row r="84" spans="1:12" ht="13.5" thickBot="1" x14ac:dyDescent="0.25">
      <c r="A84" s="1373" t="s">
        <v>1471</v>
      </c>
      <c r="B84" s="1378">
        <v>4100</v>
      </c>
      <c r="C84" s="1666"/>
      <c r="D84" s="1666"/>
      <c r="E84" s="1667">
        <f>SUM(E78:E83)</f>
        <v>0</v>
      </c>
      <c r="F84" s="1666"/>
      <c r="G84" s="1666"/>
      <c r="H84" s="1667">
        <f>SUM(H78:H83)</f>
        <v>31675</v>
      </c>
      <c r="I84" s="1575"/>
      <c r="J84" s="1575"/>
      <c r="K84" s="1667">
        <f>SUM(K78:K83)</f>
        <v>31675</v>
      </c>
      <c r="L84" s="1667">
        <f>SUM(L78:L83)</f>
        <v>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0</v>
      </c>
      <c r="F102" s="1666"/>
      <c r="G102" s="1666"/>
      <c r="H102" s="1674">
        <f>SUM(H84,H92,H100,H101)</f>
        <v>31675</v>
      </c>
      <c r="I102" s="1575"/>
      <c r="J102" s="1575"/>
      <c r="K102" s="1674">
        <f>SUM(K84,K92,K100,K101)</f>
        <v>31675</v>
      </c>
      <c r="L102" s="1674">
        <f>SUM(L84,L92,L100,L101)</f>
        <v>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434827</v>
      </c>
      <c r="D114" s="1667">
        <f t="shared" ref="D114:K114" si="13">SUM(D33,D74,D75,D102,D112,D113)</f>
        <v>75331</v>
      </c>
      <c r="E114" s="1667">
        <f t="shared" si="13"/>
        <v>55783</v>
      </c>
      <c r="F114" s="1667">
        <f t="shared" si="13"/>
        <v>67232</v>
      </c>
      <c r="G114" s="1667">
        <f t="shared" si="13"/>
        <v>28987</v>
      </c>
      <c r="H114" s="1667">
        <f>SUM(H33,H74,H75,H102,H112,H113)</f>
        <v>34762</v>
      </c>
      <c r="I114" s="1667">
        <f t="shared" si="13"/>
        <v>0</v>
      </c>
      <c r="J114" s="1667">
        <f t="shared" si="13"/>
        <v>0</v>
      </c>
      <c r="K114" s="1667">
        <f t="shared" si="13"/>
        <v>696922</v>
      </c>
      <c r="L114" s="1667">
        <f>SUM(L33,L74,L75,L102,L112,L113)</f>
        <v>751090</v>
      </c>
    </row>
    <row r="115" spans="1:14" ht="13.5" thickTop="1" x14ac:dyDescent="0.2">
      <c r="A115" s="2284" t="s">
        <v>989</v>
      </c>
      <c r="B115" s="2285"/>
      <c r="C115" s="1668"/>
      <c r="D115" s="1668"/>
      <c r="E115" s="1668"/>
      <c r="F115" s="1668"/>
      <c r="G115" s="1668"/>
      <c r="H115" s="1668"/>
      <c r="I115" s="1668"/>
      <c r="J115" s="1668"/>
      <c r="K115" s="1682">
        <f>'Revenues 9-14'!C268-'Expenditures 15-22'!K114</f>
        <v>97444</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2" t="s">
        <v>293</v>
      </c>
      <c r="B117" s="2263"/>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c r="D124" s="1566"/>
      <c r="E124" s="1566"/>
      <c r="F124" s="1566"/>
      <c r="G124" s="1566"/>
      <c r="H124" s="1566"/>
      <c r="I124" s="1567"/>
      <c r="J124" s="1567"/>
      <c r="K124" s="1667">
        <f>SUM(C124:J124)</f>
        <v>0</v>
      </c>
      <c r="L124" s="1566"/>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0</v>
      </c>
      <c r="D127" s="1667">
        <f t="shared" ref="D127:L127" si="14">SUM(D122:D126)</f>
        <v>0</v>
      </c>
      <c r="E127" s="1667">
        <f t="shared" si="14"/>
        <v>0</v>
      </c>
      <c r="F127" s="1667">
        <f t="shared" si="14"/>
        <v>0</v>
      </c>
      <c r="G127" s="1667">
        <f t="shared" si="14"/>
        <v>0</v>
      </c>
      <c r="H127" s="1667">
        <f t="shared" si="14"/>
        <v>0</v>
      </c>
      <c r="I127" s="1667">
        <f t="shared" si="14"/>
        <v>0</v>
      </c>
      <c r="J127" s="1667">
        <f t="shared" si="14"/>
        <v>0</v>
      </c>
      <c r="K127" s="1667">
        <f t="shared" si="14"/>
        <v>0</v>
      </c>
      <c r="L127" s="1667">
        <f t="shared" si="14"/>
        <v>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0</v>
      </c>
      <c r="D129" s="1674">
        <f t="shared" ref="D129:L129" si="15">SUM(D120,D127,D128)</f>
        <v>0</v>
      </c>
      <c r="E129" s="1674">
        <f t="shared" si="15"/>
        <v>0</v>
      </c>
      <c r="F129" s="1674">
        <f t="shared" si="15"/>
        <v>0</v>
      </c>
      <c r="G129" s="1674">
        <f t="shared" si="15"/>
        <v>0</v>
      </c>
      <c r="H129" s="1674">
        <f t="shared" si="15"/>
        <v>0</v>
      </c>
      <c r="I129" s="1674">
        <f t="shared" si="15"/>
        <v>0</v>
      </c>
      <c r="J129" s="1674">
        <f t="shared" si="15"/>
        <v>0</v>
      </c>
      <c r="K129" s="1674">
        <f t="shared" si="15"/>
        <v>0</v>
      </c>
      <c r="L129" s="1674">
        <f t="shared" si="15"/>
        <v>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4" t="s">
        <v>616</v>
      </c>
      <c r="B151" s="2256"/>
      <c r="C151" s="1667">
        <f>SUM(C129,C130,C139,C149,C150)</f>
        <v>0</v>
      </c>
      <c r="D151" s="1667">
        <f t="shared" ref="D151:K151" si="16">SUM(D129,D130,D139,D149,D150)</f>
        <v>0</v>
      </c>
      <c r="E151" s="1667">
        <f t="shared" si="16"/>
        <v>0</v>
      </c>
      <c r="F151" s="1667">
        <f t="shared" si="16"/>
        <v>0</v>
      </c>
      <c r="G151" s="1667">
        <f t="shared" si="16"/>
        <v>0</v>
      </c>
      <c r="H151" s="1667">
        <f t="shared" si="16"/>
        <v>0</v>
      </c>
      <c r="I151" s="1667">
        <f t="shared" si="16"/>
        <v>0</v>
      </c>
      <c r="J151" s="1667">
        <f t="shared" si="16"/>
        <v>0</v>
      </c>
      <c r="K151" s="1667">
        <f t="shared" si="16"/>
        <v>0</v>
      </c>
      <c r="L151" s="1667">
        <f>SUM(L129,L130,L139,L149,L150)</f>
        <v>0</v>
      </c>
    </row>
    <row r="152" spans="1:14" ht="12.75" customHeight="1" thickTop="1" x14ac:dyDescent="0.2">
      <c r="A152" s="2277" t="s">
        <v>1170</v>
      </c>
      <c r="B152" s="2278"/>
      <c r="C152" s="1668"/>
      <c r="D152" s="1668"/>
      <c r="E152" s="1668"/>
      <c r="F152" s="1668"/>
      <c r="G152" s="1668"/>
      <c r="H152" s="1668"/>
      <c r="I152" s="1668"/>
      <c r="J152" s="1666"/>
      <c r="K152" s="1682">
        <f>'Revenues 9-14'!D268-'Expenditures 15-22'!K151</f>
        <v>0</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2" t="s">
        <v>617</v>
      </c>
      <c r="B154" s="2264"/>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c r="I169" s="1666"/>
      <c r="J169" s="1666"/>
      <c r="K169" s="1665">
        <f>SUM(C169:H169)</f>
        <v>0</v>
      </c>
      <c r="L169" s="1688"/>
    </row>
    <row r="170" spans="1:14" ht="33.75" customHeight="1" x14ac:dyDescent="0.2">
      <c r="A170" s="543" t="s">
        <v>1654</v>
      </c>
      <c r="B170" s="545" t="s">
        <v>31</v>
      </c>
      <c r="C170" s="1666"/>
      <c r="D170" s="1666"/>
      <c r="E170" s="1666"/>
      <c r="F170" s="1666"/>
      <c r="G170" s="1666"/>
      <c r="H170" s="1639"/>
      <c r="I170" s="1666"/>
      <c r="J170" s="1666"/>
      <c r="K170" s="1665">
        <f>SUM(C170:J170)</f>
        <v>0</v>
      </c>
      <c r="L170" s="1639"/>
    </row>
    <row r="171" spans="1:14" ht="15.75" customHeight="1" x14ac:dyDescent="0.2">
      <c r="A171" s="507" t="s">
        <v>761</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0</v>
      </c>
      <c r="I172" s="1677"/>
      <c r="J172" s="1666"/>
      <c r="K172" s="1674">
        <f>SUM(K168,K169,K170,K171)</f>
        <v>0</v>
      </c>
      <c r="L172" s="1674">
        <f>SUM(L168,L169,L170,L171)</f>
        <v>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0</v>
      </c>
      <c r="I174" s="1677"/>
      <c r="J174" s="1666"/>
      <c r="K174" s="1674">
        <f>SUM(K160,K172,K173)</f>
        <v>0</v>
      </c>
      <c r="L174" s="1674">
        <f>SUM(L160,L172,L173)</f>
        <v>0</v>
      </c>
    </row>
    <row r="175" spans="1:14" ht="13.5" thickTop="1" x14ac:dyDescent="0.2">
      <c r="A175" s="2284" t="s">
        <v>989</v>
      </c>
      <c r="B175" s="2285"/>
      <c r="C175" s="1666"/>
      <c r="D175" s="1666"/>
      <c r="E175" s="1666"/>
      <c r="F175" s="1666"/>
      <c r="G175" s="1666"/>
      <c r="H175" s="1668"/>
      <c r="I175" s="1666"/>
      <c r="J175" s="1666"/>
      <c r="K175" s="1682">
        <f>'Revenues 9-14'!E268-'Expenditures 15-22'!K174</f>
        <v>0</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c r="D182" s="1566"/>
      <c r="E182" s="1566"/>
      <c r="F182" s="1566"/>
      <c r="G182" s="1566"/>
      <c r="H182" s="1566"/>
      <c r="I182" s="1567"/>
      <c r="J182" s="1567"/>
      <c r="K182" s="1665">
        <f>SUM(C182:J182)</f>
        <v>0</v>
      </c>
      <c r="L182" s="1566"/>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0</v>
      </c>
      <c r="D184" s="1674">
        <f t="shared" ref="D184:J184" si="17">SUM(D180,D182,D183)</f>
        <v>0</v>
      </c>
      <c r="E184" s="1674">
        <f t="shared" si="17"/>
        <v>0</v>
      </c>
      <c r="F184" s="1674">
        <f t="shared" si="17"/>
        <v>0</v>
      </c>
      <c r="G184" s="1674">
        <f t="shared" si="17"/>
        <v>0</v>
      </c>
      <c r="H184" s="1674">
        <f t="shared" si="17"/>
        <v>0</v>
      </c>
      <c r="I184" s="1674">
        <f t="shared" si="17"/>
        <v>0</v>
      </c>
      <c r="J184" s="1674">
        <f t="shared" si="17"/>
        <v>0</v>
      </c>
      <c r="K184" s="1674">
        <f>SUM(K180,K182,K183)</f>
        <v>0</v>
      </c>
      <c r="L184" s="1674">
        <f>SUM(L180, L182:L183)</f>
        <v>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0</v>
      </c>
      <c r="D210" s="1667">
        <f>SUM(D184,D185)</f>
        <v>0</v>
      </c>
      <c r="E210" s="1667">
        <f>SUM(E184,E185,E196)</f>
        <v>0</v>
      </c>
      <c r="F210" s="1667">
        <f>SUM(F184,F185)</f>
        <v>0</v>
      </c>
      <c r="G210" s="1667">
        <f>SUM(G184,G185)</f>
        <v>0</v>
      </c>
      <c r="H210" s="1667">
        <f>SUM(H184,H185,H196,H208,H209)</f>
        <v>0</v>
      </c>
      <c r="I210" s="1667">
        <f>SUM(I184,I185)</f>
        <v>0</v>
      </c>
      <c r="J210" s="1667">
        <f>SUM(J184,J185)</f>
        <v>0</v>
      </c>
      <c r="K210" s="1665">
        <f>SUM(K184,K185,K196,K208,K209)</f>
        <v>0</v>
      </c>
      <c r="L210" s="1667">
        <f>SUM(L184,L185,L196,L208,L209)</f>
        <v>0</v>
      </c>
    </row>
    <row r="211" spans="1:14" ht="13.5" thickTop="1" x14ac:dyDescent="0.2">
      <c r="A211" s="2284" t="s">
        <v>989</v>
      </c>
      <c r="B211" s="2285"/>
      <c r="C211" s="1668"/>
      <c r="D211" s="1668"/>
      <c r="E211" s="1668"/>
      <c r="F211" s="1668"/>
      <c r="G211" s="1668"/>
      <c r="H211" s="1668"/>
      <c r="I211" s="1666"/>
      <c r="J211" s="1666"/>
      <c r="K211" s="1682">
        <f>'Revenues 9-14'!F268-'Expenditures 15-22'!K210</f>
        <v>0</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9" t="s">
        <v>959</v>
      </c>
      <c r="B213" s="2280"/>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c r="E215" s="1666"/>
      <c r="F215" s="1666"/>
      <c r="G215" s="1666"/>
      <c r="H215" s="1666"/>
      <c r="I215" s="1666"/>
      <c r="J215" s="1666"/>
      <c r="K215" s="1665">
        <f>D215</f>
        <v>0</v>
      </c>
      <c r="L215" s="1566"/>
    </row>
    <row r="216" spans="1:14" x14ac:dyDescent="0.2">
      <c r="A216" s="1267" t="s">
        <v>162</v>
      </c>
      <c r="B216" s="503" t="s">
        <v>961</v>
      </c>
      <c r="C216" s="1666"/>
      <c r="D216" s="1567"/>
      <c r="E216" s="1666"/>
      <c r="F216" s="1666"/>
      <c r="G216" s="1666"/>
      <c r="H216" s="1666"/>
      <c r="I216" s="1666"/>
      <c r="J216" s="1666"/>
      <c r="K216" s="1665">
        <f t="shared" ref="K216:K228" si="19">D216</f>
        <v>0</v>
      </c>
      <c r="L216" s="1566"/>
    </row>
    <row r="217" spans="1:14" x14ac:dyDescent="0.2">
      <c r="A217" s="1267" t="s">
        <v>163</v>
      </c>
      <c r="B217" s="503">
        <v>1200</v>
      </c>
      <c r="C217" s="1666"/>
      <c r="D217" s="1566"/>
      <c r="E217" s="1666"/>
      <c r="F217" s="1666"/>
      <c r="G217" s="1666"/>
      <c r="H217" s="1666"/>
      <c r="I217" s="1666"/>
      <c r="J217" s="1666"/>
      <c r="K217" s="1665">
        <f t="shared" si="19"/>
        <v>0</v>
      </c>
      <c r="L217" s="1566"/>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c r="E219" s="1666"/>
      <c r="F219" s="1666"/>
      <c r="G219" s="1666"/>
      <c r="H219" s="1666"/>
      <c r="I219" s="1666"/>
      <c r="J219" s="1666"/>
      <c r="K219" s="1665">
        <f t="shared" si="19"/>
        <v>0</v>
      </c>
      <c r="L219" s="1566"/>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c r="E223" s="1666"/>
      <c r="F223" s="1666"/>
      <c r="G223" s="1666"/>
      <c r="H223" s="1666"/>
      <c r="I223" s="1666"/>
      <c r="J223" s="1666"/>
      <c r="K223" s="1665">
        <f t="shared" si="19"/>
        <v>0</v>
      </c>
      <c r="L223" s="1566"/>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0</v>
      </c>
      <c r="E229" s="1666"/>
      <c r="F229" s="1666"/>
      <c r="G229" s="1666"/>
      <c r="H229" s="1666"/>
      <c r="I229" s="1666"/>
      <c r="J229" s="1666"/>
      <c r="K229" s="1667">
        <f>SUM(K215:K228)</f>
        <v>0</v>
      </c>
      <c r="L229" s="1667">
        <f>SUM(L215:L228)</f>
        <v>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c r="E233" s="1666"/>
      <c r="F233" s="1666"/>
      <c r="G233" s="1666"/>
      <c r="H233" s="1666"/>
      <c r="I233" s="1666"/>
      <c r="J233" s="1666"/>
      <c r="K233" s="1665">
        <f t="shared" si="20"/>
        <v>0</v>
      </c>
      <c r="L233" s="1566"/>
    </row>
    <row r="234" spans="1:12" x14ac:dyDescent="0.2">
      <c r="A234" s="1267" t="s">
        <v>196</v>
      </c>
      <c r="B234" s="503">
        <v>2130</v>
      </c>
      <c r="C234" s="1666"/>
      <c r="D234" s="1566"/>
      <c r="E234" s="1666"/>
      <c r="F234" s="1666"/>
      <c r="G234" s="1666"/>
      <c r="H234" s="1666"/>
      <c r="I234" s="1666"/>
      <c r="J234" s="1666"/>
      <c r="K234" s="1665">
        <f t="shared" si="20"/>
        <v>0</v>
      </c>
      <c r="L234" s="1566"/>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0</v>
      </c>
      <c r="E238" s="1666"/>
      <c r="F238" s="1666"/>
      <c r="G238" s="1666"/>
      <c r="H238" s="1666"/>
      <c r="I238" s="1666"/>
      <c r="J238" s="1666"/>
      <c r="K238" s="1667">
        <f>SUM(K232:K237)</f>
        <v>0</v>
      </c>
      <c r="L238" s="1667">
        <f>SUM(L232:L237)</f>
        <v>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c r="E241" s="1666"/>
      <c r="F241" s="1666"/>
      <c r="G241" s="1666"/>
      <c r="H241" s="1666"/>
      <c r="I241" s="1666"/>
      <c r="J241" s="1666"/>
      <c r="K241" s="1671">
        <f>D241</f>
        <v>0</v>
      </c>
      <c r="L241" s="1566"/>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0</v>
      </c>
      <c r="E243" s="1666"/>
      <c r="F243" s="1666"/>
      <c r="G243" s="1666"/>
      <c r="H243" s="1666"/>
      <c r="I243" s="1666"/>
      <c r="J243" s="1666"/>
      <c r="K243" s="1667">
        <f>SUM(K240:K242)</f>
        <v>0</v>
      </c>
      <c r="L243" s="1667">
        <f>SUM(L240:L242)</f>
        <v>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c r="E246" s="1666"/>
      <c r="F246" s="1666"/>
      <c r="G246" s="1666"/>
      <c r="H246" s="1666"/>
      <c r="I246" s="1666"/>
      <c r="J246" s="1666"/>
      <c r="K246" s="1671">
        <f t="shared" ref="K246:K256" si="21">D246</f>
        <v>0</v>
      </c>
      <c r="L246" s="1566"/>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0</v>
      </c>
      <c r="E257" s="1666"/>
      <c r="F257" s="1666"/>
      <c r="G257" s="1666"/>
      <c r="H257" s="1666"/>
      <c r="I257" s="1666"/>
      <c r="J257" s="1666"/>
      <c r="K257" s="1667">
        <f>SUM(K245:K256)</f>
        <v>0</v>
      </c>
      <c r="L257" s="1667">
        <f>SUM(L245:L256)</f>
        <v>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c r="E259" s="1666"/>
      <c r="F259" s="1666"/>
      <c r="G259" s="1666"/>
      <c r="H259" s="1666"/>
      <c r="I259" s="1666"/>
      <c r="J259" s="1666"/>
      <c r="K259" s="1671">
        <f>D259</f>
        <v>0</v>
      </c>
      <c r="L259" s="1579"/>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0</v>
      </c>
      <c r="E261" s="1666"/>
      <c r="F261" s="1666"/>
      <c r="G261" s="1666"/>
      <c r="H261" s="1666"/>
      <c r="I261" s="1666"/>
      <c r="J261" s="1666"/>
      <c r="K261" s="1667">
        <f>SUM(K259:K260)</f>
        <v>0</v>
      </c>
      <c r="L261" s="1667">
        <f>SUM(L259:L260)</f>
        <v>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c r="E264" s="1666"/>
      <c r="F264" s="1666"/>
      <c r="G264" s="1666"/>
      <c r="H264" s="1666"/>
      <c r="I264" s="1666"/>
      <c r="J264" s="1666"/>
      <c r="K264" s="1671">
        <f t="shared" ref="K264:K269" si="22">D264</f>
        <v>0</v>
      </c>
      <c r="L264" s="1566"/>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c r="E266" s="1666"/>
      <c r="F266" s="1666"/>
      <c r="G266" s="1666"/>
      <c r="H266" s="1666"/>
      <c r="I266" s="1666"/>
      <c r="J266" s="1666"/>
      <c r="K266" s="1671">
        <f t="shared" si="22"/>
        <v>0</v>
      </c>
      <c r="L266" s="1566"/>
    </row>
    <row r="267" spans="1:14" x14ac:dyDescent="0.2">
      <c r="A267" s="1267" t="s">
        <v>947</v>
      </c>
      <c r="B267" s="503">
        <v>2550</v>
      </c>
      <c r="C267" s="1666"/>
      <c r="D267" s="1566"/>
      <c r="E267" s="1666"/>
      <c r="F267" s="1666"/>
      <c r="G267" s="1666"/>
      <c r="H267" s="1666"/>
      <c r="I267" s="1666"/>
      <c r="J267" s="1666"/>
      <c r="K267" s="1671">
        <f t="shared" si="22"/>
        <v>0</v>
      </c>
      <c r="L267" s="1566"/>
    </row>
    <row r="268" spans="1:14" x14ac:dyDescent="0.2">
      <c r="A268" s="1267" t="s">
        <v>100</v>
      </c>
      <c r="B268" s="503">
        <v>2560</v>
      </c>
      <c r="C268" s="1666"/>
      <c r="D268" s="1566"/>
      <c r="E268" s="1666"/>
      <c r="F268" s="1666"/>
      <c r="G268" s="1666"/>
      <c r="H268" s="1666"/>
      <c r="I268" s="1666"/>
      <c r="J268" s="1666"/>
      <c r="K268" s="1671">
        <f t="shared" si="22"/>
        <v>0</v>
      </c>
      <c r="L268" s="1566"/>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0</v>
      </c>
      <c r="E270" s="1666"/>
      <c r="F270" s="1666"/>
      <c r="G270" s="1666"/>
      <c r="H270" s="1666"/>
      <c r="I270" s="1666"/>
      <c r="J270" s="1666"/>
      <c r="K270" s="1667">
        <f>SUM(K263:K269)</f>
        <v>0</v>
      </c>
      <c r="L270" s="1667">
        <f>SUM(L263:L269)</f>
        <v>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0</v>
      </c>
      <c r="E279" s="1666"/>
      <c r="F279" s="1666"/>
      <c r="G279" s="1666"/>
      <c r="H279" s="1666"/>
      <c r="I279" s="1666"/>
      <c r="J279" s="1666"/>
      <c r="K279" s="1674">
        <f>SUM(K238,K243,K257,K261,K270,K277,K278)</f>
        <v>0</v>
      </c>
      <c r="L279" s="1674">
        <f>SUM(L238,L243,L257,L261,L270,L277,L278)</f>
        <v>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5" t="s">
        <v>502</v>
      </c>
      <c r="B295" s="2276"/>
      <c r="C295" s="1666"/>
      <c r="D295" s="1667">
        <f>SUM(D229,D279,D280,D285)</f>
        <v>0</v>
      </c>
      <c r="E295" s="1666"/>
      <c r="F295" s="1666"/>
      <c r="G295" s="1666"/>
      <c r="H295" s="1667">
        <f>H293</f>
        <v>0</v>
      </c>
      <c r="I295" s="1666"/>
      <c r="J295" s="1666"/>
      <c r="K295" s="1667">
        <f>SUM(K229,K279,K280,K285,K293,K294)</f>
        <v>0</v>
      </c>
      <c r="L295" s="1667">
        <f>SUM(L229,L279,L280,L285,L293,L294)</f>
        <v>0</v>
      </c>
    </row>
    <row r="296" spans="1:14" ht="13.5" thickTop="1" x14ac:dyDescent="0.2">
      <c r="A296" s="2284" t="s">
        <v>989</v>
      </c>
      <c r="B296" s="2285"/>
      <c r="C296" s="1666"/>
      <c r="D296" s="1668"/>
      <c r="E296" s="1666"/>
      <c r="F296" s="1666"/>
      <c r="G296" s="1666"/>
      <c r="H296" s="1700"/>
      <c r="I296" s="1666"/>
      <c r="J296" s="1666"/>
      <c r="K296" s="1682">
        <f>'Revenues 9-14'!G268-'Expenditures 15-22'!K295</f>
        <v>0</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7" t="s">
        <v>142</v>
      </c>
      <c r="B298" s="2261"/>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2" t="s">
        <v>275</v>
      </c>
      <c r="B312" s="2273"/>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8" t="s">
        <v>989</v>
      </c>
      <c r="B313" s="2269"/>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1" t="s">
        <v>148</v>
      </c>
      <c r="B315" s="2282"/>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3" t="s">
        <v>892</v>
      </c>
      <c r="B317" s="2282"/>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c r="F322" s="1567"/>
      <c r="G322" s="1567"/>
      <c r="H322" s="1567"/>
      <c r="I322" s="1567"/>
      <c r="J322" s="1567"/>
      <c r="K322" s="1665">
        <f t="shared" si="24"/>
        <v>0</v>
      </c>
      <c r="L322" s="1567"/>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SUM(L330,L334,L340,L341)</f>
        <v>0</v>
      </c>
    </row>
    <row r="343" spans="1:14" ht="12.75" customHeight="1" thickTop="1" x14ac:dyDescent="0.2">
      <c r="A343" s="2270" t="s">
        <v>989</v>
      </c>
      <c r="B343" s="2271"/>
      <c r="C343" s="1666"/>
      <c r="D343" s="1666"/>
      <c r="E343" s="1666"/>
      <c r="F343" s="1666"/>
      <c r="G343" s="1666"/>
      <c r="H343" s="1666"/>
      <c r="I343" s="1666"/>
      <c r="J343" s="1666"/>
      <c r="K343" s="1682">
        <f>'Revenues 9-14'!J268-'Expenditures 15-22'!K342</f>
        <v>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0" t="s">
        <v>960</v>
      </c>
      <c r="B345" s="2261"/>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84" t="s">
        <v>989</v>
      </c>
      <c r="B368" s="2285"/>
      <c r="C368" s="1687"/>
      <c r="D368" s="1687"/>
      <c r="E368" s="1670"/>
      <c r="F368" s="1670"/>
      <c r="G368" s="1670"/>
      <c r="H368" s="1670"/>
      <c r="I368" s="1670"/>
      <c r="J368" s="1669"/>
      <c r="K368" s="1665">
        <f>'Revenues 9-14'!K268-'Expenditures 15-22'!K367</f>
        <v>0</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6"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7"/>
      <c r="B3" s="1287"/>
      <c r="C3" s="1288"/>
      <c r="D3" s="1289" t="s">
        <v>254</v>
      </c>
      <c r="E3" s="1288"/>
      <c r="F3" s="1289" t="s">
        <v>255</v>
      </c>
    </row>
    <row r="4" spans="1:8" ht="13.7" customHeight="1" x14ac:dyDescent="0.2">
      <c r="A4" s="579" t="s">
        <v>1147</v>
      </c>
      <c r="B4" s="1714">
        <f>'Revenues 9-14'!C5</f>
        <v>0</v>
      </c>
      <c r="C4" s="1715"/>
      <c r="D4" s="1716">
        <f>B4-C4</f>
        <v>0</v>
      </c>
      <c r="E4" s="1715"/>
      <c r="F4" s="1716">
        <f>E4-C4</f>
        <v>0</v>
      </c>
    </row>
    <row r="5" spans="1:8" ht="13.7" customHeight="1" x14ac:dyDescent="0.2">
      <c r="A5" s="579" t="s">
        <v>865</v>
      </c>
      <c r="B5" s="1717">
        <f>'Revenues 9-14'!D5</f>
        <v>0</v>
      </c>
      <c r="C5" s="1657"/>
      <c r="D5" s="1718">
        <f t="shared" ref="D5:D18" si="0">B5-C5</f>
        <v>0</v>
      </c>
      <c r="E5" s="1657"/>
      <c r="F5" s="1718">
        <f>E5-C5</f>
        <v>0</v>
      </c>
    </row>
    <row r="6" spans="1:8" ht="13.7" customHeight="1" x14ac:dyDescent="0.2">
      <c r="A6" s="579" t="s">
        <v>408</v>
      </c>
      <c r="B6" s="1717">
        <f>'Revenues 9-14'!E5</f>
        <v>0</v>
      </c>
      <c r="C6" s="1657"/>
      <c r="D6" s="1718">
        <f t="shared" si="0"/>
        <v>0</v>
      </c>
      <c r="E6" s="1657"/>
      <c r="F6" s="1718">
        <f t="shared" ref="F6:F18" si="1">E6-C6</f>
        <v>0</v>
      </c>
    </row>
    <row r="7" spans="1:8" ht="13.7" customHeight="1" x14ac:dyDescent="0.2">
      <c r="A7" s="579" t="s">
        <v>154</v>
      </c>
      <c r="B7" s="1717">
        <f>'Revenues 9-14'!F5</f>
        <v>0</v>
      </c>
      <c r="C7" s="1657"/>
      <c r="D7" s="1718">
        <f t="shared" si="0"/>
        <v>0</v>
      </c>
      <c r="E7" s="1657"/>
      <c r="F7" s="1718">
        <f t="shared" si="1"/>
        <v>0</v>
      </c>
    </row>
    <row r="8" spans="1:8" ht="13.7" customHeight="1" x14ac:dyDescent="0.2">
      <c r="A8" s="579" t="s">
        <v>1171</v>
      </c>
      <c r="B8" s="1717">
        <f>'Revenues 9-14'!G5</f>
        <v>0</v>
      </c>
      <c r="C8" s="1657"/>
      <c r="D8" s="1718">
        <f t="shared" si="0"/>
        <v>0</v>
      </c>
      <c r="E8" s="1657"/>
      <c r="F8" s="1718">
        <f t="shared" si="1"/>
        <v>0</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0</v>
      </c>
      <c r="C10" s="1657"/>
      <c r="D10" s="1718">
        <f t="shared" si="0"/>
        <v>0</v>
      </c>
      <c r="E10" s="1657"/>
      <c r="F10" s="1718">
        <f t="shared" si="1"/>
        <v>0</v>
      </c>
    </row>
    <row r="11" spans="1:8" x14ac:dyDescent="0.2">
      <c r="A11" s="579" t="s">
        <v>406</v>
      </c>
      <c r="B11" s="1717">
        <f>'Revenues 9-14'!J5</f>
        <v>0</v>
      </c>
      <c r="C11" s="1657"/>
      <c r="D11" s="1718">
        <f t="shared" si="0"/>
        <v>0</v>
      </c>
      <c r="E11" s="1657"/>
      <c r="F11" s="1718">
        <f t="shared" si="1"/>
        <v>0</v>
      </c>
    </row>
    <row r="12" spans="1:8" ht="13.7" customHeight="1" x14ac:dyDescent="0.2">
      <c r="A12" s="579" t="s">
        <v>156</v>
      </c>
      <c r="B12" s="1717">
        <f>'Revenues 9-14'!K5</f>
        <v>0</v>
      </c>
      <c r="C12" s="1657"/>
      <c r="D12" s="1718">
        <f t="shared" si="0"/>
        <v>0</v>
      </c>
      <c r="E12" s="1657"/>
      <c r="F12" s="1718">
        <f t="shared" si="1"/>
        <v>0</v>
      </c>
    </row>
    <row r="13" spans="1:8" ht="13.7" customHeight="1" x14ac:dyDescent="0.2">
      <c r="A13" s="579" t="s">
        <v>930</v>
      </c>
      <c r="B13" s="1717">
        <f>SUM('Revenues 9-14'!C6:D6)</f>
        <v>0</v>
      </c>
      <c r="C13" s="1657"/>
      <c r="D13" s="1718">
        <f t="shared" si="0"/>
        <v>0</v>
      </c>
      <c r="E13" s="1657"/>
      <c r="F13" s="1718">
        <f t="shared" si="1"/>
        <v>0</v>
      </c>
    </row>
    <row r="14" spans="1:8" ht="13.7" customHeight="1" x14ac:dyDescent="0.2">
      <c r="A14" s="579" t="s">
        <v>407</v>
      </c>
      <c r="B14" s="1717">
        <f>SUM('Revenues 9-14'!C7:D7,'Revenues 9-14'!F7:H7)</f>
        <v>0</v>
      </c>
      <c r="C14" s="1657"/>
      <c r="D14" s="1718">
        <f t="shared" si="0"/>
        <v>0</v>
      </c>
      <c r="E14" s="1657"/>
      <c r="F14" s="1718">
        <f t="shared" si="1"/>
        <v>0</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0</v>
      </c>
      <c r="C16" s="1657"/>
      <c r="D16" s="1718">
        <f t="shared" si="0"/>
        <v>0</v>
      </c>
      <c r="E16" s="1657"/>
      <c r="F16" s="1718">
        <f t="shared" si="1"/>
        <v>0</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0</v>
      </c>
      <c r="C19" s="1719">
        <f>SUM(C4:C18)</f>
        <v>0</v>
      </c>
      <c r="D19" s="1719">
        <f>SUM(D4:D18)</f>
        <v>0</v>
      </c>
      <c r="E19" s="1719">
        <f>SUM(E4:E18)</f>
        <v>0</v>
      </c>
      <c r="F19" s="1719">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A26" sqref="A26:B2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625</v>
      </c>
      <c r="B1" s="2293"/>
      <c r="C1" s="585"/>
    </row>
    <row r="2" spans="1:7" ht="33.75" x14ac:dyDescent="0.2">
      <c r="A2" s="2301" t="s">
        <v>1782</v>
      </c>
      <c r="B2" s="2302"/>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05" t="s">
        <v>1106</v>
      </c>
      <c r="B3" s="2306"/>
      <c r="C3" s="2294"/>
      <c r="D3" s="2295"/>
      <c r="E3" s="2295"/>
      <c r="F3" s="2296"/>
    </row>
    <row r="4" spans="1:7" ht="12.75" customHeight="1" thickBot="1" x14ac:dyDescent="0.25">
      <c r="A4" s="2303" t="s">
        <v>626</v>
      </c>
      <c r="B4" s="2304"/>
      <c r="C4" s="1649"/>
      <c r="D4" s="1649"/>
      <c r="E4" s="1649"/>
      <c r="F4" s="1725">
        <f>SUM(C4+D4)-E4</f>
        <v>0</v>
      </c>
    </row>
    <row r="5" spans="1:7" ht="15.75" customHeight="1" thickTop="1" x14ac:dyDescent="0.2">
      <c r="A5" s="2288" t="s">
        <v>1103</v>
      </c>
      <c r="B5" s="2289"/>
      <c r="C5" s="2297"/>
      <c r="D5" s="2298"/>
      <c r="E5" s="2298"/>
      <c r="F5" s="2299"/>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0" t="s">
        <v>627</v>
      </c>
      <c r="B15" s="2291"/>
      <c r="C15" s="1725">
        <f>SUM(C6:C14)</f>
        <v>0</v>
      </c>
      <c r="D15" s="1725">
        <f>SUM(D6:D14)</f>
        <v>0</v>
      </c>
      <c r="E15" s="1725">
        <f>SUM(E6:E14)</f>
        <v>0</v>
      </c>
      <c r="F15" s="1725">
        <f>SUM(F6:F14)</f>
        <v>0</v>
      </c>
      <c r="G15" s="473"/>
    </row>
    <row r="16" spans="1:7" s="197" customFormat="1" ht="15.75" customHeight="1" thickTop="1" x14ac:dyDescent="0.2">
      <c r="A16" s="2300" t="s">
        <v>1104</v>
      </c>
      <c r="B16" s="2289"/>
      <c r="C16" s="2297"/>
      <c r="D16" s="2298"/>
      <c r="E16" s="2298"/>
      <c r="F16" s="2299"/>
    </row>
    <row r="17" spans="1:11" ht="12.75" customHeight="1" thickBot="1" x14ac:dyDescent="0.25">
      <c r="A17" s="2313" t="s">
        <v>64</v>
      </c>
      <c r="B17" s="2314"/>
      <c r="C17" s="1726"/>
      <c r="D17" s="1657"/>
      <c r="E17" s="1726"/>
      <c r="F17" s="1725">
        <f>SUM(C17+D17)-E17</f>
        <v>0</v>
      </c>
    </row>
    <row r="18" spans="1:11" ht="12.75" customHeight="1" thickTop="1" thickBot="1" x14ac:dyDescent="0.25">
      <c r="A18" s="2313" t="s">
        <v>6</v>
      </c>
      <c r="B18" s="2314"/>
      <c r="C18" s="1726"/>
      <c r="D18" s="1657"/>
      <c r="E18" s="1726"/>
      <c r="F18" s="1725">
        <f>SUM(C18+D18)-E18</f>
        <v>0</v>
      </c>
    </row>
    <row r="19" spans="1:11" ht="12.75" customHeight="1" thickTop="1" thickBot="1" x14ac:dyDescent="0.25">
      <c r="A19" s="2313" t="s">
        <v>385</v>
      </c>
      <c r="B19" s="2314"/>
      <c r="C19" s="1726"/>
      <c r="D19" s="1657"/>
      <c r="E19" s="1726"/>
      <c r="F19" s="1725">
        <f>SUM(C19+D19)-E19</f>
        <v>0</v>
      </c>
    </row>
    <row r="20" spans="1:11" ht="12.75" customHeight="1" thickTop="1" thickBot="1" x14ac:dyDescent="0.25">
      <c r="A20" s="2313" t="s">
        <v>445</v>
      </c>
      <c r="B20" s="2314"/>
      <c r="C20" s="1726"/>
      <c r="D20" s="1657"/>
      <c r="E20" s="1726"/>
      <c r="F20" s="1725">
        <f>SUM(C20+D20)-E20</f>
        <v>0</v>
      </c>
    </row>
    <row r="21" spans="1:11" ht="14.25" thickTop="1" thickBot="1" x14ac:dyDescent="0.25">
      <c r="A21" s="2290" t="s">
        <v>628</v>
      </c>
      <c r="B21" s="2291"/>
      <c r="C21" s="1725">
        <f>SUM(C17:C20)</f>
        <v>0</v>
      </c>
      <c r="D21" s="1725">
        <f>SUM(D17:D20)</f>
        <v>0</v>
      </c>
      <c r="E21" s="1725">
        <f>SUM(E17:E20)</f>
        <v>0</v>
      </c>
      <c r="F21" s="1725">
        <f>SUM(F17:F20)</f>
        <v>0</v>
      </c>
      <c r="G21" s="473"/>
    </row>
    <row r="22" spans="1:11" ht="15.75" customHeight="1" thickTop="1" x14ac:dyDescent="0.2">
      <c r="A22" s="2315" t="s">
        <v>1105</v>
      </c>
      <c r="B22" s="2289"/>
      <c r="C22" s="2297"/>
      <c r="D22" s="2298"/>
      <c r="E22" s="2298"/>
      <c r="F22" s="2299"/>
    </row>
    <row r="23" spans="1:11" ht="13.5" thickBot="1" x14ac:dyDescent="0.25">
      <c r="A23" s="2303" t="s">
        <v>629</v>
      </c>
      <c r="B23" s="2304"/>
      <c r="C23" s="1649"/>
      <c r="D23" s="1649"/>
      <c r="E23" s="1649"/>
      <c r="F23" s="1725">
        <f>SUM(C23+D23)-E23</f>
        <v>0</v>
      </c>
      <c r="G23" s="473"/>
    </row>
    <row r="24" spans="1:11" ht="15.75" customHeight="1" thickTop="1" x14ac:dyDescent="0.2">
      <c r="A24" s="2315" t="s">
        <v>2009</v>
      </c>
      <c r="B24" s="2289"/>
      <c r="C24" s="2297"/>
      <c r="D24" s="2298"/>
      <c r="E24" s="2298"/>
      <c r="F24" s="2299"/>
    </row>
    <row r="25" spans="1:11" ht="13.5" thickBot="1" x14ac:dyDescent="0.25">
      <c r="A25" s="2303" t="s">
        <v>2010</v>
      </c>
      <c r="B25" s="2304"/>
      <c r="C25" s="1649"/>
      <c r="D25" s="1649"/>
      <c r="E25" s="1649"/>
      <c r="F25" s="1725">
        <f>SUM(C25+D25)-E25</f>
        <v>0</v>
      </c>
      <c r="G25" s="473"/>
    </row>
    <row r="26" spans="1:11" ht="15.75" customHeight="1" thickTop="1" x14ac:dyDescent="0.2">
      <c r="A26" s="2288" t="s">
        <v>652</v>
      </c>
      <c r="B26" s="2289"/>
      <c r="C26" s="589"/>
      <c r="D26" s="589"/>
      <c r="E26" s="589"/>
      <c r="F26" s="590"/>
    </row>
    <row r="27" spans="1:11" ht="13.5" thickBot="1" x14ac:dyDescent="0.25">
      <c r="A27" s="2290" t="s">
        <v>1063</v>
      </c>
      <c r="B27" s="2291"/>
      <c r="C27" s="1657"/>
      <c r="D27" s="1657"/>
      <c r="E27" s="1657"/>
      <c r="F27" s="1725">
        <f>SUM(C27+D27)-E27</f>
        <v>0</v>
      </c>
      <c r="G27" s="473"/>
    </row>
    <row r="28" spans="1:11" ht="7.5" customHeight="1" thickTop="1" x14ac:dyDescent="0.2">
      <c r="A28" s="489"/>
    </row>
    <row r="29" spans="1:11" ht="23.25" customHeight="1" x14ac:dyDescent="0.2">
      <c r="A29" s="2316" t="s">
        <v>578</v>
      </c>
      <c r="B29" s="2293"/>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c r="B31" s="595"/>
      <c r="C31" s="1727"/>
      <c r="D31" s="1728"/>
      <c r="E31" s="1727"/>
      <c r="F31" s="1727"/>
      <c r="G31" s="1727"/>
      <c r="H31" s="1727"/>
      <c r="I31" s="1729">
        <f>((E31+F31)-H31)+G31</f>
        <v>0</v>
      </c>
      <c r="J31" s="1727"/>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0</v>
      </c>
      <c r="D49" s="1735"/>
      <c r="E49" s="1729">
        <f t="shared" ref="E49:J49" si="2">SUM(E31:E48)</f>
        <v>0</v>
      </c>
      <c r="F49" s="1729">
        <f t="shared" si="2"/>
        <v>0</v>
      </c>
      <c r="G49" s="1729">
        <f t="shared" si="2"/>
        <v>0</v>
      </c>
      <c r="H49" s="1729">
        <f t="shared" si="2"/>
        <v>0</v>
      </c>
      <c r="I49" s="1729">
        <f t="shared" si="2"/>
        <v>0</v>
      </c>
      <c r="J49" s="1729">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7" t="s">
        <v>580</v>
      </c>
      <c r="C52" s="2308"/>
      <c r="D52" s="2308"/>
      <c r="E52" s="603" t="s">
        <v>840</v>
      </c>
      <c r="F52" s="2309"/>
      <c r="G52" s="2310"/>
      <c r="H52" s="596"/>
      <c r="I52" s="596"/>
      <c r="J52" s="600"/>
    </row>
    <row r="53" spans="1:11" ht="11.25" customHeight="1" x14ac:dyDescent="0.2">
      <c r="A53" s="604" t="s">
        <v>907</v>
      </c>
      <c r="B53" s="605" t="s">
        <v>945</v>
      </c>
      <c r="C53" s="600"/>
      <c r="D53" s="597"/>
      <c r="E53" s="603" t="s">
        <v>494</v>
      </c>
      <c r="F53" s="2311"/>
      <c r="G53" s="2312"/>
      <c r="H53" s="596"/>
      <c r="I53" s="596"/>
      <c r="J53" s="600"/>
    </row>
    <row r="54" spans="1:11" ht="11.25" customHeight="1" x14ac:dyDescent="0.2">
      <c r="A54" s="606" t="s">
        <v>908</v>
      </c>
      <c r="B54" s="601" t="s">
        <v>946</v>
      </c>
      <c r="C54" s="600"/>
      <c r="D54" s="597"/>
      <c r="E54" s="603" t="s">
        <v>495</v>
      </c>
      <c r="F54" s="2311"/>
      <c r="G54" s="231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26" sqref="A26:B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851</v>
      </c>
      <c r="B1" s="2344"/>
      <c r="C1" s="2344"/>
      <c r="D1" s="2344"/>
      <c r="E1" s="2344"/>
      <c r="F1" s="2344"/>
      <c r="G1" s="2345"/>
      <c r="H1" s="1291"/>
      <c r="I1" s="614"/>
      <c r="J1" s="400"/>
    </row>
    <row r="2" spans="1:11" ht="26.25" x14ac:dyDescent="0.2">
      <c r="A2" s="2320" t="s">
        <v>1661</v>
      </c>
      <c r="B2" s="2321"/>
      <c r="C2" s="2321"/>
      <c r="D2" s="2321"/>
      <c r="E2" s="2322"/>
      <c r="F2" s="615" t="s">
        <v>898</v>
      </c>
      <c r="G2" s="616" t="s">
        <v>1658</v>
      </c>
      <c r="H2" s="616" t="s">
        <v>407</v>
      </c>
      <c r="I2" s="616" t="s">
        <v>1150</v>
      </c>
      <c r="J2" s="616" t="s">
        <v>1792</v>
      </c>
      <c r="K2" s="616" t="s">
        <v>137</v>
      </c>
    </row>
    <row r="3" spans="1:11" x14ac:dyDescent="0.2">
      <c r="A3" s="2323" t="str">
        <f>"Cash Basis Fund Balance as of July 1, "&amp;'AFR20'!E2-1</f>
        <v>Cash Basis Fund Balance as of July 1, 2019</v>
      </c>
      <c r="B3" s="2324"/>
      <c r="C3" s="2324"/>
      <c r="D3" s="2324"/>
      <c r="E3" s="2325"/>
      <c r="F3" s="617"/>
      <c r="G3" s="1737"/>
      <c r="H3" s="1737"/>
      <c r="I3" s="1737"/>
      <c r="J3" s="1738"/>
      <c r="K3" s="1738"/>
    </row>
    <row r="4" spans="1:11" x14ac:dyDescent="0.2">
      <c r="A4" s="2326" t="s">
        <v>366</v>
      </c>
      <c r="B4" s="2327"/>
      <c r="C4" s="2327"/>
      <c r="D4" s="2327"/>
      <c r="E4" s="2308"/>
      <c r="F4" s="620"/>
      <c r="G4" s="1739"/>
      <c r="H4" s="1740"/>
      <c r="I4" s="1739"/>
      <c r="J4" s="1741"/>
      <c r="K4" s="1741"/>
    </row>
    <row r="5" spans="1:11" x14ac:dyDescent="0.2">
      <c r="A5" s="2346" t="s">
        <v>1062</v>
      </c>
      <c r="B5" s="2317"/>
      <c r="C5" s="2317"/>
      <c r="D5" s="2317"/>
      <c r="E5" s="2347"/>
      <c r="F5" s="622" t="s">
        <v>843</v>
      </c>
      <c r="G5" s="1742"/>
      <c r="H5" s="1737"/>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row>
    <row r="10" spans="1:11" x14ac:dyDescent="0.2">
      <c r="A10" s="2346" t="s">
        <v>1793</v>
      </c>
      <c r="B10" s="2317"/>
      <c r="C10" s="2317"/>
      <c r="D10" s="2317"/>
      <c r="E10" s="2348"/>
      <c r="F10" s="633" t="s">
        <v>857</v>
      </c>
      <c r="G10" s="1746"/>
      <c r="H10" s="1747"/>
      <c r="I10" s="1737"/>
      <c r="J10" s="1738"/>
      <c r="K10" s="1738"/>
    </row>
    <row r="11" spans="1:11" x14ac:dyDescent="0.2">
      <c r="A11" s="2346" t="s">
        <v>159</v>
      </c>
      <c r="B11" s="2317"/>
      <c r="C11" s="2317"/>
      <c r="D11" s="2317"/>
      <c r="E11" s="2347"/>
      <c r="F11" s="622" t="s">
        <v>847</v>
      </c>
      <c r="G11" s="1742"/>
      <c r="H11" s="1737"/>
      <c r="I11" s="1737"/>
      <c r="J11" s="1738"/>
      <c r="K11" s="1744"/>
    </row>
    <row r="12" spans="1:11" ht="13.5" thickBot="1" x14ac:dyDescent="0.25">
      <c r="A12" s="2334" t="s">
        <v>899</v>
      </c>
      <c r="B12" s="2335"/>
      <c r="C12" s="2335"/>
      <c r="D12" s="2335"/>
      <c r="E12" s="2336"/>
      <c r="F12" s="1426"/>
      <c r="G12" s="1748">
        <f>SUM(G5:G11)</f>
        <v>0</v>
      </c>
      <c r="H12" s="1748">
        <f>SUM(H5:H11)</f>
        <v>0</v>
      </c>
      <c r="I12" s="1748">
        <f>SUM(I5:I11)</f>
        <v>0</v>
      </c>
      <c r="J12" s="1748">
        <f>SUM(J5:J11)</f>
        <v>0</v>
      </c>
      <c r="K12" s="1748">
        <f>SUM(K5:K11)</f>
        <v>0</v>
      </c>
    </row>
    <row r="13" spans="1:11" ht="13.5" thickTop="1" x14ac:dyDescent="0.2">
      <c r="A13" s="2328" t="s">
        <v>367</v>
      </c>
      <c r="B13" s="2329"/>
      <c r="C13" s="2329"/>
      <c r="D13" s="2329"/>
      <c r="E13" s="2330"/>
      <c r="F13" s="634"/>
      <c r="G13" s="1749"/>
      <c r="H13" s="1750"/>
      <c r="I13" s="1751"/>
      <c r="J13" s="1751"/>
      <c r="K13" s="1751"/>
    </row>
    <row r="14" spans="1:11" x14ac:dyDescent="0.2">
      <c r="A14" s="2352" t="s">
        <v>453</v>
      </c>
      <c r="B14" s="2352"/>
      <c r="C14" s="2352"/>
      <c r="D14" s="2352"/>
      <c r="E14" s="2353"/>
      <c r="F14" s="635" t="s">
        <v>849</v>
      </c>
      <c r="G14" s="1746"/>
      <c r="H14" s="1737"/>
      <c r="I14" s="1742"/>
      <c r="J14" s="1744"/>
      <c r="K14" s="1738"/>
    </row>
    <row r="15" spans="1:11" x14ac:dyDescent="0.2">
      <c r="A15" s="2317" t="s">
        <v>4</v>
      </c>
      <c r="B15" s="2317"/>
      <c r="C15" s="2317"/>
      <c r="D15" s="2317"/>
      <c r="E15" s="2347"/>
      <c r="F15" s="635" t="s">
        <v>850</v>
      </c>
      <c r="G15" s="1742"/>
      <c r="H15" s="1737"/>
      <c r="I15" s="1737"/>
      <c r="J15" s="1738"/>
      <c r="K15" s="1738"/>
    </row>
    <row r="16" spans="1:11" x14ac:dyDescent="0.2">
      <c r="A16" s="2317" t="s">
        <v>295</v>
      </c>
      <c r="B16" s="2317"/>
      <c r="C16" s="2317"/>
      <c r="D16" s="2317"/>
      <c r="E16" s="2347"/>
      <c r="F16" s="635" t="s">
        <v>917</v>
      </c>
      <c r="G16" s="1743"/>
      <c r="H16" s="1739"/>
      <c r="I16" s="1739"/>
      <c r="J16" s="1741"/>
      <c r="K16" s="1741"/>
    </row>
    <row r="17" spans="1:15" x14ac:dyDescent="0.2">
      <c r="A17" s="2341" t="s">
        <v>929</v>
      </c>
      <c r="B17" s="2341"/>
      <c r="C17" s="2341"/>
      <c r="D17" s="2341"/>
      <c r="E17" s="2342"/>
      <c r="F17" s="636"/>
      <c r="G17" s="1752"/>
      <c r="H17" s="1753"/>
      <c r="I17" s="1753"/>
      <c r="J17" s="1754"/>
      <c r="K17" s="1755"/>
    </row>
    <row r="18" spans="1:15" x14ac:dyDescent="0.2">
      <c r="A18" s="2331" t="s">
        <v>365</v>
      </c>
      <c r="B18" s="2332"/>
      <c r="C18" s="2332"/>
      <c r="D18" s="2332"/>
      <c r="E18" s="2333"/>
      <c r="F18" s="635" t="s">
        <v>926</v>
      </c>
      <c r="G18" s="1746"/>
      <c r="H18" s="1746"/>
      <c r="I18" s="1746"/>
      <c r="J18" s="1738"/>
      <c r="K18" s="1756"/>
    </row>
    <row r="19" spans="1:15" ht="21.75" customHeight="1" x14ac:dyDescent="0.2">
      <c r="A19" s="2354" t="s">
        <v>1789</v>
      </c>
      <c r="B19" s="2354"/>
      <c r="C19" s="2354"/>
      <c r="D19" s="2354"/>
      <c r="E19" s="2355"/>
      <c r="F19" s="635" t="s">
        <v>927</v>
      </c>
      <c r="G19" s="1746"/>
      <c r="H19" s="1746"/>
      <c r="I19" s="1746"/>
      <c r="J19" s="1738"/>
      <c r="K19" s="1756"/>
    </row>
    <row r="20" spans="1:15" x14ac:dyDescent="0.2">
      <c r="A20" s="2331" t="s">
        <v>1794</v>
      </c>
      <c r="B20" s="2332"/>
      <c r="C20" s="2332"/>
      <c r="D20" s="2332"/>
      <c r="E20" s="2333"/>
      <c r="F20" s="635" t="s">
        <v>928</v>
      </c>
      <c r="G20" s="1746"/>
      <c r="H20" s="1746"/>
      <c r="I20" s="1746"/>
      <c r="J20" s="1738"/>
      <c r="K20" s="1756"/>
    </row>
    <row r="21" spans="1:15" ht="13.5" thickBot="1" x14ac:dyDescent="0.25">
      <c r="A21" s="2337" t="s">
        <v>633</v>
      </c>
      <c r="B21" s="2337"/>
      <c r="C21" s="2337"/>
      <c r="D21" s="2337"/>
      <c r="E21" s="2337"/>
      <c r="F21" s="1427"/>
      <c r="G21" s="1753"/>
      <c r="H21" s="1757"/>
      <c r="I21" s="1757"/>
      <c r="J21" s="1758">
        <f>SUM(J18:J20)</f>
        <v>0</v>
      </c>
      <c r="K21" s="1754"/>
    </row>
    <row r="22" spans="1:15" ht="13.5" thickTop="1" x14ac:dyDescent="0.2">
      <c r="A22" s="2317" t="s">
        <v>1795</v>
      </c>
      <c r="B22" s="2317"/>
      <c r="C22" s="2317"/>
      <c r="D22" s="2317"/>
      <c r="E22" s="2347"/>
      <c r="F22" s="635" t="s">
        <v>857</v>
      </c>
      <c r="G22" s="1746"/>
      <c r="H22" s="1737"/>
      <c r="I22" s="1737"/>
      <c r="J22" s="1759"/>
      <c r="K22" s="1738"/>
    </row>
    <row r="23" spans="1:15" ht="13.5" thickBot="1" x14ac:dyDescent="0.25">
      <c r="A23" s="2338" t="s">
        <v>900</v>
      </c>
      <c r="B23" s="2337"/>
      <c r="C23" s="2337"/>
      <c r="D23" s="2337"/>
      <c r="E23" s="2337"/>
      <c r="F23" s="1429"/>
      <c r="G23" s="1748">
        <f>SUM(G14:G16,G21,G22)</f>
        <v>0</v>
      </c>
      <c r="H23" s="1748">
        <f>SUM(H14:H16,H21,H22)</f>
        <v>0</v>
      </c>
      <c r="I23" s="1748">
        <f>SUM(I14:I16,I21,I22)</f>
        <v>0</v>
      </c>
      <c r="J23" s="1748">
        <f>SUM(J14:J16,J21,J22)</f>
        <v>0</v>
      </c>
      <c r="K23" s="1748">
        <f>SUM(K14:K16,K21,K22)</f>
        <v>0</v>
      </c>
      <c r="M23" s="1839"/>
      <c r="N23" s="1839"/>
      <c r="O23" s="1839"/>
    </row>
    <row r="24" spans="1:15" ht="14.25" thickTop="1" thickBot="1" x14ac:dyDescent="0.25">
      <c r="A24" s="2339" t="str">
        <f>"Ending Cash Basis Fund Balance as of June 30, "&amp;'AFR20'!E2</f>
        <v>Ending Cash Basis Fund Balance as of June 30, 2020</v>
      </c>
      <c r="B24" s="2340"/>
      <c r="C24" s="2340"/>
      <c r="D24" s="2340"/>
      <c r="E24" s="2340"/>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9"/>
      <c r="I31" s="2350"/>
      <c r="J31" s="2350"/>
      <c r="K31" s="2350"/>
    </row>
    <row r="32" spans="1:15" x14ac:dyDescent="0.2">
      <c r="A32" s="649"/>
      <c r="B32" s="232"/>
      <c r="C32" s="232"/>
      <c r="D32" s="232"/>
      <c r="E32" s="645"/>
      <c r="F32" s="651" t="s">
        <v>537</v>
      </c>
      <c r="G32" s="618"/>
      <c r="H32" s="2351"/>
      <c r="I32" s="2350"/>
      <c r="J32" s="2350"/>
      <c r="K32" s="2350"/>
    </row>
    <row r="33" spans="1:11" ht="1.5" customHeight="1" x14ac:dyDescent="0.2">
      <c r="A33" s="652" t="s">
        <v>1161</v>
      </c>
      <c r="B33" s="341"/>
      <c r="C33" s="341"/>
      <c r="D33" s="341"/>
      <c r="E33" s="341"/>
      <c r="F33" s="341"/>
      <c r="G33" s="653"/>
      <c r="H33" s="2351"/>
      <c r="I33" s="2350"/>
      <c r="J33" s="2350"/>
      <c r="K33" s="235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7" t="s">
        <v>538</v>
      </c>
      <c r="B41" s="2318"/>
      <c r="C41" s="2318"/>
      <c r="D41" s="2318"/>
      <c r="E41" s="2318"/>
      <c r="F41" s="231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6" sqref="A26:B2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1878</v>
      </c>
      <c r="B1" s="2359"/>
      <c r="C1" s="2360"/>
      <c r="D1" s="666"/>
      <c r="E1" s="667"/>
      <c r="F1" s="667"/>
      <c r="G1" s="668"/>
      <c r="H1" s="669"/>
      <c r="I1" s="670"/>
      <c r="J1" s="2356"/>
      <c r="K1" s="2357"/>
      <c r="L1" s="2357"/>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c r="D5" s="1763"/>
      <c r="E5" s="1763"/>
      <c r="F5" s="1758">
        <f>(C5+D5)-E5</f>
        <v>0</v>
      </c>
      <c r="G5" s="676"/>
      <c r="H5" s="680"/>
      <c r="I5" s="680"/>
      <c r="J5" s="680"/>
      <c r="K5" s="637"/>
      <c r="L5" s="1435">
        <f>F5-K5</f>
        <v>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74162</v>
      </c>
      <c r="D8" s="1764"/>
      <c r="E8" s="1764"/>
      <c r="F8" s="1758">
        <f>(C8+D8)-E8</f>
        <v>74162</v>
      </c>
      <c r="G8" s="681">
        <v>50</v>
      </c>
      <c r="H8" s="619">
        <v>40600</v>
      </c>
      <c r="I8" s="619">
        <v>1483</v>
      </c>
      <c r="J8" s="619"/>
      <c r="K8" s="1435">
        <f>(H8+I8)-J8</f>
        <v>42083</v>
      </c>
      <c r="L8" s="1435">
        <f>F8-K8</f>
        <v>32079</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180040</v>
      </c>
      <c r="D10" s="1765"/>
      <c r="E10" s="1765"/>
      <c r="F10" s="1766">
        <f>(C10+D10)-E10</f>
        <v>180040</v>
      </c>
      <c r="G10" s="681">
        <v>20</v>
      </c>
      <c r="H10" s="683">
        <v>58634</v>
      </c>
      <c r="I10" s="683">
        <v>9002</v>
      </c>
      <c r="J10" s="683"/>
      <c r="K10" s="1435">
        <f>(H10+I10)-J10</f>
        <v>67636</v>
      </c>
      <c r="L10" s="1435">
        <f>F10-K10</f>
        <v>112404</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1531412</v>
      </c>
      <c r="D12" s="1764"/>
      <c r="E12" s="1764"/>
      <c r="F12" s="1758">
        <f>(C12+D12)-E12</f>
        <v>1531412</v>
      </c>
      <c r="G12" s="681">
        <v>10</v>
      </c>
      <c r="H12" s="619">
        <v>1392020</v>
      </c>
      <c r="I12" s="619">
        <v>25817</v>
      </c>
      <c r="J12" s="619"/>
      <c r="K12" s="1435">
        <f>(H12+I12)-J12</f>
        <v>1417837</v>
      </c>
      <c r="L12" s="1435">
        <f>F12-K12</f>
        <v>113575</v>
      </c>
    </row>
    <row r="13" spans="1:14" ht="14.25" thickTop="1" thickBot="1" x14ac:dyDescent="0.25">
      <c r="A13" s="684" t="s">
        <v>1114</v>
      </c>
      <c r="B13" s="679">
        <v>252</v>
      </c>
      <c r="C13" s="1764">
        <v>187876</v>
      </c>
      <c r="D13" s="1764">
        <v>43974</v>
      </c>
      <c r="E13" s="1764"/>
      <c r="F13" s="1758">
        <f>(C13+D13)-E13</f>
        <v>231850</v>
      </c>
      <c r="G13" s="681">
        <v>5</v>
      </c>
      <c r="H13" s="619">
        <v>142465</v>
      </c>
      <c r="I13" s="619">
        <v>18921</v>
      </c>
      <c r="J13" s="619"/>
      <c r="K13" s="1435">
        <f>(H13+I13)-J13</f>
        <v>161386</v>
      </c>
      <c r="L13" s="1435">
        <f>F13-K13</f>
        <v>70464</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1973490</v>
      </c>
      <c r="D16" s="1758">
        <f>SUM(D3,D5:D6,D8:D10,D12:D15)</f>
        <v>43974</v>
      </c>
      <c r="E16" s="1758">
        <f>SUM(E3,E5:E6,E8:E10,E12:E15)</f>
        <v>0</v>
      </c>
      <c r="F16" s="1758">
        <f>SUM(F3,F5:F6,F8:F10,F12:F15)</f>
        <v>2017464</v>
      </c>
      <c r="G16" s="681"/>
      <c r="H16" s="1428">
        <f>SUM(H3,H6,H8:H10,H12:H14,)</f>
        <v>1633719</v>
      </c>
      <c r="I16" s="1428">
        <f>SUM(I3,I6,I8:I10,I12:I14,)</f>
        <v>55223</v>
      </c>
      <c r="J16" s="1428">
        <f>SUM(J3,J6,J8:J10,J12:J14,)</f>
        <v>0</v>
      </c>
      <c r="K16" s="1428">
        <f>(H16+I16)-J16</f>
        <v>1688942</v>
      </c>
      <c r="L16" s="1428">
        <f>F16-K16</f>
        <v>328522</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55223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B26" sqref="B26"/>
      <selection pane="bottomLeft" activeCell="B26" sqref="B26"/>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364" t="s">
        <v>1365</v>
      </c>
      <c r="B1" s="2364"/>
      <c r="C1" s="2364"/>
      <c r="D1" s="2364"/>
      <c r="E1" s="2364"/>
      <c r="F1" s="2364"/>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365" t="s">
        <v>1532</v>
      </c>
      <c r="B5" s="2366"/>
      <c r="C5" s="2367"/>
      <c r="D5" s="2367"/>
      <c r="E5" s="2367"/>
      <c r="F5" s="2367"/>
      <c r="G5" s="1500"/>
      <c r="L5" s="1500"/>
      <c r="M5" s="1848"/>
      <c r="N5" s="1848"/>
      <c r="O5" s="1848"/>
    </row>
    <row r="6" spans="1:15" ht="12" customHeight="1" x14ac:dyDescent="0.25">
      <c r="A6" s="1473"/>
      <c r="B6" s="1474"/>
      <c r="C6" s="2368" t="str">
        <f>COVER!A17</f>
        <v xml:space="preserve">  Five County Reg Voc System</v>
      </c>
      <c r="D6" s="2368"/>
      <c r="E6" s="2368"/>
      <c r="F6" s="1475"/>
      <c r="G6" s="1500"/>
      <c r="L6" s="1500"/>
      <c r="M6" s="1848"/>
      <c r="N6" s="1848"/>
      <c r="O6" s="1848"/>
    </row>
    <row r="7" spans="1:15" ht="11.25" customHeight="1" thickBot="1" x14ac:dyDescent="0.3">
      <c r="A7" s="1473"/>
      <c r="B7" s="1474"/>
      <c r="C7" s="2369">
        <f>COVER!A13</f>
        <v>30002748045</v>
      </c>
      <c r="D7" s="2369"/>
      <c r="E7" s="2369"/>
      <c r="F7" s="1475"/>
      <c r="G7" s="1500"/>
      <c r="L7" s="1500"/>
      <c r="M7" s="1848"/>
      <c r="N7" s="1848"/>
      <c r="O7" s="1848"/>
    </row>
    <row r="8" spans="1:15" ht="25.5" customHeight="1" thickBot="1" x14ac:dyDescent="0.25">
      <c r="A8" s="1512" t="s">
        <v>1877</v>
      </c>
      <c r="B8" s="1476" t="s">
        <v>2021</v>
      </c>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c r="D26" s="1488"/>
      <c r="E26" s="1491"/>
      <c r="F26" s="1490"/>
      <c r="G26" s="1500"/>
      <c r="H26" s="1500">
        <f t="shared" si="0"/>
        <v>0</v>
      </c>
      <c r="I26" s="1500">
        <f t="shared" si="1"/>
        <v>0</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0</v>
      </c>
      <c r="I34" s="1500">
        <f>SUM(I11:I32)</f>
        <v>0</v>
      </c>
      <c r="J34" s="1500">
        <f>SUM(J11:J32)</f>
        <v>0</v>
      </c>
      <c r="K34" s="1500">
        <f>SUM(H34:J34)</f>
        <v>0</v>
      </c>
      <c r="L34" s="1500"/>
      <c r="M34" s="1848"/>
      <c r="N34" s="1848"/>
      <c r="O34" s="1848"/>
    </row>
    <row r="35" spans="1:15" ht="12" customHeight="1" x14ac:dyDescent="0.2">
      <c r="A35" s="1493" t="s">
        <v>1378</v>
      </c>
      <c r="B35" s="1494"/>
      <c r="C35" s="2370"/>
      <c r="D35" s="2370"/>
      <c r="E35" s="2370"/>
      <c r="F35" s="2371"/>
    </row>
    <row r="36" spans="1:15" ht="12" customHeight="1" x14ac:dyDescent="0.2">
      <c r="A36" s="2361"/>
      <c r="B36" s="2362"/>
      <c r="C36" s="2362"/>
      <c r="D36" s="2362"/>
      <c r="E36" s="2362"/>
      <c r="F36" s="2363"/>
    </row>
    <row r="37" spans="1:15" ht="12" customHeight="1" x14ac:dyDescent="0.2">
      <c r="A37" s="2361"/>
      <c r="B37" s="2362"/>
      <c r="C37" s="2362"/>
      <c r="D37" s="2362"/>
      <c r="E37" s="2362"/>
      <c r="F37" s="2363"/>
    </row>
    <row r="38" spans="1:15" ht="12" customHeight="1" x14ac:dyDescent="0.2">
      <c r="A38" s="2375"/>
      <c r="B38" s="2376"/>
      <c r="C38" s="2376"/>
      <c r="D38" s="2376"/>
      <c r="E38" s="2376"/>
      <c r="F38" s="2377"/>
    </row>
    <row r="39" spans="1:15" ht="4.5" hidden="1" customHeight="1" x14ac:dyDescent="0.2">
      <c r="A39" s="1495"/>
      <c r="B39" s="1495"/>
      <c r="C39" s="1495"/>
      <c r="D39" s="1495"/>
      <c r="E39" s="1495"/>
      <c r="F39" s="1495"/>
    </row>
    <row r="40" spans="1:15" s="1492" customFormat="1" ht="12" customHeight="1" x14ac:dyDescent="0.25">
      <c r="A40" s="1496" t="s">
        <v>1377</v>
      </c>
      <c r="B40" s="1497"/>
      <c r="C40" s="2378"/>
      <c r="D40" s="2378"/>
      <c r="E40" s="2378"/>
      <c r="F40" s="2379"/>
      <c r="H40" s="1501"/>
      <c r="I40" s="1501"/>
      <c r="J40" s="1501"/>
      <c r="K40" s="1501"/>
    </row>
    <row r="41" spans="1:15" s="1492" customFormat="1" ht="12" customHeight="1" x14ac:dyDescent="0.25">
      <c r="A41" s="2380"/>
      <c r="B41" s="2381"/>
      <c r="C41" s="2381"/>
      <c r="D41" s="2381"/>
      <c r="E41" s="2381"/>
      <c r="F41" s="2382"/>
      <c r="H41" s="1501"/>
      <c r="I41" s="1501"/>
      <c r="J41" s="1501"/>
      <c r="K41" s="1501"/>
    </row>
    <row r="42" spans="1:15" s="1492" customFormat="1" ht="12" customHeight="1" x14ac:dyDescent="0.25">
      <c r="A42" s="2380"/>
      <c r="B42" s="2381"/>
      <c r="C42" s="2381"/>
      <c r="D42" s="2381"/>
      <c r="E42" s="2381"/>
      <c r="F42" s="2382"/>
      <c r="H42" s="1501"/>
      <c r="I42" s="1501"/>
      <c r="J42" s="1501"/>
      <c r="K42" s="1501"/>
    </row>
    <row r="43" spans="1:15" s="1492" customFormat="1" ht="15" x14ac:dyDescent="0.25">
      <c r="A43" s="2372"/>
      <c r="B43" s="2373"/>
      <c r="C43" s="2373"/>
      <c r="D43" s="2373"/>
      <c r="E43" s="2373"/>
      <c r="F43" s="2374"/>
      <c r="H43" s="1501"/>
      <c r="I43" s="1501"/>
      <c r="J43" s="1501"/>
      <c r="K43" s="1501"/>
    </row>
    <row r="44" spans="1:15" s="1492" customFormat="1" ht="12" hidden="1" customHeight="1" x14ac:dyDescent="0.25">
      <c r="A44" s="2372"/>
      <c r="B44" s="2373"/>
      <c r="C44" s="2373"/>
      <c r="D44" s="2373"/>
      <c r="E44" s="2373"/>
      <c r="F44" s="2374"/>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D68"/>
  <sheetViews>
    <sheetView showGridLines="0" zoomScale="110" zoomScaleNormal="110" workbookViewId="0">
      <selection activeCell="F13" sqref="F13"/>
    </sheetView>
  </sheetViews>
  <sheetFormatPr defaultRowHeight="12.75" x14ac:dyDescent="0.2"/>
  <cols>
    <col min="1" max="1" width="3" style="307" customWidth="1"/>
    <col min="2" max="2" width="95.42578125" style="307" customWidth="1"/>
    <col min="3" max="3" width="3.140625" style="307" customWidth="1"/>
    <col min="4" max="4" width="13.140625" style="307" bestFit="1" customWidth="1"/>
    <col min="5" max="16384" width="9.140625" style="307"/>
  </cols>
  <sheetData>
    <row r="2" spans="1:4" x14ac:dyDescent="0.2">
      <c r="A2" s="366" t="s">
        <v>256</v>
      </c>
    </row>
    <row r="3" spans="1:4" x14ac:dyDescent="0.2">
      <c r="A3" s="307" t="s">
        <v>257</v>
      </c>
    </row>
    <row r="5" spans="1:4" x14ac:dyDescent="0.2">
      <c r="A5" s="840">
        <v>1</v>
      </c>
      <c r="B5" s="307" t="s">
        <v>2036</v>
      </c>
    </row>
    <row r="6" spans="1:4" ht="13.5" thickBot="1" x14ac:dyDescent="0.25">
      <c r="A6" s="840"/>
      <c r="B6" s="307" t="s">
        <v>2037</v>
      </c>
      <c r="D6" s="1912">
        <v>21000</v>
      </c>
    </row>
    <row r="7" spans="1:4" ht="13.5" thickTop="1" x14ac:dyDescent="0.2">
      <c r="A7" s="840">
        <v>2</v>
      </c>
      <c r="B7" s="307" t="s">
        <v>2038</v>
      </c>
    </row>
    <row r="8" spans="1:4" ht="13.5" thickBot="1" x14ac:dyDescent="0.25">
      <c r="A8" s="840"/>
      <c r="B8" s="307" t="s">
        <v>2039</v>
      </c>
      <c r="D8" s="1912">
        <v>50000</v>
      </c>
    </row>
    <row r="9" spans="1:4" ht="13.5" thickTop="1" x14ac:dyDescent="0.2">
      <c r="A9" s="840">
        <v>3</v>
      </c>
      <c r="B9" s="307" t="s">
        <v>2041</v>
      </c>
    </row>
    <row r="10" spans="1:4" ht="13.5" thickBot="1" x14ac:dyDescent="0.25">
      <c r="A10" s="840"/>
      <c r="B10" s="307" t="s">
        <v>2042</v>
      </c>
      <c r="D10" s="1912">
        <v>118018</v>
      </c>
    </row>
    <row r="11" spans="1:4" ht="13.5" thickTop="1" x14ac:dyDescent="0.2">
      <c r="A11" s="840">
        <v>4</v>
      </c>
      <c r="B11" s="307" t="s">
        <v>2043</v>
      </c>
    </row>
    <row r="12" spans="1:4" x14ac:dyDescent="0.2">
      <c r="A12" s="841"/>
      <c r="B12" s="307" t="s">
        <v>2044</v>
      </c>
      <c r="D12" s="1916">
        <v>1547</v>
      </c>
    </row>
    <row r="13" spans="1:4" x14ac:dyDescent="0.2">
      <c r="A13" s="841"/>
      <c r="B13" s="307" t="s">
        <v>2045</v>
      </c>
      <c r="D13" s="1913">
        <v>7631</v>
      </c>
    </row>
    <row r="14" spans="1:4" x14ac:dyDescent="0.2">
      <c r="A14" s="841"/>
      <c r="B14" s="307" t="s">
        <v>2046</v>
      </c>
      <c r="D14" s="1913">
        <v>3000</v>
      </c>
    </row>
    <row r="15" spans="1:4" x14ac:dyDescent="0.2">
      <c r="A15" s="841"/>
      <c r="B15" s="307" t="s">
        <v>2047</v>
      </c>
      <c r="D15" s="1913">
        <v>1540</v>
      </c>
    </row>
    <row r="16" spans="1:4" x14ac:dyDescent="0.2">
      <c r="A16" s="841"/>
      <c r="B16" s="307" t="s">
        <v>2048</v>
      </c>
      <c r="D16" s="1913">
        <v>13440</v>
      </c>
    </row>
    <row r="17" spans="1:4" x14ac:dyDescent="0.2">
      <c r="A17" s="841"/>
      <c r="B17" s="307" t="s">
        <v>2049</v>
      </c>
      <c r="D17" s="1913">
        <v>2998</v>
      </c>
    </row>
    <row r="18" spans="1:4" x14ac:dyDescent="0.2">
      <c r="A18" s="841"/>
      <c r="B18" s="307" t="s">
        <v>2050</v>
      </c>
      <c r="D18" s="1913">
        <v>1131</v>
      </c>
    </row>
    <row r="19" spans="1:4" x14ac:dyDescent="0.2">
      <c r="A19" s="841"/>
      <c r="B19" s="307" t="s">
        <v>2051</v>
      </c>
      <c r="D19" s="1914">
        <v>388</v>
      </c>
    </row>
    <row r="20" spans="1:4" ht="13.5" thickBot="1" x14ac:dyDescent="0.25">
      <c r="A20" s="841"/>
      <c r="D20" s="1915">
        <f>SUM(D12:D19)</f>
        <v>31675</v>
      </c>
    </row>
    <row r="21" spans="1:4" ht="13.5" thickTop="1" x14ac:dyDescent="0.2">
      <c r="A21" s="841"/>
    </row>
    <row r="22" spans="1:4" x14ac:dyDescent="0.2">
      <c r="A22" s="841"/>
    </row>
    <row r="23" spans="1:4" x14ac:dyDescent="0.2">
      <c r="A23" s="841"/>
    </row>
    <row r="24" spans="1:4" x14ac:dyDescent="0.2">
      <c r="A24" s="841"/>
    </row>
    <row r="25" spans="1:4" x14ac:dyDescent="0.2">
      <c r="A25" s="841"/>
    </row>
    <row r="26" spans="1:4" x14ac:dyDescent="0.2">
      <c r="A26" s="841"/>
    </row>
    <row r="27" spans="1:4" x14ac:dyDescent="0.2">
      <c r="A27" s="841"/>
    </row>
    <row r="28" spans="1:4" x14ac:dyDescent="0.2">
      <c r="A28" s="841"/>
    </row>
    <row r="29" spans="1:4" x14ac:dyDescent="0.2">
      <c r="A29" s="841"/>
    </row>
    <row r="30" spans="1:4" x14ac:dyDescent="0.2">
      <c r="A30" s="841"/>
    </row>
    <row r="31" spans="1:4" x14ac:dyDescent="0.2">
      <c r="A31" s="841"/>
    </row>
    <row r="32" spans="1:4"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1" x14ac:dyDescent="0.2">
      <c r="A49" s="841"/>
    </row>
    <row r="50" spans="1:1" x14ac:dyDescent="0.2">
      <c r="A50" s="841"/>
    </row>
    <row r="51" spans="1:1" x14ac:dyDescent="0.2">
      <c r="A51" s="841"/>
    </row>
    <row r="52" spans="1:1" x14ac:dyDescent="0.2">
      <c r="A52" s="841"/>
    </row>
    <row r="53" spans="1:1" x14ac:dyDescent="0.2">
      <c r="A53" s="841"/>
    </row>
    <row r="54" spans="1:1" x14ac:dyDescent="0.2">
      <c r="A54" s="841"/>
    </row>
    <row r="55" spans="1:1" x14ac:dyDescent="0.2">
      <c r="A55" s="841"/>
    </row>
    <row r="56" spans="1:1" x14ac:dyDescent="0.2">
      <c r="A56" s="841"/>
    </row>
    <row r="57" spans="1:1" x14ac:dyDescent="0.2">
      <c r="A57" s="841"/>
    </row>
    <row r="58" spans="1:1" x14ac:dyDescent="0.2">
      <c r="A58" s="841"/>
    </row>
    <row r="59" spans="1:1" x14ac:dyDescent="0.2">
      <c r="A59" s="841"/>
    </row>
    <row r="60" spans="1:1" x14ac:dyDescent="0.2">
      <c r="A60" s="841"/>
    </row>
    <row r="61" spans="1:1" x14ac:dyDescent="0.2">
      <c r="A61" s="841"/>
    </row>
    <row r="62" spans="1:1" x14ac:dyDescent="0.2">
      <c r="A62" s="841"/>
    </row>
    <row r="63" spans="1:1" x14ac:dyDescent="0.2">
      <c r="A63" s="841"/>
    </row>
    <row r="64" spans="1:1" x14ac:dyDescent="0.2">
      <c r="A64" s="841"/>
    </row>
    <row r="65" spans="1:2" x14ac:dyDescent="0.2">
      <c r="A65" s="841"/>
    </row>
    <row r="66" spans="1:2" x14ac:dyDescent="0.2">
      <c r="A66" s="841"/>
    </row>
    <row r="67" spans="1:2" x14ac:dyDescent="0.2">
      <c r="A67" s="841"/>
      <c r="B67" s="253" t="str">
        <f>COVER!A17</f>
        <v xml:space="preserve">  Five County Reg Voc System</v>
      </c>
    </row>
    <row r="68" spans="1:2" x14ac:dyDescent="0.2">
      <c r="B68" s="842">
        <f>COVER!A13</f>
        <v>30002748045</v>
      </c>
    </row>
  </sheetData>
  <phoneticPr fontId="16" type="noConversion"/>
  <printOptions horizontalCentered="1"/>
  <pageMargins left="0.5" right="0.5" top="1.17" bottom="0.75" header="0.19" footer="0.16"/>
  <pageSetup scale="77" firstPageNumber="32" orientation="portrait" useFirstPageNumber="1" r:id="rId1"/>
  <headerFooter alignWithMargins="0">
    <oddHeader>&amp;L&amp;8Page 33&amp;C &amp;R&amp;8Page 33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83" t="s">
        <v>1672</v>
      </c>
      <c r="B1" s="2384"/>
      <c r="C1" s="2384"/>
      <c r="D1" s="2384"/>
      <c r="E1" s="2384"/>
      <c r="F1" s="2385"/>
    </row>
    <row r="2" spans="1:8" ht="45" customHeight="1" x14ac:dyDescent="0.2">
      <c r="A2" s="23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94"/>
      <c r="C2" s="2394"/>
      <c r="D2" s="2394"/>
      <c r="E2" s="2394"/>
      <c r="F2" s="2395"/>
      <c r="G2" s="846"/>
      <c r="H2" s="846"/>
    </row>
    <row r="3" spans="1:8" ht="57" customHeight="1" x14ac:dyDescent="0.2">
      <c r="A3" s="2396" t="s">
        <v>1975</v>
      </c>
      <c r="B3" s="2397"/>
      <c r="C3" s="2397"/>
      <c r="D3" s="2397"/>
      <c r="E3" s="2397"/>
      <c r="F3" s="2398"/>
      <c r="G3" s="846"/>
      <c r="H3" s="846"/>
    </row>
    <row r="4" spans="1:8" ht="14.25" customHeight="1" x14ac:dyDescent="0.2">
      <c r="A4" s="24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03"/>
      <c r="C4" s="2403"/>
      <c r="D4" s="2403"/>
      <c r="E4" s="2403"/>
      <c r="F4" s="2404"/>
      <c r="G4" s="846"/>
      <c r="H4" s="846"/>
    </row>
    <row r="5" spans="1:8" ht="14.25" customHeight="1" x14ac:dyDescent="0.2">
      <c r="A5" s="24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06"/>
      <c r="C5" s="2406"/>
      <c r="D5" s="2406"/>
      <c r="E5" s="2406"/>
      <c r="F5" s="2407"/>
      <c r="G5" s="846"/>
      <c r="H5" s="846"/>
    </row>
    <row r="6" spans="1:8" s="847" customFormat="1" ht="41.25" customHeight="1" x14ac:dyDescent="0.2">
      <c r="A6" s="2399" t="s">
        <v>1673</v>
      </c>
      <c r="B6" s="2400"/>
      <c r="C6" s="2400"/>
      <c r="D6" s="2400"/>
      <c r="E6" s="2400"/>
      <c r="F6" s="2401"/>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794366</v>
      </c>
      <c r="C8" s="1806">
        <f>'Acct Summary 7-8'!D8</f>
        <v>0</v>
      </c>
      <c r="D8" s="1806">
        <f>'Acct Summary 7-8'!F8</f>
        <v>0</v>
      </c>
      <c r="E8" s="1806">
        <f>'Acct Summary 7-8'!I8</f>
        <v>0</v>
      </c>
      <c r="F8" s="1806">
        <f>SUM(B8:E8)</f>
        <v>794366</v>
      </c>
    </row>
    <row r="9" spans="1:8" s="851" customFormat="1" ht="14.25" customHeight="1" thickBot="1" x14ac:dyDescent="0.25">
      <c r="A9" s="850" t="s">
        <v>1355</v>
      </c>
      <c r="B9" s="1807">
        <f>'Acct Summary 7-8'!C17</f>
        <v>696922</v>
      </c>
      <c r="C9" s="1807">
        <f>'Acct Summary 7-8'!D17</f>
        <v>0</v>
      </c>
      <c r="D9" s="1807">
        <f>'Acct Summary 7-8'!F17</f>
        <v>0</v>
      </c>
      <c r="E9" s="1806"/>
      <c r="F9" s="1806">
        <f>SUM(B9:E9)</f>
        <v>696922</v>
      </c>
    </row>
    <row r="10" spans="1:8" s="851" customFormat="1" ht="14.25" thickTop="1" thickBot="1" x14ac:dyDescent="0.25">
      <c r="A10" s="852" t="s">
        <v>1356</v>
      </c>
      <c r="B10" s="1808">
        <f>(B8-B9)</f>
        <v>97444</v>
      </c>
      <c r="C10" s="1808">
        <f>(C8-C9)</f>
        <v>0</v>
      </c>
      <c r="D10" s="1808">
        <f>(D8-D9)</f>
        <v>0</v>
      </c>
      <c r="E10" s="1807">
        <f>(E8-E9)</f>
        <v>0</v>
      </c>
      <c r="F10" s="1809">
        <f>SUM(F8-F9)</f>
        <v>97444</v>
      </c>
    </row>
    <row r="11" spans="1:8" s="851" customFormat="1" ht="14.25" thickTop="1" thickBot="1" x14ac:dyDescent="0.25">
      <c r="A11" s="853" t="s">
        <v>1906</v>
      </c>
      <c r="B11" s="1810">
        <f>'Acct Summary 7-8'!C81</f>
        <v>742835</v>
      </c>
      <c r="C11" s="1810">
        <f>'Acct Summary 7-8'!D81</f>
        <v>0</v>
      </c>
      <c r="D11" s="1810">
        <f>'Acct Summary 7-8'!F81</f>
        <v>0</v>
      </c>
      <c r="E11" s="1810">
        <f>'Acct Summary 7-8'!I81</f>
        <v>0</v>
      </c>
      <c r="F11" s="1811">
        <f>SUM(B11:E11)</f>
        <v>742835</v>
      </c>
    </row>
    <row r="12" spans="1:8" ht="16.5" customHeight="1" thickTop="1" x14ac:dyDescent="0.2">
      <c r="A12" s="854"/>
      <c r="B12" s="855"/>
      <c r="C12" s="2387" t="str">
        <f>IF(AND(F10&lt;0,F11&gt;=0,ABS(F10*3)&gt;ABS(F11)),A16,IF(AND(F10&lt;0,F11&gt;0,ABS(F10*3)&lt;=ABS(F11)),A17,IF(AND(F10&lt;0,F11&lt;0),A16,IF(F11=0,A19,A18))))</f>
        <v>Balanced - no deficit reduction plan is required.</v>
      </c>
      <c r="D12" s="2388"/>
      <c r="E12" s="2388"/>
      <c r="F12" s="2389"/>
    </row>
    <row r="13" spans="1:8" ht="19.5" customHeight="1" x14ac:dyDescent="0.2">
      <c r="A13" s="856"/>
      <c r="B13" s="857"/>
      <c r="C13" s="2387"/>
      <c r="D13" s="2388"/>
      <c r="E13" s="2388"/>
      <c r="F13" s="2389"/>
      <c r="H13" s="846"/>
    </row>
    <row r="14" spans="1:8" ht="19.5" customHeight="1" x14ac:dyDescent="0.2">
      <c r="A14" s="856"/>
      <c r="B14" s="857"/>
      <c r="C14" s="2387"/>
      <c r="D14" s="2388"/>
      <c r="E14" s="2388"/>
      <c r="F14" s="2389"/>
      <c r="H14" s="846"/>
    </row>
    <row r="15" spans="1:8" ht="17.25" customHeight="1" x14ac:dyDescent="0.2">
      <c r="A15" s="856"/>
      <c r="B15" s="857"/>
      <c r="C15" s="2390"/>
      <c r="D15" s="2391"/>
      <c r="E15" s="2391"/>
      <c r="F15" s="2392"/>
      <c r="H15" s="846"/>
    </row>
    <row r="16" spans="1:8" s="288" customFormat="1" ht="51.75" hidden="1" customHeight="1" x14ac:dyDescent="0.2">
      <c r="A16" s="2386" t="s">
        <v>1669</v>
      </c>
      <c r="B16" s="2386"/>
      <c r="C16" s="2386"/>
      <c r="D16" s="2386"/>
      <c r="E16" s="2386"/>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3" activePane="bottomLeft" state="frozen"/>
      <selection activeCell="B26" sqref="B26"/>
      <selection pane="bottomLeft" activeCell="B26" sqref="B2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1" t="str">
        <f>"ESTIMATED OPERATING EXPENSE PER PUPIL (OEPP)/PER CAPITA TUITION CHARGE (PCTC) COMPUTATIONS ("&amp;'AFR20'!E2-1&amp;" - "&amp;'AFR20'!E2&amp;")"</f>
        <v>ESTIMATED OPERATING EXPENSE PER PUPIL (OEPP)/PER CAPITA TUITION CHARGE (PCTC) COMPUTATIONS (2019 - 2020)</v>
      </c>
      <c r="B1" s="2412"/>
      <c r="C1" s="2412"/>
      <c r="D1" s="2412"/>
      <c r="E1" s="2412"/>
      <c r="F1" s="2413"/>
      <c r="G1" s="691"/>
      <c r="I1" s="701"/>
    </row>
    <row r="2" spans="1:9" ht="15" customHeight="1" thickBot="1" x14ac:dyDescent="0.25">
      <c r="A2" s="2414" t="s">
        <v>474</v>
      </c>
      <c r="B2" s="2415"/>
      <c r="C2" s="2415"/>
      <c r="D2" s="2415"/>
      <c r="E2" s="2415"/>
      <c r="F2" s="2416"/>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17"/>
      <c r="B5" s="2418"/>
      <c r="C5" s="2418"/>
      <c r="D5" s="2418"/>
      <c r="E5" s="2418"/>
      <c r="F5" s="2418"/>
    </row>
    <row r="6" spans="1:9" ht="13.5" customHeight="1" thickBot="1" x14ac:dyDescent="0.25">
      <c r="A6" s="2408" t="s">
        <v>1097</v>
      </c>
      <c r="B6" s="2409"/>
      <c r="C6" s="2409"/>
      <c r="D6" s="2409"/>
      <c r="E6" s="2409"/>
      <c r="F6" s="2410"/>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696922</v>
      </c>
      <c r="G8" s="701"/>
    </row>
    <row r="9" spans="1:9" x14ac:dyDescent="0.2">
      <c r="A9" s="705" t="s">
        <v>457</v>
      </c>
      <c r="B9" s="706" t="s">
        <v>1851</v>
      </c>
      <c r="C9" s="707"/>
      <c r="D9" s="705" t="s">
        <v>498</v>
      </c>
      <c r="E9" s="704"/>
      <c r="F9" s="1768">
        <f>'Expenditures 15-22'!K151</f>
        <v>0</v>
      </c>
      <c r="G9" s="708"/>
    </row>
    <row r="10" spans="1:9" x14ac:dyDescent="0.2">
      <c r="A10" s="705" t="s">
        <v>496</v>
      </c>
      <c r="B10" s="706" t="s">
        <v>1852</v>
      </c>
      <c r="C10" s="707"/>
      <c r="D10" s="705" t="s">
        <v>498</v>
      </c>
      <c r="E10" s="704"/>
      <c r="F10" s="1768">
        <f>'Expenditures 15-22'!K174</f>
        <v>0</v>
      </c>
      <c r="G10" s="708"/>
    </row>
    <row r="11" spans="1:9" x14ac:dyDescent="0.2">
      <c r="A11" s="705" t="s">
        <v>458</v>
      </c>
      <c r="B11" s="706" t="s">
        <v>1853</v>
      </c>
      <c r="C11" s="707"/>
      <c r="D11" s="705" t="s">
        <v>498</v>
      </c>
      <c r="E11" s="704"/>
      <c r="F11" s="1768">
        <f>'Expenditures 15-22'!K210</f>
        <v>0</v>
      </c>
      <c r="G11" s="708"/>
    </row>
    <row r="12" spans="1:9" x14ac:dyDescent="0.2">
      <c r="A12" s="705" t="s">
        <v>459</v>
      </c>
      <c r="B12" s="706" t="s">
        <v>1854</v>
      </c>
      <c r="C12" s="707"/>
      <c r="D12" s="705" t="s">
        <v>498</v>
      </c>
      <c r="E12" s="704"/>
      <c r="F12" s="1768">
        <f>'Expenditures 15-22'!K295</f>
        <v>0</v>
      </c>
      <c r="G12" s="708"/>
    </row>
    <row r="13" spans="1:9" x14ac:dyDescent="0.2">
      <c r="A13" s="705" t="s">
        <v>106</v>
      </c>
      <c r="B13" s="706" t="s">
        <v>1855</v>
      </c>
      <c r="C13" s="707"/>
      <c r="D13" s="705" t="s">
        <v>498</v>
      </c>
      <c r="E13" s="704"/>
      <c r="F13" s="1768">
        <f>'Expenditures 15-22'!K342</f>
        <v>0</v>
      </c>
      <c r="G13" s="709"/>
    </row>
    <row r="14" spans="1:9" ht="12" customHeight="1" thickBot="1" x14ac:dyDescent="0.25">
      <c r="A14" s="1436"/>
      <c r="B14" s="1437"/>
      <c r="C14" s="1438"/>
      <c r="D14" s="1439" t="s">
        <v>498</v>
      </c>
      <c r="E14" s="1440" t="s">
        <v>952</v>
      </c>
      <c r="F14" s="1769">
        <f>SUM(F8:F13)</f>
        <v>696922</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31675</v>
      </c>
      <c r="G53" s="701"/>
    </row>
    <row r="54" spans="1:7" x14ac:dyDescent="0.2">
      <c r="A54" s="705" t="s">
        <v>456</v>
      </c>
      <c r="B54" s="705" t="s">
        <v>1462</v>
      </c>
      <c r="C54" s="724" t="s">
        <v>975</v>
      </c>
      <c r="D54" s="720" t="s">
        <v>1088</v>
      </c>
      <c r="E54" s="704"/>
      <c r="F54" s="1775">
        <f>'Expenditures 15-22'!G114</f>
        <v>28987</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0</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0</v>
      </c>
      <c r="G64" s="701"/>
    </row>
    <row r="65" spans="1:9" x14ac:dyDescent="0.2">
      <c r="A65" s="705" t="s">
        <v>458</v>
      </c>
      <c r="B65" s="705" t="s">
        <v>1864</v>
      </c>
      <c r="C65" s="721" t="s">
        <v>975</v>
      </c>
      <c r="D65" s="720" t="s">
        <v>1088</v>
      </c>
      <c r="E65" s="704"/>
      <c r="F65" s="1775">
        <f>'Expenditures 15-22'!G210</f>
        <v>0</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60662</v>
      </c>
      <c r="G77" s="701"/>
    </row>
    <row r="78" spans="1:9" s="728" customFormat="1" ht="12" customHeight="1" thickTop="1" thickBot="1" x14ac:dyDescent="0.25">
      <c r="A78" s="1443"/>
      <c r="B78" s="1441"/>
      <c r="C78" s="1438"/>
      <c r="D78" s="1442" t="s">
        <v>2015</v>
      </c>
      <c r="E78" s="1440"/>
      <c r="F78" s="1781">
        <f>(F14-F77)</f>
        <v>636260</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0</v>
      </c>
      <c r="G79" s="733"/>
      <c r="H79" s="705"/>
      <c r="I79" s="705"/>
    </row>
    <row r="80" spans="1:9" s="728" customFormat="1" ht="12" customHeight="1" thickBot="1" x14ac:dyDescent="0.25">
      <c r="A80" s="1445"/>
      <c r="B80" s="1441"/>
      <c r="C80" s="1438"/>
      <c r="D80" s="1442" t="s">
        <v>2016</v>
      </c>
      <c r="E80" s="1440" t="s">
        <v>952</v>
      </c>
      <c r="F80" s="1783" t="str">
        <f>IF(F79&gt;0,F78/F79," Complete Line 79")</f>
        <v xml:space="preserve"> Complete Line 79</v>
      </c>
      <c r="G80" s="705"/>
    </row>
    <row r="81" spans="1:7" s="728" customFormat="1" ht="8.25" customHeight="1" thickTop="1" x14ac:dyDescent="0.2">
      <c r="A81" s="734"/>
      <c r="B81" s="705"/>
      <c r="C81" s="707"/>
      <c r="D81" s="735"/>
      <c r="E81" s="704"/>
      <c r="F81" s="1784"/>
      <c r="G81" s="705"/>
    </row>
    <row r="82" spans="1:7" s="728" customFormat="1" ht="12" thickBot="1" x14ac:dyDescent="0.25">
      <c r="A82" s="2408" t="s">
        <v>1098</v>
      </c>
      <c r="B82" s="2409"/>
      <c r="C82" s="2409"/>
      <c r="D82" s="2409"/>
      <c r="E82" s="2409"/>
      <c r="F82" s="241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0</v>
      </c>
      <c r="G95" s="745"/>
    </row>
    <row r="96" spans="1:7" x14ac:dyDescent="0.2">
      <c r="A96" s="741" t="s">
        <v>139</v>
      </c>
      <c r="B96" s="741" t="s">
        <v>174</v>
      </c>
      <c r="C96" s="743">
        <v>1700</v>
      </c>
      <c r="D96" s="751" t="str">
        <f>'Revenues 9-14'!A82</f>
        <v>Total District/School Activity Income</v>
      </c>
      <c r="E96" s="739"/>
      <c r="F96" s="1786">
        <f>SUM('Revenues 9-14'!C82,'Revenues 9-14'!D82)</f>
        <v>0</v>
      </c>
      <c r="G96" s="745"/>
    </row>
    <row r="97" spans="1:7" x14ac:dyDescent="0.2">
      <c r="A97" s="741" t="s">
        <v>456</v>
      </c>
      <c r="B97" s="741" t="s">
        <v>175</v>
      </c>
      <c r="C97" s="743">
        <f>'Revenues 9-14'!B84</f>
        <v>1811</v>
      </c>
      <c r="D97" s="744" t="str">
        <f>'Revenues 9-14'!A84</f>
        <v>Rentals - Regular Textbooks</v>
      </c>
      <c r="E97" s="739"/>
      <c r="F97" s="1786">
        <f>'Revenues 9-14'!C84</f>
        <v>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0</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331293</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0</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0</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50000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6">
        <f>SUM('Revenues 9-14'!C198,'Revenues 9-14'!G198)</f>
        <v>0</v>
      </c>
      <c r="G126" s="763"/>
    </row>
    <row r="127" spans="1:7" x14ac:dyDescent="0.2">
      <c r="A127" s="760" t="s">
        <v>663</v>
      </c>
      <c r="B127" s="760" t="s">
        <v>1934</v>
      </c>
      <c r="C127" s="765">
        <v>4300</v>
      </c>
      <c r="D127" s="766" t="str">
        <f>'Revenues 9-14'!A204</f>
        <v>Total Title I</v>
      </c>
      <c r="E127" s="739"/>
      <c r="F127" s="1786">
        <f>SUM('Revenues 9-14'!C204,'Revenues 9-14'!D204,'Revenues 9-14'!F204,'Revenues 9-14'!G204)</f>
        <v>0</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118018</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c r="G172" s="760"/>
    </row>
    <row r="173" spans="1:7" x14ac:dyDescent="0.2">
      <c r="A173" s="1522" t="s">
        <v>659</v>
      </c>
      <c r="B173" s="1523" t="s">
        <v>1888</v>
      </c>
      <c r="C173" s="1524">
        <v>3300</v>
      </c>
      <c r="D173" s="1525" t="s">
        <v>1891</v>
      </c>
      <c r="E173" s="739"/>
      <c r="F173" s="1787"/>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499311</v>
      </c>
    </row>
    <row r="176" spans="1:7" ht="12" customHeight="1" x14ac:dyDescent="0.2">
      <c r="A176" s="1436"/>
      <c r="B176" s="1446"/>
      <c r="C176" s="1447"/>
      <c r="D176" s="1448" t="s">
        <v>2017</v>
      </c>
      <c r="E176" s="1449"/>
      <c r="F176" s="1786">
        <f>'PCTC-OEPP 27-28'!F78-F175</f>
        <v>136949</v>
      </c>
    </row>
    <row r="177" spans="1:9" ht="12" customHeight="1" x14ac:dyDescent="0.2">
      <c r="A177" s="1436"/>
      <c r="B177" s="1446"/>
      <c r="C177" s="1447"/>
      <c r="D177" s="1448" t="s">
        <v>1797</v>
      </c>
      <c r="E177" s="1449"/>
      <c r="F177" s="1786">
        <f>'Cap Outlay Deprec 26'!I18</f>
        <v>55223</v>
      </c>
    </row>
    <row r="178" spans="1:9" ht="12" customHeight="1" x14ac:dyDescent="0.2">
      <c r="A178" s="1436"/>
      <c r="B178" s="1446"/>
      <c r="C178" s="1447"/>
      <c r="D178" s="1448" t="s">
        <v>2018</v>
      </c>
      <c r="E178" s="1449"/>
      <c r="F178" s="1786">
        <f>F176+F177</f>
        <v>192172</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0</v>
      </c>
      <c r="G179" s="763"/>
      <c r="I179" s="701"/>
    </row>
    <row r="180" spans="1:9" ht="12" customHeight="1" thickBot="1" x14ac:dyDescent="0.25">
      <c r="A180" s="1436"/>
      <c r="B180" s="1450"/>
      <c r="C180" s="1447"/>
      <c r="D180" s="1448" t="s">
        <v>2020</v>
      </c>
      <c r="E180" s="1449" t="s">
        <v>1531</v>
      </c>
      <c r="F180" s="1791"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zoomScaleNormal="100" workbookViewId="0">
      <selection activeCell="B26" sqref="B26"/>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422" t="s">
        <v>1798</v>
      </c>
      <c r="B4" s="2423"/>
      <c r="C4" s="2423"/>
      <c r="D4" s="2423"/>
      <c r="E4" s="2423"/>
      <c r="F4" s="2424"/>
    </row>
    <row r="5" spans="1:6" x14ac:dyDescent="0.25">
      <c r="A5" s="2425"/>
      <c r="B5" s="2426"/>
      <c r="C5" s="2426"/>
      <c r="D5" s="2426"/>
      <c r="E5" s="2426"/>
      <c r="F5" s="2427"/>
    </row>
    <row r="6" spans="1:6" ht="18.75" x14ac:dyDescent="0.25">
      <c r="A6" s="1858" t="s">
        <v>1799</v>
      </c>
      <c r="B6" s="1859"/>
      <c r="C6" s="1860"/>
      <c r="D6" s="1860"/>
      <c r="E6" s="1860"/>
      <c r="F6" s="1861"/>
    </row>
    <row r="7" spans="1:6" ht="47.25" customHeight="1" x14ac:dyDescent="0.25">
      <c r="A7" s="2428" t="s">
        <v>1988</v>
      </c>
      <c r="B7" s="2429"/>
      <c r="C7" s="2429"/>
      <c r="D7" s="2429"/>
      <c r="E7" s="2429"/>
      <c r="F7" s="2430"/>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431" t="s">
        <v>1984</v>
      </c>
      <c r="B10" s="2432"/>
      <c r="C10" s="2432"/>
      <c r="D10" s="2432"/>
      <c r="E10" s="2432"/>
      <c r="F10" s="2433"/>
    </row>
    <row r="11" spans="1:6" ht="33" customHeight="1" x14ac:dyDescent="0.25">
      <c r="A11" s="2428" t="s">
        <v>1989</v>
      </c>
      <c r="B11" s="2429"/>
      <c r="C11" s="2429"/>
      <c r="D11" s="2429"/>
      <c r="E11" s="2429"/>
      <c r="F11" s="2430"/>
    </row>
    <row r="12" spans="1:6" ht="15" customHeight="1" x14ac:dyDescent="0.25">
      <c r="A12" s="1864" t="s">
        <v>1985</v>
      </c>
      <c r="B12" s="1865"/>
      <c r="C12" s="1866"/>
      <c r="D12" s="1866"/>
      <c r="E12" s="1866"/>
      <c r="F12" s="1867"/>
    </row>
    <row r="13" spans="1:6" ht="17.25" customHeight="1" x14ac:dyDescent="0.25">
      <c r="A13" s="2428" t="s">
        <v>1986</v>
      </c>
      <c r="B13" s="2429"/>
      <c r="C13" s="2429"/>
      <c r="D13" s="2429"/>
      <c r="E13" s="2429"/>
      <c r="F13" s="2430"/>
    </row>
    <row r="14" spans="1:6" ht="15" customHeight="1" x14ac:dyDescent="0.25">
      <c r="A14" s="1864" t="s">
        <v>1803</v>
      </c>
      <c r="B14" s="1865"/>
      <c r="C14" s="1866"/>
      <c r="D14" s="1866"/>
      <c r="E14" s="1866"/>
      <c r="F14" s="1867"/>
    </row>
    <row r="15" spans="1:6" ht="32.25" customHeight="1" x14ac:dyDescent="0.25">
      <c r="A15" s="241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0"/>
      <c r="C15" s="2420"/>
      <c r="D15" s="2420"/>
      <c r="E15" s="2420"/>
      <c r="F15" s="2421"/>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1" t="s">
        <v>2035</v>
      </c>
      <c r="B18" s="1899"/>
      <c r="C18" s="1904"/>
      <c r="D18" s="1877"/>
      <c r="E18" s="1897">
        <f t="shared" ref="E18:E81" si="0">IF(D18&lt;25000,D18,"25,000")</f>
        <v>0</v>
      </c>
      <c r="F18" s="1897" t="str">
        <f t="shared" ref="F18:F81" si="1">IF(D18&gt;=25000,(D18-E18),"0")</f>
        <v>0</v>
      </c>
      <c r="G18" s="1878"/>
    </row>
    <row r="19" spans="1:7" x14ac:dyDescent="0.25">
      <c r="A19" s="1879"/>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0</v>
      </c>
      <c r="E142" s="1884">
        <f>SUM(E18:E141)</f>
        <v>0</v>
      </c>
      <c r="F142" s="1885">
        <f>SUM(F18:F141)</f>
        <v>0</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B26" sqref="B2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4" t="s">
        <v>1663</v>
      </c>
      <c r="B5" s="2435"/>
      <c r="C5" s="2435"/>
      <c r="D5" s="2435"/>
      <c r="E5" s="2435"/>
      <c r="F5" s="2435"/>
      <c r="G5" s="243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43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0"/>
      <c r="C11" s="2440"/>
      <c r="D11" s="2441"/>
      <c r="E11" s="1794"/>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384598</v>
      </c>
      <c r="F19" s="1795"/>
      <c r="G19" s="1797">
        <f>'Expenditures 15-22'!K33-SUM('Expenditures 15-22'!G33,'Expenditures 15-22'!I33)+'Expenditures 15-22'!D229</f>
        <v>384598</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22781</v>
      </c>
      <c r="F21" s="1798"/>
      <c r="G21" s="1801">
        <f>'Expenditures 15-22'!K42-SUM('Expenditures 15-22'!G42,'Expenditures 15-22'!I42)+'Expenditures 15-22'!K120-SUM('Expenditures 15-22'!G120,'Expenditures 15-22'!I120)+'Expenditures 15-22'!K180-SUM('Expenditures 15-22'!G180,'Expenditures 15-22'!I180)+'Expenditures 15-22'!D238</f>
        <v>22781</v>
      </c>
      <c r="H21" s="817"/>
      <c r="I21" s="157"/>
    </row>
    <row r="22" spans="1:9" s="542" customFormat="1" ht="12" customHeight="1" x14ac:dyDescent="0.2">
      <c r="A22" s="824" t="s">
        <v>560</v>
      </c>
      <c r="B22" s="825"/>
      <c r="C22" s="823">
        <v>2200</v>
      </c>
      <c r="D22" s="1798"/>
      <c r="E22" s="1800">
        <f>'Expenditures 15-22'!K47-SUM('Expenditures 15-22'!G47,'Expenditures 15-22'!I47)+'Expenditures 15-22'!D243</f>
        <v>74074</v>
      </c>
      <c r="F22" s="1798"/>
      <c r="G22" s="1801">
        <f>'Expenditures 15-22'!K47-SUM('Expenditures 15-22'!G47,'Expenditures 15-22'!I47)+'Expenditures 15-22'!D243</f>
        <v>74074</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95619</v>
      </c>
      <c r="F23" s="1798"/>
      <c r="G23" s="1800">
        <f>'Expenditures 15-22'!K53-SUM('Expenditures 15-22'!G53,'Expenditures 15-22'!I53)+'Expenditures 15-22'!D257+'Expenditures 15-22'!K330-SUM('Expenditures 15-22'!G330,'Expenditures 15-22'!I330)</f>
        <v>95619</v>
      </c>
      <c r="H23" s="817"/>
      <c r="I23" s="157"/>
    </row>
    <row r="24" spans="1:9" s="542" customFormat="1" ht="12" customHeight="1" x14ac:dyDescent="0.2">
      <c r="A24" s="824" t="s">
        <v>562</v>
      </c>
      <c r="B24" s="825"/>
      <c r="C24" s="823">
        <v>2400</v>
      </c>
      <c r="D24" s="1798"/>
      <c r="E24" s="1800">
        <f>'Expenditures 15-22'!K57-SUM('Expenditures 15-22'!G57,'Expenditures 15-22'!I57)+'Expenditures 15-22'!D261</f>
        <v>0</v>
      </c>
      <c r="F24" s="1798"/>
      <c r="G24" s="1801">
        <f>'Expenditures 15-22'!K57-SUM('Expenditures 15-22'!G57,'Expenditures 15-22'!I57)+'Expenditures 15-22'!D261</f>
        <v>0</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16107</v>
      </c>
      <c r="E27" s="1800">
        <f>E8</f>
        <v>0</v>
      </c>
      <c r="F27" s="1800">
        <f>'Expenditures 15-22'!K60-SUM('Expenditures 15-22'!G60,'Expenditures 15-22'!I60)+'Expenditures 15-22'!D264-E8</f>
        <v>16107</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43081</v>
      </c>
      <c r="F28" s="1802">
        <f>'Expenditures 15-22'!K61-SUM('Expenditures 15-22'!G61,'Expenditures 15-22'!I61)+'Expenditures 15-22'!K124-SUM('Expenditures 15-22'!G124,'Expenditures 15-22'!I124)+'Expenditures 15-22'!D266-E9</f>
        <v>43081</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0</v>
      </c>
      <c r="F29" s="1798"/>
      <c r="G29" s="1801">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98"/>
      <c r="E30" s="1800">
        <f>'Expenditures 15-22'!K63-SUM('Expenditures 15-22'!G63,'Expenditures 15-22'!I63)+'Expenditures 15-22'!D268-E10</f>
        <v>0</v>
      </c>
      <c r="F30" s="1798"/>
      <c r="G30" s="1800">
        <f>'Expenditures 15-22'!K63-SUM('Expenditures 15-22'!G63,'Expenditures 15-22'!I63)+'Expenditures 15-22'!D268-E10</f>
        <v>0</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16107</v>
      </c>
      <c r="E41" s="1802">
        <f>SUM(E19:E40)</f>
        <v>620153</v>
      </c>
      <c r="F41" s="1802">
        <f>SUM(F19:F39)</f>
        <v>59188</v>
      </c>
      <c r="G41" s="1802">
        <f>SUM(G19:G40)</f>
        <v>577072</v>
      </c>
    </row>
    <row r="42" spans="1:7" x14ac:dyDescent="0.2">
      <c r="A42" s="817"/>
      <c r="B42" s="157"/>
      <c r="C42" s="831"/>
      <c r="D42" s="2437" t="s">
        <v>519</v>
      </c>
      <c r="E42" s="2438"/>
      <c r="F42" s="832" t="s">
        <v>520</v>
      </c>
      <c r="G42" s="833"/>
    </row>
    <row r="43" spans="1:7" ht="12" customHeight="1" x14ac:dyDescent="0.2">
      <c r="A43" s="817"/>
      <c r="B43" s="157"/>
      <c r="C43" s="831"/>
      <c r="D43" s="1451" t="s">
        <v>470</v>
      </c>
      <c r="E43" s="1803">
        <f>D41</f>
        <v>16107</v>
      </c>
      <c r="F43" s="1451" t="s">
        <v>470</v>
      </c>
      <c r="G43" s="1803">
        <f>F41</f>
        <v>59188</v>
      </c>
    </row>
    <row r="44" spans="1:7" ht="12" customHeight="1" x14ac:dyDescent="0.2">
      <c r="A44" s="817"/>
      <c r="B44" s="157"/>
      <c r="C44" s="831"/>
      <c r="D44" s="1451" t="s">
        <v>471</v>
      </c>
      <c r="E44" s="1803">
        <f>E41</f>
        <v>620153</v>
      </c>
      <c r="F44" s="1451" t="s">
        <v>471</v>
      </c>
      <c r="G44" s="1803">
        <f>G41</f>
        <v>577072</v>
      </c>
    </row>
    <row r="45" spans="1:7" ht="12" customHeight="1" x14ac:dyDescent="0.2">
      <c r="A45" s="817"/>
      <c r="B45" s="157"/>
      <c r="C45" s="157"/>
      <c r="D45" s="1452" t="s">
        <v>999</v>
      </c>
      <c r="E45" s="1804">
        <f>(E43/E44)</f>
        <v>2.5972622884997736E-2</v>
      </c>
      <c r="F45" s="1452" t="s">
        <v>999</v>
      </c>
      <c r="G45" s="1804">
        <f>(G43/G44)</f>
        <v>0.10256605761499432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E36A8-F0FA-4B85-B1AA-A5A677BF70E6}">
  <sheetPr>
    <pageSetUpPr fitToPage="1"/>
  </sheetPr>
  <dimension ref="A1:N72"/>
  <sheetViews>
    <sheetView showGridLines="0" view="pageBreakPreview" topLeftCell="A22" zoomScale="60" zoomScaleNormal="100" workbookViewId="0">
      <selection activeCell="E67" sqref="E67"/>
    </sheetView>
  </sheetViews>
  <sheetFormatPr defaultRowHeight="15" x14ac:dyDescent="0.25"/>
  <cols>
    <col min="1" max="1" width="2.7109375" style="1923" customWidth="1"/>
    <col min="2" max="2" width="3" style="1923" customWidth="1"/>
    <col min="3" max="3" width="38" style="1923" customWidth="1"/>
    <col min="4" max="4" width="7.7109375" style="1923" customWidth="1"/>
    <col min="5" max="5" width="10.7109375" style="1923" customWidth="1"/>
    <col min="6" max="6" width="11" style="1923" customWidth="1"/>
    <col min="7" max="8" width="9.140625" style="1923"/>
    <col min="9" max="9" width="10.85546875" style="1923" customWidth="1"/>
    <col min="10" max="10" width="12.42578125" style="1923" customWidth="1"/>
    <col min="11" max="11" width="9.140625" style="1923"/>
    <col min="12" max="12" width="13.140625" style="1923" customWidth="1"/>
    <col min="13" max="13" width="9.140625" style="1923"/>
    <col min="14" max="14" width="17.85546875" style="1923" customWidth="1"/>
    <col min="15" max="16384" width="9.140625" style="1923"/>
  </cols>
  <sheetData>
    <row r="1" spans="1:14" x14ac:dyDescent="0.25">
      <c r="A1" s="1918"/>
      <c r="B1" s="1919"/>
      <c r="C1" s="1919"/>
      <c r="D1" s="1919"/>
      <c r="E1" s="1919"/>
      <c r="F1" s="1919"/>
      <c r="G1" s="1920" t="s">
        <v>402</v>
      </c>
      <c r="H1" s="1921"/>
      <c r="I1" s="1919"/>
      <c r="J1" s="1919"/>
      <c r="K1" s="1919"/>
      <c r="L1" s="1919"/>
      <c r="M1" s="1919"/>
      <c r="N1" s="1922"/>
    </row>
    <row r="2" spans="1:14" x14ac:dyDescent="0.25">
      <c r="A2" s="1924"/>
      <c r="B2" s="847"/>
      <c r="C2" s="847"/>
      <c r="D2" s="847"/>
      <c r="E2" s="847"/>
      <c r="F2" s="847"/>
      <c r="G2" s="1917" t="s">
        <v>2005</v>
      </c>
      <c r="H2" s="1925"/>
      <c r="I2" s="847"/>
      <c r="J2" s="847"/>
      <c r="K2" s="847"/>
      <c r="L2" s="847"/>
      <c r="M2" s="847"/>
      <c r="N2" s="1926"/>
    </row>
    <row r="3" spans="1:14" x14ac:dyDescent="0.25">
      <c r="A3" s="1924"/>
      <c r="B3" s="847"/>
      <c r="C3" s="847"/>
      <c r="D3" s="847"/>
      <c r="E3" s="847"/>
      <c r="F3" s="847"/>
      <c r="G3" s="1917" t="s">
        <v>403</v>
      </c>
      <c r="H3" s="847"/>
      <c r="I3" s="847"/>
      <c r="J3" s="847"/>
      <c r="K3" s="847"/>
      <c r="L3" s="847"/>
      <c r="M3" s="847"/>
      <c r="N3" s="1926"/>
    </row>
    <row r="4" spans="1:14" x14ac:dyDescent="0.25">
      <c r="A4" s="1924"/>
      <c r="B4" s="847"/>
      <c r="C4" s="847"/>
      <c r="D4" s="847"/>
      <c r="E4" s="847"/>
      <c r="F4" s="847"/>
      <c r="G4" s="1917" t="s">
        <v>863</v>
      </c>
      <c r="H4" s="847"/>
      <c r="I4" s="847"/>
      <c r="J4" s="847"/>
      <c r="K4" s="847"/>
      <c r="L4" s="847"/>
      <c r="M4" s="847"/>
      <c r="N4" s="1926"/>
    </row>
    <row r="5" spans="1:14" x14ac:dyDescent="0.25">
      <c r="A5" s="1924"/>
      <c r="B5" s="847"/>
      <c r="C5" s="847"/>
      <c r="D5" s="847"/>
      <c r="E5" s="847"/>
      <c r="F5" s="1917"/>
      <c r="G5" s="1917"/>
      <c r="H5" s="847"/>
      <c r="I5" s="847"/>
      <c r="J5" s="847"/>
      <c r="K5" s="847"/>
      <c r="L5" s="847"/>
      <c r="M5" s="847"/>
      <c r="N5" s="1926"/>
    </row>
    <row r="6" spans="1:14" x14ac:dyDescent="0.25">
      <c r="A6" s="1927" t="s">
        <v>667</v>
      </c>
      <c r="B6" s="1370"/>
      <c r="C6" s="1370"/>
      <c r="D6" s="1370"/>
      <c r="E6" s="1371"/>
      <c r="F6" s="1928"/>
      <c r="G6" s="1917"/>
      <c r="H6" s="847"/>
      <c r="I6" s="1929" t="s">
        <v>1021</v>
      </c>
      <c r="J6" s="2484" t="str">
        <f>COVER!A17</f>
        <v xml:space="preserve">  Five County Reg Voc System</v>
      </c>
      <c r="K6" s="2484"/>
      <c r="L6" s="2485"/>
      <c r="M6" s="847"/>
      <c r="N6" s="1926"/>
    </row>
    <row r="7" spans="1:14" x14ac:dyDescent="0.25">
      <c r="A7" s="2486" t="s">
        <v>864</v>
      </c>
      <c r="B7" s="2487"/>
      <c r="C7" s="2487"/>
      <c r="D7" s="2487"/>
      <c r="E7" s="2488"/>
      <c r="F7" s="1930"/>
      <c r="G7" s="847"/>
      <c r="H7" s="847"/>
      <c r="I7" s="1929" t="s">
        <v>369</v>
      </c>
      <c r="J7" s="2489">
        <f>COVER!A13</f>
        <v>30002748045</v>
      </c>
      <c r="K7" s="2489"/>
      <c r="L7" s="2489"/>
      <c r="M7" s="847"/>
      <c r="N7" s="1926"/>
    </row>
    <row r="8" spans="1:14" x14ac:dyDescent="0.25">
      <c r="A8" s="1931"/>
      <c r="B8" s="1932"/>
      <c r="C8" s="1932"/>
      <c r="D8" s="1932"/>
      <c r="E8" s="1933"/>
      <c r="F8" s="1934"/>
      <c r="G8" s="1935"/>
      <c r="H8" s="1935"/>
      <c r="I8" s="1935"/>
      <c r="J8" s="1935"/>
      <c r="K8" s="1935"/>
      <c r="L8" s="1935"/>
      <c r="M8" s="847"/>
      <c r="N8" s="1926"/>
    </row>
    <row r="9" spans="1:14" x14ac:dyDescent="0.25">
      <c r="A9" s="1936"/>
      <c r="B9" s="1937"/>
      <c r="C9" s="1937"/>
      <c r="D9" s="1938"/>
      <c r="E9" s="1939" t="s">
        <v>2053</v>
      </c>
      <c r="F9" s="1940"/>
      <c r="G9" s="1940"/>
      <c r="H9" s="1940"/>
      <c r="I9" s="1941" t="s">
        <v>2054</v>
      </c>
      <c r="J9" s="1940"/>
      <c r="K9" s="1940"/>
      <c r="L9" s="1942"/>
      <c r="M9" s="847"/>
      <c r="N9" s="1926"/>
    </row>
    <row r="10" spans="1:14" x14ac:dyDescent="0.25">
      <c r="A10" s="1924"/>
      <c r="B10" s="847"/>
      <c r="C10" s="1917"/>
      <c r="D10" s="1943"/>
      <c r="E10" s="1944" t="s">
        <v>422</v>
      </c>
      <c r="F10" s="1945" t="s">
        <v>423</v>
      </c>
      <c r="G10" s="1946" t="s">
        <v>429</v>
      </c>
      <c r="H10" s="1947"/>
      <c r="I10" s="1945" t="s">
        <v>422</v>
      </c>
      <c r="J10" s="1945" t="s">
        <v>423</v>
      </c>
      <c r="K10" s="1946" t="s">
        <v>429</v>
      </c>
      <c r="L10" s="1945"/>
      <c r="M10" s="847"/>
      <c r="N10" s="1926"/>
    </row>
    <row r="11" spans="1:14" ht="51" x14ac:dyDescent="0.25">
      <c r="A11" s="2490" t="s">
        <v>478</v>
      </c>
      <c r="B11" s="2491"/>
      <c r="C11" s="2492"/>
      <c r="D11" s="1948" t="s">
        <v>866</v>
      </c>
      <c r="E11" s="1948" t="s">
        <v>64</v>
      </c>
      <c r="F11" s="1948" t="s">
        <v>6</v>
      </c>
      <c r="G11" s="1949" t="s">
        <v>2055</v>
      </c>
      <c r="H11" s="1950" t="s">
        <v>155</v>
      </c>
      <c r="I11" s="1948" t="s">
        <v>64</v>
      </c>
      <c r="J11" s="1948" t="s">
        <v>6</v>
      </c>
      <c r="K11" s="1949" t="s">
        <v>2004</v>
      </c>
      <c r="L11" s="1950" t="s">
        <v>155</v>
      </c>
      <c r="M11" s="847"/>
      <c r="N11" s="1926"/>
    </row>
    <row r="12" spans="1:14" x14ac:dyDescent="0.25">
      <c r="A12" s="1951">
        <v>1</v>
      </c>
      <c r="B12" s="1952" t="s">
        <v>813</v>
      </c>
      <c r="C12" s="1953"/>
      <c r="D12" s="1954">
        <v>2320</v>
      </c>
      <c r="E12" s="1955">
        <f>'Expenditures 15-22'!K50</f>
        <v>0</v>
      </c>
      <c r="F12" s="1956"/>
      <c r="G12" s="1957">
        <f>G68</f>
        <v>0</v>
      </c>
      <c r="H12" s="1958">
        <f t="shared" ref="H12:H18" si="0">SUM(E12:G12)</f>
        <v>0</v>
      </c>
      <c r="I12" s="1959"/>
      <c r="J12" s="1956"/>
      <c r="K12" s="1959"/>
      <c r="L12" s="1958">
        <f t="shared" ref="L12:L18" si="1">SUM(I12:K12)</f>
        <v>0</v>
      </c>
      <c r="M12" s="847"/>
      <c r="N12" s="1926"/>
    </row>
    <row r="13" spans="1:14" x14ac:dyDescent="0.25">
      <c r="A13" s="1951">
        <v>2</v>
      </c>
      <c r="B13" s="1952" t="s">
        <v>42</v>
      </c>
      <c r="C13" s="1953"/>
      <c r="D13" s="1954">
        <v>2330</v>
      </c>
      <c r="E13" s="1955">
        <f>'Expenditures 15-22'!K51</f>
        <v>93795</v>
      </c>
      <c r="F13" s="1956"/>
      <c r="G13" s="1957">
        <f>H68</f>
        <v>0</v>
      </c>
      <c r="H13" s="1958">
        <f t="shared" si="0"/>
        <v>93795</v>
      </c>
      <c r="I13" s="1959"/>
      <c r="J13" s="1956"/>
      <c r="K13" s="1959"/>
      <c r="L13" s="1958">
        <f t="shared" si="1"/>
        <v>0</v>
      </c>
      <c r="M13" s="847"/>
      <c r="N13" s="1926"/>
    </row>
    <row r="14" spans="1:14" x14ac:dyDescent="0.25">
      <c r="A14" s="1951">
        <v>3</v>
      </c>
      <c r="B14" s="1952" t="s">
        <v>43</v>
      </c>
      <c r="C14" s="1953"/>
      <c r="D14" s="1960">
        <v>2490</v>
      </c>
      <c r="E14" s="1955">
        <f>'Expenditures 15-22'!K56</f>
        <v>0</v>
      </c>
      <c r="F14" s="1956"/>
      <c r="G14" s="1957">
        <f>I68</f>
        <v>0</v>
      </c>
      <c r="H14" s="1958">
        <f t="shared" si="0"/>
        <v>0</v>
      </c>
      <c r="I14" s="1959"/>
      <c r="J14" s="1956"/>
      <c r="K14" s="1959"/>
      <c r="L14" s="1958">
        <f t="shared" si="1"/>
        <v>0</v>
      </c>
      <c r="M14" s="847"/>
      <c r="N14" s="1926"/>
    </row>
    <row r="15" spans="1:14" x14ac:dyDescent="0.25">
      <c r="A15" s="1951">
        <v>4</v>
      </c>
      <c r="B15" s="1952" t="s">
        <v>1061</v>
      </c>
      <c r="C15" s="1953"/>
      <c r="D15" s="1954">
        <v>2510</v>
      </c>
      <c r="E15" s="1955">
        <f>'Expenditures 15-22'!K59</f>
        <v>0</v>
      </c>
      <c r="F15" s="1955">
        <f>'Expenditures 15-22'!K122</f>
        <v>0</v>
      </c>
      <c r="G15" s="1957">
        <f>J68</f>
        <v>0</v>
      </c>
      <c r="H15" s="1958">
        <f t="shared" si="0"/>
        <v>0</v>
      </c>
      <c r="I15" s="1959"/>
      <c r="J15" s="1959"/>
      <c r="K15" s="1959"/>
      <c r="L15" s="1958">
        <f t="shared" si="1"/>
        <v>0</v>
      </c>
      <c r="M15" s="847"/>
      <c r="N15" s="1926"/>
    </row>
    <row r="16" spans="1:14" x14ac:dyDescent="0.25">
      <c r="A16" s="1951">
        <v>5</v>
      </c>
      <c r="B16" s="1952" t="s">
        <v>101</v>
      </c>
      <c r="C16" s="1953"/>
      <c r="D16" s="1954">
        <v>2570</v>
      </c>
      <c r="E16" s="1955">
        <f>'Expenditures 15-22'!K64</f>
        <v>0</v>
      </c>
      <c r="F16" s="1956"/>
      <c r="G16" s="1957">
        <f>K68</f>
        <v>0</v>
      </c>
      <c r="H16" s="1958">
        <f t="shared" si="0"/>
        <v>0</v>
      </c>
      <c r="I16" s="1959"/>
      <c r="J16" s="1956"/>
      <c r="K16" s="1959"/>
      <c r="L16" s="1958">
        <f t="shared" si="1"/>
        <v>0</v>
      </c>
      <c r="M16" s="847"/>
      <c r="N16" s="1926"/>
    </row>
    <row r="17" spans="1:14" x14ac:dyDescent="0.25">
      <c r="A17" s="1951">
        <v>6</v>
      </c>
      <c r="B17" s="1952" t="s">
        <v>1053</v>
      </c>
      <c r="C17" s="1953"/>
      <c r="D17" s="1954">
        <v>2610</v>
      </c>
      <c r="E17" s="1955">
        <f>'Expenditures 15-22'!K67</f>
        <v>0</v>
      </c>
      <c r="F17" s="1956"/>
      <c r="G17" s="1957">
        <f>L68</f>
        <v>0</v>
      </c>
      <c r="H17" s="1958">
        <f t="shared" si="0"/>
        <v>0</v>
      </c>
      <c r="I17" s="1959"/>
      <c r="J17" s="1956"/>
      <c r="K17" s="1959"/>
      <c r="L17" s="1958">
        <f t="shared" si="1"/>
        <v>0</v>
      </c>
      <c r="M17" s="847"/>
      <c r="N17" s="1926"/>
    </row>
    <row r="18" spans="1:14" ht="28.5" customHeight="1" x14ac:dyDescent="0.25">
      <c r="A18" s="1961">
        <v>7</v>
      </c>
      <c r="B18" s="2493" t="s">
        <v>7</v>
      </c>
      <c r="C18" s="2493"/>
      <c r="D18" s="2494"/>
      <c r="E18" s="1959"/>
      <c r="F18" s="1959"/>
      <c r="G18" s="1959"/>
      <c r="H18" s="1958">
        <f t="shared" si="0"/>
        <v>0</v>
      </c>
      <c r="I18" s="1959"/>
      <c r="J18" s="1959"/>
      <c r="K18" s="1959"/>
      <c r="L18" s="1958">
        <f t="shared" si="1"/>
        <v>0</v>
      </c>
      <c r="M18" s="847"/>
      <c r="N18" s="1926"/>
    </row>
    <row r="19" spans="1:14" ht="15.75" thickBot="1" x14ac:dyDescent="0.3">
      <c r="A19" s="1951">
        <v>8</v>
      </c>
      <c r="B19" s="1962" t="s">
        <v>1153</v>
      </c>
      <c r="C19" s="847"/>
      <c r="D19" s="1963"/>
      <c r="E19" s="1964">
        <f t="shared" ref="E19:L19" si="2">SUM(E12:E17)-E18</f>
        <v>93795</v>
      </c>
      <c r="F19" s="1964">
        <f t="shared" si="2"/>
        <v>0</v>
      </c>
      <c r="G19" s="1964">
        <f t="shared" ref="G19" si="3">SUM(G12:G17)-G18</f>
        <v>0</v>
      </c>
      <c r="H19" s="1964">
        <f t="shared" si="2"/>
        <v>93795</v>
      </c>
      <c r="I19" s="1964">
        <f t="shared" si="2"/>
        <v>0</v>
      </c>
      <c r="J19" s="1964">
        <f t="shared" si="2"/>
        <v>0</v>
      </c>
      <c r="K19" s="1964">
        <f t="shared" si="2"/>
        <v>0</v>
      </c>
      <c r="L19" s="1964">
        <f t="shared" si="2"/>
        <v>0</v>
      </c>
      <c r="M19" s="847"/>
      <c r="N19" s="1926"/>
    </row>
    <row r="20" spans="1:14" ht="15.75" thickTop="1" x14ac:dyDescent="0.25">
      <c r="A20" s="1951">
        <v>9</v>
      </c>
      <c r="B20" s="2482" t="s">
        <v>2056</v>
      </c>
      <c r="C20" s="2482"/>
      <c r="D20" s="2483"/>
      <c r="E20" s="1965"/>
      <c r="F20" s="1965"/>
      <c r="G20" s="1965"/>
      <c r="H20" s="1965"/>
      <c r="I20" s="1965"/>
      <c r="J20" s="1965"/>
      <c r="K20" s="1965"/>
      <c r="L20" s="1966" t="str">
        <f>IF(AND(H19&gt;0,L19&gt;0),(((L19-H19)/H19)),"Enter Budget Data")</f>
        <v>Enter Budget Data</v>
      </c>
      <c r="M20" s="847"/>
      <c r="N20" s="1926"/>
    </row>
    <row r="21" spans="1:14" x14ac:dyDescent="0.25">
      <c r="A21" s="1967" t="s">
        <v>194</v>
      </c>
      <c r="B21" s="294" t="s">
        <v>2057</v>
      </c>
      <c r="C21" s="847"/>
      <c r="D21" s="1968"/>
      <c r="E21" s="1969"/>
      <c r="F21" s="1970"/>
      <c r="G21" s="1970"/>
      <c r="H21" s="1970"/>
      <c r="I21" s="1970"/>
      <c r="J21" s="1970"/>
      <c r="K21" s="1970"/>
      <c r="L21" s="1971"/>
      <c r="M21" s="847"/>
      <c r="N21" s="1926"/>
    </row>
    <row r="22" spans="1:14" x14ac:dyDescent="0.25">
      <c r="A22" s="1924"/>
      <c r="B22" s="1972"/>
      <c r="C22" s="847"/>
      <c r="D22" s="847"/>
      <c r="E22" s="847"/>
      <c r="F22" s="847"/>
      <c r="G22" s="847"/>
      <c r="H22" s="847"/>
      <c r="I22" s="847"/>
      <c r="J22" s="847"/>
      <c r="K22" s="847"/>
      <c r="L22" s="847"/>
      <c r="M22" s="847"/>
      <c r="N22" s="1926"/>
    </row>
    <row r="23" spans="1:14" x14ac:dyDescent="0.25">
      <c r="A23" s="1973" t="s">
        <v>132</v>
      </c>
      <c r="B23" s="1972"/>
      <c r="C23" s="847"/>
      <c r="D23" s="847"/>
      <c r="E23" s="847"/>
      <c r="F23" s="847"/>
      <c r="G23" s="847"/>
      <c r="H23" s="847"/>
      <c r="I23" s="847"/>
      <c r="J23" s="847"/>
      <c r="K23" s="847"/>
      <c r="L23" s="847"/>
      <c r="M23" s="847"/>
      <c r="N23" s="1926"/>
    </row>
    <row r="24" spans="1:14" x14ac:dyDescent="0.25">
      <c r="A24" s="1974" t="s">
        <v>2058</v>
      </c>
      <c r="B24" s="1975"/>
      <c r="C24" s="1976"/>
      <c r="D24" s="1976"/>
      <c r="E24" s="1976"/>
      <c r="F24" s="1976"/>
      <c r="G24" s="1976"/>
      <c r="H24" s="1976"/>
      <c r="I24" s="1976"/>
      <c r="J24" s="1976"/>
      <c r="K24" s="1976"/>
      <c r="L24" s="847"/>
      <c r="M24" s="847"/>
      <c r="N24" s="1926"/>
    </row>
    <row r="25" spans="1:14" x14ac:dyDescent="0.25">
      <c r="A25" s="1974" t="s">
        <v>2059</v>
      </c>
      <c r="B25" s="1975"/>
      <c r="C25" s="1976"/>
      <c r="D25" s="1976"/>
      <c r="E25" s="1976"/>
      <c r="F25" s="1976"/>
      <c r="G25" s="1976"/>
      <c r="H25" s="1976"/>
      <c r="I25" s="1976"/>
      <c r="J25" s="1976"/>
      <c r="K25" s="1976"/>
      <c r="L25" s="847"/>
      <c r="M25" s="847"/>
      <c r="N25" s="1926"/>
    </row>
    <row r="26" spans="1:14" x14ac:dyDescent="0.25">
      <c r="A26" s="1977"/>
      <c r="B26" s="1972"/>
      <c r="C26" s="847"/>
      <c r="D26" s="847"/>
      <c r="E26" s="847"/>
      <c r="F26" s="847"/>
      <c r="G26" s="847"/>
      <c r="H26" s="847"/>
      <c r="I26" s="847"/>
      <c r="J26" s="847"/>
      <c r="K26" s="847"/>
      <c r="L26" s="847"/>
      <c r="M26" s="847"/>
      <c r="N26" s="1926"/>
    </row>
    <row r="27" spans="1:14" x14ac:dyDescent="0.25">
      <c r="A27" s="1924"/>
      <c r="B27" s="1972"/>
      <c r="C27" s="2468"/>
      <c r="D27" s="2468"/>
      <c r="E27" s="1978"/>
      <c r="F27" s="2469"/>
      <c r="G27" s="2469"/>
      <c r="H27" s="2469"/>
      <c r="I27" s="847"/>
      <c r="J27" s="847"/>
      <c r="K27" s="847"/>
      <c r="L27" s="847"/>
      <c r="M27" s="847"/>
      <c r="N27" s="1926"/>
    </row>
    <row r="28" spans="1:14" x14ac:dyDescent="0.25">
      <c r="A28" s="1924"/>
      <c r="B28" s="1972"/>
      <c r="C28" s="1979" t="s">
        <v>1026</v>
      </c>
      <c r="D28" s="1980"/>
      <c r="E28" s="1981"/>
      <c r="F28" s="2470" t="s">
        <v>1495</v>
      </c>
      <c r="G28" s="2470"/>
      <c r="H28" s="2470"/>
      <c r="I28" s="847"/>
      <c r="J28" s="847"/>
      <c r="K28" s="847"/>
      <c r="L28" s="847"/>
      <c r="M28" s="847"/>
      <c r="N28" s="1926"/>
    </row>
    <row r="29" spans="1:14" x14ac:dyDescent="0.25">
      <c r="A29" s="1924"/>
      <c r="B29" s="1972"/>
      <c r="C29" s="2471"/>
      <c r="D29" s="2471"/>
      <c r="E29" s="846"/>
      <c r="F29" s="2471"/>
      <c r="G29" s="2471"/>
      <c r="H29" s="2471"/>
      <c r="I29" s="847"/>
      <c r="J29" s="847"/>
      <c r="K29" s="847"/>
      <c r="L29" s="847"/>
      <c r="M29" s="847"/>
      <c r="N29" s="1926"/>
    </row>
    <row r="30" spans="1:14" x14ac:dyDescent="0.25">
      <c r="A30" s="1924"/>
      <c r="B30" s="1972"/>
      <c r="C30" s="1982" t="s">
        <v>1547</v>
      </c>
      <c r="D30" s="847"/>
      <c r="E30" s="1983"/>
      <c r="F30" s="2472" t="s">
        <v>1496</v>
      </c>
      <c r="G30" s="2472"/>
      <c r="H30" s="2472"/>
      <c r="I30" s="847"/>
      <c r="J30" s="847"/>
      <c r="K30" s="847"/>
      <c r="L30" s="847"/>
      <c r="M30" s="847"/>
      <c r="N30" s="1926"/>
    </row>
    <row r="31" spans="1:14" x14ac:dyDescent="0.25">
      <c r="A31" s="1924"/>
      <c r="B31" s="1972"/>
      <c r="C31" s="1984"/>
      <c r="D31" s="847"/>
      <c r="E31" s="1968"/>
      <c r="F31" s="1969"/>
      <c r="G31" s="1969"/>
      <c r="H31" s="1969"/>
      <c r="I31" s="847"/>
      <c r="J31" s="847"/>
      <c r="K31" s="847"/>
      <c r="L31" s="847"/>
      <c r="M31" s="847"/>
      <c r="N31" s="1926"/>
    </row>
    <row r="32" spans="1:14" x14ac:dyDescent="0.25">
      <c r="A32" s="1924"/>
      <c r="B32" s="1985" t="s">
        <v>1027</v>
      </c>
      <c r="C32" s="847"/>
      <c r="D32" s="847"/>
      <c r="E32" s="847"/>
      <c r="F32" s="847"/>
      <c r="G32" s="847"/>
      <c r="H32" s="847"/>
      <c r="I32" s="847"/>
      <c r="J32" s="847"/>
      <c r="K32" s="847"/>
      <c r="L32" s="847"/>
      <c r="M32" s="847"/>
      <c r="N32" s="1926"/>
    </row>
    <row r="33" spans="1:14" x14ac:dyDescent="0.25">
      <c r="A33" s="1924"/>
      <c r="B33" s="1986"/>
      <c r="C33" s="847"/>
      <c r="D33" s="847"/>
      <c r="E33" s="847"/>
      <c r="F33" s="847"/>
      <c r="G33" s="847"/>
      <c r="H33" s="847"/>
      <c r="I33" s="847"/>
      <c r="J33" s="847"/>
      <c r="K33" s="847"/>
      <c r="L33" s="847"/>
      <c r="M33" s="847"/>
      <c r="N33" s="1926"/>
    </row>
    <row r="34" spans="1:14" x14ac:dyDescent="0.25">
      <c r="A34" s="1924"/>
      <c r="B34" s="1987"/>
      <c r="C34" s="2473" t="s">
        <v>2060</v>
      </c>
      <c r="D34" s="2473"/>
      <c r="E34" s="2473"/>
      <c r="F34" s="2473"/>
      <c r="G34" s="2473"/>
      <c r="H34" s="2473"/>
      <c r="I34" s="2473"/>
      <c r="J34" s="2473"/>
      <c r="K34" s="1988"/>
      <c r="L34" s="847"/>
      <c r="M34" s="847"/>
      <c r="N34" s="1926"/>
    </row>
    <row r="35" spans="1:14" x14ac:dyDescent="0.25">
      <c r="A35" s="1924"/>
      <c r="B35" s="847"/>
      <c r="C35" s="2473"/>
      <c r="D35" s="2473"/>
      <c r="E35" s="2473"/>
      <c r="F35" s="2473"/>
      <c r="G35" s="2473"/>
      <c r="H35" s="2473"/>
      <c r="I35" s="2473"/>
      <c r="J35" s="2473"/>
      <c r="K35" s="1988"/>
      <c r="L35" s="847"/>
      <c r="M35" s="847"/>
      <c r="N35" s="1926"/>
    </row>
    <row r="36" spans="1:14" x14ac:dyDescent="0.25">
      <c r="A36" s="1924"/>
      <c r="B36" s="847"/>
      <c r="C36" s="1989"/>
      <c r="D36" s="847"/>
      <c r="E36" s="847"/>
      <c r="F36" s="847"/>
      <c r="G36" s="847"/>
      <c r="H36" s="847"/>
      <c r="I36" s="847"/>
      <c r="J36" s="847"/>
      <c r="K36" s="847"/>
      <c r="L36" s="847"/>
      <c r="M36" s="847"/>
      <c r="N36" s="1926"/>
    </row>
    <row r="37" spans="1:14" x14ac:dyDescent="0.25">
      <c r="A37" s="1924"/>
      <c r="B37" s="1987"/>
      <c r="C37" s="2473" t="s">
        <v>2061</v>
      </c>
      <c r="D37" s="2473"/>
      <c r="E37" s="2473"/>
      <c r="F37" s="2473"/>
      <c r="G37" s="2473"/>
      <c r="H37" s="2473"/>
      <c r="I37" s="2473"/>
      <c r="J37" s="2473"/>
      <c r="K37" s="1988"/>
      <c r="L37" s="838"/>
      <c r="M37" s="847"/>
      <c r="N37" s="1926"/>
    </row>
    <row r="38" spans="1:14" x14ac:dyDescent="0.25">
      <c r="A38" s="1924"/>
      <c r="B38" s="847"/>
      <c r="C38" s="2473"/>
      <c r="D38" s="2473"/>
      <c r="E38" s="2473"/>
      <c r="F38" s="2473"/>
      <c r="G38" s="2473"/>
      <c r="H38" s="2473"/>
      <c r="I38" s="2473"/>
      <c r="J38" s="2473"/>
      <c r="K38" s="1988"/>
      <c r="L38" s="838"/>
      <c r="M38" s="847"/>
      <c r="N38" s="1926"/>
    </row>
    <row r="39" spans="1:14" x14ac:dyDescent="0.25">
      <c r="A39" s="1924"/>
      <c r="B39" s="847"/>
      <c r="C39" s="1989"/>
      <c r="D39" s="847"/>
      <c r="E39" s="1990"/>
      <c r="F39" s="1991"/>
      <c r="G39" s="1991"/>
      <c r="H39" s="1990"/>
      <c r="I39" s="847"/>
      <c r="J39" s="847"/>
      <c r="K39" s="847"/>
      <c r="L39" s="847"/>
      <c r="M39" s="847"/>
      <c r="N39" s="1926"/>
    </row>
    <row r="40" spans="1:14" x14ac:dyDescent="0.25">
      <c r="A40" s="1924"/>
      <c r="B40" s="1987"/>
      <c r="C40" s="2474" t="s">
        <v>2062</v>
      </c>
      <c r="D40" s="2475"/>
      <c r="E40" s="2475"/>
      <c r="F40" s="2475"/>
      <c r="G40" s="2475"/>
      <c r="H40" s="2475"/>
      <c r="I40" s="2475"/>
      <c r="J40" s="2475"/>
      <c r="K40" s="1992"/>
      <c r="L40" s="847"/>
      <c r="M40" s="847"/>
      <c r="N40" s="1926"/>
    </row>
    <row r="41" spans="1:14" x14ac:dyDescent="0.25">
      <c r="A41" s="1924"/>
      <c r="B41" s="847"/>
      <c r="C41" s="839"/>
      <c r="D41" s="839"/>
      <c r="E41" s="839"/>
      <c r="F41" s="839"/>
      <c r="G41" s="839"/>
      <c r="H41" s="839"/>
      <c r="I41" s="839"/>
      <c r="J41" s="839"/>
      <c r="K41" s="839"/>
      <c r="L41" s="847"/>
      <c r="M41" s="847"/>
      <c r="N41" s="1926"/>
    </row>
    <row r="42" spans="1:14" ht="15.75" thickBot="1" x14ac:dyDescent="0.3">
      <c r="A42" s="1993"/>
      <c r="B42" s="1994"/>
      <c r="C42" s="1994"/>
      <c r="D42" s="1994"/>
      <c r="E42" s="1994"/>
      <c r="F42" s="1994"/>
      <c r="G42" s="1994"/>
      <c r="H42" s="1994"/>
      <c r="I42" s="1994"/>
      <c r="J42" s="1994"/>
      <c r="K42" s="1994"/>
      <c r="L42" s="1994"/>
      <c r="M42" s="1994"/>
      <c r="N42" s="1995"/>
    </row>
    <row r="43" spans="1:14" ht="27" thickBot="1" x14ac:dyDescent="0.45">
      <c r="A43" s="2476" t="s">
        <v>2063</v>
      </c>
      <c r="B43" s="2477"/>
      <c r="C43" s="2477"/>
      <c r="D43" s="2477"/>
      <c r="E43" s="2477"/>
      <c r="F43" s="2477"/>
      <c r="G43" s="2477"/>
      <c r="H43" s="2477"/>
      <c r="I43" s="2477"/>
      <c r="J43" s="2477"/>
      <c r="K43" s="2477"/>
      <c r="L43" s="2477"/>
      <c r="M43" s="2477"/>
      <c r="N43" s="2478"/>
    </row>
    <row r="44" spans="1:14" x14ac:dyDescent="0.25">
      <c r="A44" s="1996"/>
      <c r="B44" s="1997"/>
      <c r="C44" s="1997"/>
      <c r="D44" s="1997"/>
      <c r="E44" s="1997"/>
      <c r="F44" s="1997"/>
      <c r="G44" s="1997"/>
      <c r="H44" s="1997"/>
      <c r="I44" s="1997"/>
      <c r="J44" s="1997"/>
      <c r="K44" s="1997"/>
      <c r="L44" s="1997"/>
      <c r="M44" s="1997"/>
      <c r="N44" s="1998"/>
    </row>
    <row r="45" spans="1:14" x14ac:dyDescent="0.25">
      <c r="A45" s="1996" t="s">
        <v>2064</v>
      </c>
      <c r="B45" s="1997"/>
      <c r="C45" s="1997"/>
      <c r="D45" s="1997"/>
      <c r="E45" s="1997"/>
      <c r="F45" s="1997"/>
      <c r="G45" s="1997"/>
      <c r="H45" s="1997"/>
      <c r="I45" s="1997"/>
      <c r="J45" s="1997"/>
      <c r="K45" s="1997"/>
      <c r="L45" s="1997"/>
      <c r="M45" s="1997"/>
      <c r="N45" s="1998"/>
    </row>
    <row r="46" spans="1:14" x14ac:dyDescent="0.25">
      <c r="A46" s="2479" t="s">
        <v>2065</v>
      </c>
      <c r="B46" s="2480"/>
      <c r="C46" s="2480"/>
      <c r="D46" s="2480"/>
      <c r="E46" s="2480"/>
      <c r="F46" s="2480"/>
      <c r="G46" s="2480"/>
      <c r="H46" s="2480"/>
      <c r="I46" s="2480"/>
      <c r="J46" s="2480"/>
      <c r="K46" s="2480"/>
      <c r="L46" s="2480"/>
      <c r="M46" s="2480"/>
      <c r="N46" s="2481"/>
    </row>
    <row r="47" spans="1:14" x14ac:dyDescent="0.25">
      <c r="A47" s="2479"/>
      <c r="B47" s="2480"/>
      <c r="C47" s="2480"/>
      <c r="D47" s="2480"/>
      <c r="E47" s="2480"/>
      <c r="F47" s="2480"/>
      <c r="G47" s="2480"/>
      <c r="H47" s="2480"/>
      <c r="I47" s="2480"/>
      <c r="J47" s="2480"/>
      <c r="K47" s="2480"/>
      <c r="L47" s="2480"/>
      <c r="M47" s="2480"/>
      <c r="N47" s="2481"/>
    </row>
    <row r="48" spans="1:14" x14ac:dyDescent="0.25">
      <c r="A48" s="1999"/>
      <c r="B48" s="1997"/>
      <c r="C48" s="1997"/>
      <c r="D48" s="2000"/>
      <c r="E48" s="2000"/>
      <c r="F48" s="2000"/>
      <c r="G48" s="2000"/>
      <c r="H48" s="2000"/>
      <c r="I48" s="2000"/>
      <c r="J48" s="2000"/>
      <c r="K48" s="2000"/>
      <c r="L48" s="2000"/>
      <c r="M48" s="2000"/>
      <c r="N48" s="2001"/>
    </row>
    <row r="49" spans="1:14" ht="15.75" x14ac:dyDescent="0.25">
      <c r="A49" s="2002" t="s">
        <v>2066</v>
      </c>
      <c r="B49" s="2003"/>
      <c r="C49" s="2003"/>
      <c r="D49" s="2004"/>
      <c r="E49" s="2004"/>
      <c r="F49" s="2004"/>
      <c r="G49" s="2004"/>
      <c r="H49" s="2004"/>
      <c r="I49" s="2004"/>
      <c r="J49" s="2004"/>
      <c r="K49" s="2004"/>
      <c r="L49" s="2004"/>
      <c r="M49" s="2004"/>
      <c r="N49" s="2005"/>
    </row>
    <row r="50" spans="1:14" x14ac:dyDescent="0.25">
      <c r="A50" s="2002" t="s">
        <v>2067</v>
      </c>
      <c r="B50" s="1997"/>
      <c r="C50" s="1997"/>
      <c r="D50" s="1997"/>
      <c r="E50" s="1997"/>
      <c r="F50" s="1997"/>
      <c r="G50" s="1997"/>
      <c r="H50" s="1997"/>
      <c r="I50" s="1997"/>
      <c r="J50" s="1997"/>
      <c r="K50" s="1997"/>
      <c r="L50" s="1997"/>
      <c r="M50" s="1997"/>
      <c r="N50" s="1998"/>
    </row>
    <row r="51" spans="1:14" x14ac:dyDescent="0.25">
      <c r="A51" s="1996"/>
      <c r="B51" s="1997"/>
      <c r="C51" s="1997"/>
      <c r="D51" s="1997"/>
      <c r="E51" s="1997"/>
      <c r="F51" s="1997"/>
      <c r="G51" s="1997"/>
      <c r="H51" s="1997"/>
      <c r="I51" s="1997"/>
      <c r="J51" s="1997"/>
      <c r="K51" s="1997"/>
      <c r="L51" s="1997"/>
      <c r="M51" s="1997"/>
      <c r="N51" s="1998"/>
    </row>
    <row r="52" spans="1:14" x14ac:dyDescent="0.25">
      <c r="A52" s="1996"/>
      <c r="B52" s="1997"/>
      <c r="C52" s="1997"/>
      <c r="D52" s="1997"/>
      <c r="E52" s="1997"/>
      <c r="F52" s="1997"/>
      <c r="G52" s="1997"/>
      <c r="H52" s="1997"/>
      <c r="I52" s="1997"/>
      <c r="J52" s="1997"/>
      <c r="K52" s="1929" t="s">
        <v>1021</v>
      </c>
      <c r="L52" s="2466" t="str">
        <f>J6</f>
        <v xml:space="preserve">  Five County Reg Voc System</v>
      </c>
      <c r="M52" s="2466"/>
      <c r="N52" s="2467"/>
    </row>
    <row r="53" spans="1:14" x14ac:dyDescent="0.25">
      <c r="A53" s="1996"/>
      <c r="B53" s="1997"/>
      <c r="C53" s="1997"/>
      <c r="D53" s="1997"/>
      <c r="E53" s="1997"/>
      <c r="F53" s="1997"/>
      <c r="G53" s="1997"/>
      <c r="H53" s="1997"/>
      <c r="I53" s="1997"/>
      <c r="J53" s="1997"/>
      <c r="K53" s="1929" t="s">
        <v>369</v>
      </c>
      <c r="L53" s="2453">
        <f>J7</f>
        <v>30002748045</v>
      </c>
      <c r="M53" s="2453"/>
      <c r="N53" s="2454"/>
    </row>
    <row r="54" spans="1:14" ht="15.75" thickBot="1" x14ac:dyDescent="0.3">
      <c r="A54" s="1996"/>
      <c r="B54" s="1997"/>
      <c r="C54" s="1997"/>
      <c r="D54" s="1997"/>
      <c r="E54" s="1997"/>
      <c r="F54" s="1997"/>
      <c r="G54" s="1997"/>
      <c r="H54" s="1997"/>
      <c r="I54" s="1997"/>
      <c r="J54" s="1997"/>
      <c r="K54" s="1997"/>
      <c r="L54" s="1997"/>
      <c r="M54" s="1997"/>
      <c r="N54" s="1998"/>
    </row>
    <row r="55" spans="1:14" x14ac:dyDescent="0.25">
      <c r="A55" s="2455"/>
      <c r="B55" s="2456"/>
      <c r="C55" s="2456"/>
      <c r="D55" s="2006"/>
      <c r="E55" s="2006"/>
      <c r="F55" s="2006"/>
      <c r="G55" s="2457" t="s">
        <v>2068</v>
      </c>
      <c r="H55" s="2457"/>
      <c r="I55" s="2457"/>
      <c r="J55" s="2457"/>
      <c r="K55" s="2457"/>
      <c r="L55" s="2457"/>
      <c r="M55" s="2457"/>
      <c r="N55" s="2458"/>
    </row>
    <row r="56" spans="1:14" ht="64.5" x14ac:dyDescent="0.25">
      <c r="A56" s="2459" t="s">
        <v>2069</v>
      </c>
      <c r="B56" s="2460"/>
      <c r="C56" s="2461"/>
      <c r="D56" s="2007" t="s">
        <v>2070</v>
      </c>
      <c r="E56" s="2007" t="s">
        <v>2071</v>
      </c>
      <c r="F56" s="2008"/>
      <c r="G56" s="2007" t="s">
        <v>2072</v>
      </c>
      <c r="H56" s="2007" t="s">
        <v>2073</v>
      </c>
      <c r="I56" s="2007" t="s">
        <v>2074</v>
      </c>
      <c r="J56" s="2007" t="s">
        <v>2075</v>
      </c>
      <c r="K56" s="2007" t="s">
        <v>2076</v>
      </c>
      <c r="L56" s="2007" t="s">
        <v>2077</v>
      </c>
      <c r="M56" s="2007" t="s">
        <v>2078</v>
      </c>
      <c r="N56" s="2009" t="s">
        <v>2079</v>
      </c>
    </row>
    <row r="57" spans="1:14" ht="24" customHeight="1" x14ac:dyDescent="0.25">
      <c r="A57" s="2462" t="s">
        <v>296</v>
      </c>
      <c r="B57" s="2463"/>
      <c r="C57" s="2463"/>
      <c r="D57" s="2010">
        <v>2361</v>
      </c>
      <c r="E57" s="2011">
        <f>'Expenditures 15-22'!K319</f>
        <v>0</v>
      </c>
      <c r="F57" s="2012"/>
      <c r="G57" s="2013"/>
      <c r="H57" s="2014"/>
      <c r="I57" s="2014"/>
      <c r="J57" s="2014"/>
      <c r="K57" s="2014"/>
      <c r="L57" s="2014"/>
      <c r="M57" s="2014"/>
      <c r="N57" s="2015">
        <f>IF((SUM(G57:M57))=E57,SUM(G57:M57),"Column N does not agree with Column E")</f>
        <v>0</v>
      </c>
    </row>
    <row r="58" spans="1:14" ht="24.75" customHeight="1" x14ac:dyDescent="0.25">
      <c r="A58" s="2464" t="s">
        <v>2080</v>
      </c>
      <c r="B58" s="2465"/>
      <c r="C58" s="2465"/>
      <c r="D58" s="2016">
        <v>2362</v>
      </c>
      <c r="E58" s="2017">
        <f>'Expenditures 15-22'!K320</f>
        <v>0</v>
      </c>
      <c r="F58" s="2012"/>
      <c r="G58" s="2018"/>
      <c r="H58" s="2019"/>
      <c r="I58" s="2019"/>
      <c r="J58" s="2019"/>
      <c r="K58" s="2019"/>
      <c r="L58" s="2019"/>
      <c r="M58" s="2019"/>
      <c r="N58" s="2015">
        <f>IF((SUM(G58:M58))=E58,SUM(G58:M58),"Column N does not agree with Column E")</f>
        <v>0</v>
      </c>
    </row>
    <row r="59" spans="1:14" ht="24.75" customHeight="1" x14ac:dyDescent="0.25">
      <c r="A59" s="2446" t="s">
        <v>297</v>
      </c>
      <c r="B59" s="2447"/>
      <c r="C59" s="2447"/>
      <c r="D59" s="2016">
        <v>2363</v>
      </c>
      <c r="E59" s="2017">
        <f>'Expenditures 15-22'!K321</f>
        <v>0</v>
      </c>
      <c r="F59" s="2012"/>
      <c r="G59" s="2018"/>
      <c r="H59" s="2019"/>
      <c r="I59" s="2019"/>
      <c r="J59" s="2019"/>
      <c r="K59" s="2019"/>
      <c r="L59" s="2019"/>
      <c r="M59" s="2019"/>
      <c r="N59" s="2015">
        <f t="shared" ref="N59:N67" si="4">IF((SUM(G59:M59))=E59,SUM(G59:M59),"Column N does not agree with Column E")</f>
        <v>0</v>
      </c>
    </row>
    <row r="60" spans="1:14" ht="24.75" customHeight="1" x14ac:dyDescent="0.25">
      <c r="A60" s="2446" t="s">
        <v>236</v>
      </c>
      <c r="B60" s="2447"/>
      <c r="C60" s="2447"/>
      <c r="D60" s="2016">
        <v>2364</v>
      </c>
      <c r="E60" s="2017">
        <f>'Expenditures 15-22'!K322</f>
        <v>0</v>
      </c>
      <c r="F60" s="2012"/>
      <c r="G60" s="2018"/>
      <c r="H60" s="2019"/>
      <c r="I60" s="2019"/>
      <c r="J60" s="2019"/>
      <c r="K60" s="2019"/>
      <c r="L60" s="2019"/>
      <c r="M60" s="2019"/>
      <c r="N60" s="2015">
        <f t="shared" si="4"/>
        <v>0</v>
      </c>
    </row>
    <row r="61" spans="1:14" ht="24.75" customHeight="1" x14ac:dyDescent="0.25">
      <c r="A61" s="2446" t="s">
        <v>697</v>
      </c>
      <c r="B61" s="2447"/>
      <c r="C61" s="2447"/>
      <c r="D61" s="2016">
        <v>2365</v>
      </c>
      <c r="E61" s="2017">
        <f>'Expenditures 15-22'!K323</f>
        <v>0</v>
      </c>
      <c r="F61" s="2012"/>
      <c r="G61" s="2018"/>
      <c r="H61" s="2019"/>
      <c r="I61" s="2019"/>
      <c r="J61" s="2019"/>
      <c r="K61" s="2019"/>
      <c r="L61" s="2019"/>
      <c r="M61" s="2019"/>
      <c r="N61" s="2015">
        <f t="shared" si="4"/>
        <v>0</v>
      </c>
    </row>
    <row r="62" spans="1:14" ht="24.75" customHeight="1" x14ac:dyDescent="0.25">
      <c r="A62" s="2446" t="s">
        <v>237</v>
      </c>
      <c r="B62" s="2447"/>
      <c r="C62" s="2447"/>
      <c r="D62" s="2016">
        <v>2366</v>
      </c>
      <c r="E62" s="2017">
        <f>'Expenditures 15-22'!K324</f>
        <v>0</v>
      </c>
      <c r="F62" s="2012"/>
      <c r="G62" s="2018"/>
      <c r="H62" s="2019"/>
      <c r="I62" s="2019"/>
      <c r="J62" s="2019"/>
      <c r="K62" s="2019"/>
      <c r="L62" s="2019"/>
      <c r="M62" s="2019"/>
      <c r="N62" s="2015">
        <f t="shared" si="4"/>
        <v>0</v>
      </c>
    </row>
    <row r="63" spans="1:14" ht="24.75" customHeight="1" x14ac:dyDescent="0.25">
      <c r="A63" s="2464" t="s">
        <v>1022</v>
      </c>
      <c r="B63" s="2465"/>
      <c r="C63" s="2465"/>
      <c r="D63" s="2016">
        <v>2367</v>
      </c>
      <c r="E63" s="2017">
        <f>'Expenditures 15-22'!K325</f>
        <v>0</v>
      </c>
      <c r="F63" s="2012"/>
      <c r="G63" s="2018"/>
      <c r="H63" s="2019"/>
      <c r="I63" s="2019"/>
      <c r="J63" s="2019"/>
      <c r="K63" s="2019"/>
      <c r="L63" s="2019"/>
      <c r="M63" s="2019"/>
      <c r="N63" s="2015">
        <f t="shared" si="4"/>
        <v>0</v>
      </c>
    </row>
    <row r="64" spans="1:14" ht="24.75" customHeight="1" x14ac:dyDescent="0.25">
      <c r="A64" s="2446" t="s">
        <v>1023</v>
      </c>
      <c r="B64" s="2447"/>
      <c r="C64" s="2447"/>
      <c r="D64" s="2016">
        <v>2368</v>
      </c>
      <c r="E64" s="2017">
        <f>'Expenditures 15-22'!K326</f>
        <v>0</v>
      </c>
      <c r="F64" s="2012"/>
      <c r="G64" s="2018"/>
      <c r="H64" s="2019"/>
      <c r="I64" s="2019"/>
      <c r="J64" s="2019"/>
      <c r="K64" s="2019"/>
      <c r="L64" s="2019"/>
      <c r="M64" s="2019"/>
      <c r="N64" s="2015">
        <f t="shared" si="4"/>
        <v>0</v>
      </c>
    </row>
    <row r="65" spans="1:14" ht="24" customHeight="1" x14ac:dyDescent="0.25">
      <c r="A65" s="2446" t="s">
        <v>965</v>
      </c>
      <c r="B65" s="2447"/>
      <c r="C65" s="2447"/>
      <c r="D65" s="2016">
        <v>2369</v>
      </c>
      <c r="E65" s="2017">
        <f>'Expenditures 15-22'!K327</f>
        <v>0</v>
      </c>
      <c r="F65" s="2012"/>
      <c r="G65" s="2018"/>
      <c r="H65" s="2019"/>
      <c r="I65" s="2019"/>
      <c r="J65" s="2019"/>
      <c r="K65" s="2019"/>
      <c r="L65" s="2019"/>
      <c r="M65" s="2019"/>
      <c r="N65" s="2015">
        <f t="shared" si="4"/>
        <v>0</v>
      </c>
    </row>
    <row r="66" spans="1:14" ht="24.75" customHeight="1" x14ac:dyDescent="0.25">
      <c r="A66" s="2446" t="s">
        <v>469</v>
      </c>
      <c r="B66" s="2447"/>
      <c r="C66" s="2447"/>
      <c r="D66" s="2016">
        <v>2371</v>
      </c>
      <c r="E66" s="2017">
        <f>'Expenditures 15-22'!K328</f>
        <v>0</v>
      </c>
      <c r="F66" s="2012"/>
      <c r="G66" s="2018"/>
      <c r="H66" s="2019"/>
      <c r="I66" s="2019"/>
      <c r="J66" s="2019"/>
      <c r="K66" s="2019"/>
      <c r="L66" s="2019"/>
      <c r="M66" s="2019"/>
      <c r="N66" s="2015">
        <f t="shared" si="4"/>
        <v>0</v>
      </c>
    </row>
    <row r="67" spans="1:14" ht="24.75" customHeight="1" x14ac:dyDescent="0.25">
      <c r="A67" s="2448" t="s">
        <v>2081</v>
      </c>
      <c r="B67" s="2449"/>
      <c r="C67" s="2449"/>
      <c r="D67" s="2020">
        <v>2372</v>
      </c>
      <c r="E67" s="2021">
        <f>'Expenditures 15-22'!K329</f>
        <v>0</v>
      </c>
      <c r="F67" s="2012"/>
      <c r="G67" s="2022"/>
      <c r="H67" s="2023"/>
      <c r="I67" s="2023"/>
      <c r="J67" s="2023"/>
      <c r="K67" s="2023"/>
      <c r="L67" s="2023"/>
      <c r="M67" s="2023"/>
      <c r="N67" s="2015">
        <f t="shared" si="4"/>
        <v>0</v>
      </c>
    </row>
    <row r="68" spans="1:14" x14ac:dyDescent="0.25">
      <c r="A68" s="2450" t="s">
        <v>1153</v>
      </c>
      <c r="B68" s="2451"/>
      <c r="C68" s="2451"/>
      <c r="D68" s="2006"/>
      <c r="E68" s="2024">
        <f>SUM(E57:E67)</f>
        <v>0</v>
      </c>
      <c r="F68" s="2025"/>
      <c r="G68" s="2024">
        <f t="shared" ref="G68:N68" si="5">SUM(G57:G67)</f>
        <v>0</v>
      </c>
      <c r="H68" s="2024">
        <f t="shared" si="5"/>
        <v>0</v>
      </c>
      <c r="I68" s="2024">
        <f t="shared" si="5"/>
        <v>0</v>
      </c>
      <c r="J68" s="2024">
        <f t="shared" si="5"/>
        <v>0</v>
      </c>
      <c r="K68" s="2024">
        <f t="shared" si="5"/>
        <v>0</v>
      </c>
      <c r="L68" s="2024">
        <f t="shared" si="5"/>
        <v>0</v>
      </c>
      <c r="M68" s="2024">
        <f t="shared" si="5"/>
        <v>0</v>
      </c>
      <c r="N68" s="2026">
        <f t="shared" si="5"/>
        <v>0</v>
      </c>
    </row>
    <row r="69" spans="1:14" x14ac:dyDescent="0.25">
      <c r="A69" s="2027"/>
      <c r="B69" s="2028"/>
      <c r="C69" s="2028"/>
      <c r="D69" s="2028"/>
      <c r="E69" s="2028"/>
      <c r="F69" s="2028"/>
      <c r="G69" s="2028"/>
      <c r="H69" s="2029" t="s">
        <v>2082</v>
      </c>
      <c r="I69" s="2028"/>
      <c r="J69" s="2028"/>
      <c r="K69" s="2028"/>
      <c r="L69" s="2029" t="s">
        <v>2083</v>
      </c>
      <c r="M69" s="2028"/>
      <c r="N69" s="2030"/>
    </row>
    <row r="70" spans="1:14" ht="46.5" customHeight="1" x14ac:dyDescent="0.25">
      <c r="A70" s="2031" t="s">
        <v>2084</v>
      </c>
      <c r="B70" s="2028"/>
      <c r="C70" s="2028"/>
      <c r="D70" s="2028"/>
      <c r="E70" s="2028"/>
      <c r="F70" s="2028"/>
      <c r="G70" s="2028"/>
      <c r="H70" s="2442" t="s">
        <v>2085</v>
      </c>
      <c r="I70" s="2442"/>
      <c r="J70" s="2442"/>
      <c r="K70" s="2028"/>
      <c r="L70" s="2442" t="s">
        <v>2086</v>
      </c>
      <c r="M70" s="2442"/>
      <c r="N70" s="2452"/>
    </row>
    <row r="71" spans="1:14" ht="42.75" customHeight="1" x14ac:dyDescent="0.25">
      <c r="A71" s="2027"/>
      <c r="B71" s="2028"/>
      <c r="C71" s="2028"/>
      <c r="D71" s="2028"/>
      <c r="E71" s="2028"/>
      <c r="F71" s="2028"/>
      <c r="G71" s="2028"/>
      <c r="H71" s="2442" t="s">
        <v>2087</v>
      </c>
      <c r="I71" s="2442"/>
      <c r="J71" s="2442"/>
      <c r="K71" s="2028"/>
      <c r="L71" s="2443" t="s">
        <v>2088</v>
      </c>
      <c r="M71" s="2443"/>
      <c r="N71" s="2444"/>
    </row>
    <row r="72" spans="1:14" ht="52.5" customHeight="1" thickBot="1" x14ac:dyDescent="0.3">
      <c r="A72" s="2032"/>
      <c r="B72" s="2033"/>
      <c r="C72" s="2033"/>
      <c r="D72" s="2033"/>
      <c r="E72" s="2033"/>
      <c r="F72" s="2033"/>
      <c r="G72" s="2033"/>
      <c r="H72" s="2445" t="s">
        <v>2089</v>
      </c>
      <c r="I72" s="2445"/>
      <c r="J72" s="2445"/>
      <c r="K72" s="2033"/>
      <c r="L72" s="2033"/>
      <c r="M72" s="2033"/>
      <c r="N72" s="203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95DF24BF-AF8C-4B01-B67D-8A1DB5BF3B7D}"/>
    <dataValidation allowBlank="1" showInputMessage="1" showErrorMessage="1" prompt="Link cell K328 from &quot;Expenditures 15-22&quot; tab" sqref="E66" xr:uid="{94C28A34-D0C0-4293-BDCA-B2C3F681C14D}"/>
    <dataValidation allowBlank="1" showInputMessage="1" showErrorMessage="1" prompt="Link cell K327 from &quot;Expenditures 15-22&quot; tab" sqref="E65" xr:uid="{F34D968D-8139-4833-BFD8-257139CA14B2}"/>
    <dataValidation allowBlank="1" showInputMessage="1" showErrorMessage="1" prompt="Link cell K326 from &quot;Expenditures 15-22&quot; tab" sqref="E64" xr:uid="{717A948E-773A-4CCC-8CD0-46C34C7563DB}"/>
    <dataValidation allowBlank="1" showInputMessage="1" showErrorMessage="1" prompt="Link cell K325 from &quot;Expenditures 15-22&quot; tab" sqref="E63" xr:uid="{F54CC9E9-5734-4104-A436-38C4826CDEA4}"/>
    <dataValidation allowBlank="1" showInputMessage="1" showErrorMessage="1" prompt="Link cell K324 from &quot;Expenditures 15-22&quot; tab" sqref="E62" xr:uid="{66D1F852-3350-41DC-9CFD-0D727CB9559B}"/>
    <dataValidation allowBlank="1" showInputMessage="1" showErrorMessage="1" prompt="Link cell K323 from &quot;Expenditures 15-22&quot; tab" sqref="E61" xr:uid="{E2890FAE-FCB9-48F7-8D47-AD9556B6A004}"/>
    <dataValidation allowBlank="1" showInputMessage="1" showErrorMessage="1" prompt="Link cell K322 from &quot;Expenditures 15-22&quot; tab" sqref="E60" xr:uid="{AB2C2519-7847-4A03-8FCA-5B5480267393}"/>
    <dataValidation allowBlank="1" showInputMessage="1" showErrorMessage="1" prompt="Link cell K321 from &quot;Expenditures 15-22&quot; tab" sqref="E59" xr:uid="{5F9512DA-13B1-43DC-899E-0B70D4427309}"/>
    <dataValidation allowBlank="1" showInputMessage="1" showErrorMessage="1" prompt="Link cell K320 from &quot;Expenditures 15-22&quot; tab" sqref="E58" xr:uid="{02631C56-8932-4D53-9B8A-FECCA2ACD7D8}"/>
    <dataValidation allowBlank="1" showInputMessage="1" showErrorMessage="1" prompt="Link cell K319 from &quot;Expenditures 15-22&quot; tab" sqref="E57" xr:uid="{EB0A0730-09BC-49CD-AA22-1EB3E850B43B}"/>
    <dataValidation allowBlank="1" showInputMessage="1" showErrorMessage="1" prompt="Link cell K122 from &quot;Expenditures 15-22&quot; tab" sqref="F15" xr:uid="{D606D8BD-9125-44D5-933E-57B6879B253A}"/>
    <dataValidation allowBlank="1" showInputMessage="1" showErrorMessage="1" prompt="Link cell K67 from &quot;Expenditures 15-22&quot; tab" sqref="E17" xr:uid="{CCB24406-0C82-419A-BC9C-4F90367A12FE}"/>
    <dataValidation allowBlank="1" showInputMessage="1" showErrorMessage="1" prompt="Link cell K64 from &quot;Expenditures 15-22&quot; tab" sqref="E16" xr:uid="{36851B34-9EF0-481F-9C17-854CE9D7C87E}"/>
    <dataValidation allowBlank="1" showInputMessage="1" showErrorMessage="1" prompt="Link cell K59 from &quot;Expenditures 15-22&quot; tab" sqref="E15" xr:uid="{8A3C8BEC-5C14-45D9-ABE8-5E7171EB1A8C}"/>
    <dataValidation allowBlank="1" showInputMessage="1" showErrorMessage="1" prompt="Link cell K56 from &quot;Expenditures 15-22&quot; tab" sqref="E14" xr:uid="{8F071083-9729-4F62-9E03-449891B77D53}"/>
    <dataValidation allowBlank="1" showInputMessage="1" showErrorMessage="1" prompt="Link cell K51 from &quot;Expenditures 15-22&quot; tab" sqref="E13" xr:uid="{FF2FE27C-9EF4-48B2-915E-87904A57E609}"/>
    <dataValidation allowBlank="1" showInputMessage="1" showErrorMessage="1" prompt="Link cell K50 from &quot;Expenditures 15-22&quot; tab " sqref="E12" xr:uid="{9CEBA8F3-AC03-4105-8887-0BBD312D7681}"/>
    <dataValidation allowBlank="1" showInputMessage="1" showErrorMessage="1" prompt="Link cell A13 from &quot;Cover&quot; tab" sqref="J7:L7" xr:uid="{8CE99916-88DF-41C4-B298-390FDF645813}"/>
    <dataValidation allowBlank="1" showInputMessage="1" showErrorMessage="1" prompt="Link cell A17 from &quot;Cover&quot; tab" sqref="J6:L6" xr:uid="{2E5E2000-F15A-41C2-8D63-684A7C89C2EF}"/>
  </dataValidations>
  <printOptions horizontalCentered="1"/>
  <pageMargins left="1" right="1" top="1" bottom="0.5" header="0.3" footer="0.3"/>
  <pageSetup scale="71" firstPageNumber="32" fitToHeight="0" orientation="landscape" useFirstPageNumber="1" r:id="rId1"/>
  <headerFooter>
    <oddHeader>&amp;RPage &amp;P</oddHead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6" sqref="B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95" t="s">
        <v>1668</v>
      </c>
      <c r="B18" s="2495"/>
    </row>
  </sheetData>
  <sheetProtection selectLockedCells="1"/>
  <mergeCells count="1">
    <mergeCell ref="A18:B18"/>
  </mergeCells>
  <phoneticPr fontId="16"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142875</xdr:colOff>
                <xdr:row>2</xdr:row>
                <xdr:rowOff>142875</xdr:rowOff>
              </from>
              <to>
                <xdr:col>1</xdr:col>
                <xdr:colOff>1057275</xdr:colOff>
                <xdr:row>7</xdr:row>
                <xdr:rowOff>19050</xdr:rowOff>
              </to>
            </anchor>
          </objectPr>
        </oleObject>
      </mc:Choice>
      <mc:Fallback>
        <oleObject progId="Acrobat Document" dvAspect="DVASPECT_ICON" shapeId="4198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0" colorId="8" zoomScale="110" zoomScaleNormal="110" workbookViewId="0">
      <selection activeCell="D78" sqref="D78"/>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6" t="s">
        <v>660</v>
      </c>
      <c r="B3" s="2497"/>
      <c r="C3" s="2497"/>
      <c r="D3" s="2498"/>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7" t="s">
        <v>1490</v>
      </c>
      <c r="D7" s="2508"/>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1" t="s">
        <v>311</v>
      </c>
      <c r="D21" s="2512"/>
    </row>
    <row r="22" spans="1:10" ht="12.75" x14ac:dyDescent="0.2">
      <c r="A22" s="911"/>
      <c r="B22" s="912">
        <v>2</v>
      </c>
      <c r="C22" s="2509" t="s">
        <v>1510</v>
      </c>
      <c r="D22" s="2510"/>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PLEASE CHECK YES or NO.</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3" t="s">
        <v>533</v>
      </c>
      <c r="D43" s="2514"/>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5" t="s">
        <v>779</v>
      </c>
      <c r="D56" s="2506"/>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OK</v>
      </c>
    </row>
    <row r="70" spans="1:4" x14ac:dyDescent="0.2">
      <c r="A70" s="870"/>
      <c r="B70" s="892">
        <f>B66+1</f>
        <v>9</v>
      </c>
      <c r="C70" s="2505" t="s">
        <v>1677</v>
      </c>
      <c r="D70" s="2506"/>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ht="22.5" x14ac:dyDescent="0.2">
      <c r="A82" s="870"/>
      <c r="B82" s="892">
        <v>15</v>
      </c>
      <c r="C82" s="902" t="s">
        <v>1887</v>
      </c>
      <c r="D82" s="1892"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30002748045</v>
      </c>
      <c r="E2" s="1535">
        <v>2020</v>
      </c>
      <c r="F2" s="1535">
        <v>1</v>
      </c>
      <c r="G2" s="1890">
        <v>101000300</v>
      </c>
    </row>
    <row r="3" spans="1:7" ht="15" x14ac:dyDescent="0.25">
      <c r="A3" t="s">
        <v>950</v>
      </c>
      <c r="B3" s="135" t="str">
        <f>COVER!A15</f>
        <v>Johnson, Alexander, Massac, Pulaski, Union</v>
      </c>
      <c r="E3" s="1823" t="s">
        <v>1974</v>
      </c>
      <c r="F3" s="1823" t="s">
        <v>1973</v>
      </c>
      <c r="G3" s="1890">
        <v>101000400</v>
      </c>
    </row>
    <row r="4" spans="1:7" ht="15" x14ac:dyDescent="0.25">
      <c r="A4" t="s">
        <v>1000</v>
      </c>
      <c r="B4" s="135" t="str">
        <f>COVER!A17</f>
        <v xml:space="preserve">  Five County Reg Voc System</v>
      </c>
      <c r="E4" s="1821">
        <v>44119</v>
      </c>
      <c r="F4" s="1822">
        <v>44151</v>
      </c>
      <c r="G4" s="1890">
        <v>101000600</v>
      </c>
    </row>
    <row r="5" spans="1:7" ht="15" x14ac:dyDescent="0.25">
      <c r="A5" t="s">
        <v>699</v>
      </c>
      <c r="B5" s="135">
        <f>COVER!A38</f>
        <v>0</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f>COVER!B5</f>
        <v>0</v>
      </c>
      <c r="G10" s="1890">
        <v>202100300</v>
      </c>
    </row>
    <row r="11" spans="1:7" ht="15" x14ac:dyDescent="0.25">
      <c r="A11" t="s">
        <v>971</v>
      </c>
      <c r="B11" s="135" t="str">
        <f>COVER!B6</f>
        <v>X</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Yes</v>
      </c>
      <c r="G14" s="1890">
        <v>402100300</v>
      </c>
    </row>
    <row r="15" spans="1:7" ht="15" x14ac:dyDescent="0.25">
      <c r="A15" t="s">
        <v>573</v>
      </c>
      <c r="B15" s="135" t="str">
        <f>COVER!T23</f>
        <v>066-003889</v>
      </c>
      <c r="G15" s="1890">
        <v>402100400</v>
      </c>
    </row>
    <row r="16" spans="1:7" ht="15" x14ac:dyDescent="0.25">
      <c r="A16" t="s">
        <v>419</v>
      </c>
      <c r="B16" s="135" t="str">
        <f>COVER!T13</f>
        <v>Beussink, Hey, Roe &amp; Stroder, LLC</v>
      </c>
      <c r="G16" s="1890">
        <v>402100600</v>
      </c>
    </row>
    <row r="17" spans="1:7" ht="15" x14ac:dyDescent="0.25">
      <c r="A17" t="s">
        <v>878</v>
      </c>
      <c r="B17" s="135" t="str">
        <f>COVER!T15</f>
        <v>Jeffrey C. Stroder, CPA</v>
      </c>
      <c r="G17" s="1890">
        <v>402100800</v>
      </c>
    </row>
    <row r="18" spans="1:7" ht="15" x14ac:dyDescent="0.25">
      <c r="A18" t="s">
        <v>1142</v>
      </c>
      <c r="B18" s="135" t="str">
        <f>COVER!T17</f>
        <v>16 South Silver Springs Road</v>
      </c>
      <c r="G18" s="1890">
        <v>102200300</v>
      </c>
    </row>
    <row r="19" spans="1:7" ht="15" x14ac:dyDescent="0.25">
      <c r="A19" t="s">
        <v>880</v>
      </c>
      <c r="B19" s="135" t="str">
        <f>COVER!T25</f>
        <v>jstroder@bhrcpas.com</v>
      </c>
      <c r="G19" s="1890">
        <v>102200400</v>
      </c>
    </row>
    <row r="20" spans="1:7" ht="15" x14ac:dyDescent="0.25">
      <c r="A20" t="s">
        <v>881</v>
      </c>
      <c r="B20" s="135" t="str">
        <f>COVER!T19</f>
        <v>Cape Girardeau</v>
      </c>
      <c r="G20" s="1890">
        <v>102200600</v>
      </c>
    </row>
    <row r="21" spans="1:7" ht="15" x14ac:dyDescent="0.25">
      <c r="A21" t="s">
        <v>476</v>
      </c>
      <c r="B21" s="135" t="str">
        <f>COVER!X19</f>
        <v>MO</v>
      </c>
      <c r="G21" s="1890">
        <v>102200800</v>
      </c>
    </row>
    <row r="22" spans="1:7" ht="15" x14ac:dyDescent="0.25">
      <c r="A22" t="s">
        <v>882</v>
      </c>
      <c r="B22" s="135">
        <f>COVER!Z19</f>
        <v>63703</v>
      </c>
      <c r="G22" s="1890">
        <v>102300300</v>
      </c>
    </row>
    <row r="23" spans="1:7" ht="15" x14ac:dyDescent="0.25">
      <c r="A23" t="s">
        <v>1144</v>
      </c>
      <c r="B23" s="135" t="str">
        <f>COVER!T21</f>
        <v>573-334-7971</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Yes</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742835</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692835</v>
      </c>
      <c r="D92" s="2" t="str">
        <f t="shared" si="0"/>
        <v>Error?</v>
      </c>
      <c r="G92" s="1890">
        <v>102640600</v>
      </c>
    </row>
    <row r="93" spans="1:7" ht="15" x14ac:dyDescent="0.25">
      <c r="A93" s="5">
        <v>32</v>
      </c>
      <c r="B93" s="1825">
        <f>'Assets-Liab 5-6'!C41</f>
        <v>742835</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0</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0</v>
      </c>
      <c r="D123" s="2" t="str">
        <f t="shared" si="0"/>
        <v>Error?</v>
      </c>
      <c r="G123" s="1890">
        <v>203000400</v>
      </c>
    </row>
    <row r="124" spans="1:7" ht="15" x14ac:dyDescent="0.25">
      <c r="A124" s="5">
        <v>63</v>
      </c>
      <c r="B124" s="1825">
        <f>'Assets-Liab 5-6'!D41</f>
        <v>0</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0</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0</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0</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0</v>
      </c>
      <c r="D170" s="2" t="str">
        <f t="shared" si="1"/>
        <v>Error?</v>
      </c>
    </row>
    <row r="171" spans="1:4" x14ac:dyDescent="0.2">
      <c r="A171" s="5">
        <v>110</v>
      </c>
      <c r="B171" s="1825">
        <f>'Assets-Liab 5-6'!F41</f>
        <v>0</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0</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0</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0</v>
      </c>
      <c r="D273" s="2" t="str">
        <f t="shared" si="3"/>
        <v>Error?</v>
      </c>
    </row>
    <row r="274" spans="1:4" x14ac:dyDescent="0.2">
      <c r="A274" s="5">
        <v>213</v>
      </c>
      <c r="B274" s="1825">
        <f>'Assets-Liab 5-6'!M17</f>
        <v>74162</v>
      </c>
      <c r="D274" s="2" t="str">
        <f t="shared" si="3"/>
        <v>Error?</v>
      </c>
    </row>
    <row r="275" spans="1:4" x14ac:dyDescent="0.2">
      <c r="A275" s="5">
        <v>214</v>
      </c>
      <c r="B275" s="1825">
        <f>'Assets-Liab 5-6'!M18</f>
        <v>180040</v>
      </c>
      <c r="D275" s="2" t="str">
        <f t="shared" si="3"/>
        <v>Error?</v>
      </c>
    </row>
    <row r="276" spans="1:4" x14ac:dyDescent="0.2">
      <c r="A276" s="5">
        <v>215</v>
      </c>
      <c r="B276" s="1825">
        <f>'Assets-Liab 5-6'!M19</f>
        <v>1763262</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2017464</v>
      </c>
      <c r="C279" s="2" t="s">
        <v>569</v>
      </c>
      <c r="D279" s="2" t="str">
        <f t="shared" si="3"/>
        <v>Error?</v>
      </c>
    </row>
    <row r="280" spans="1:4" x14ac:dyDescent="0.2">
      <c r="A280" s="5">
        <v>219</v>
      </c>
      <c r="B280" s="1825">
        <f>'Assets-Liab 5-6'!M40</f>
        <v>2017464</v>
      </c>
      <c r="D280" s="2" t="str">
        <f t="shared" si="3"/>
        <v>Error?</v>
      </c>
    </row>
    <row r="281" spans="1:4" x14ac:dyDescent="0.2">
      <c r="A281" s="5">
        <v>220</v>
      </c>
      <c r="B281" s="1825">
        <f>'Assets-Liab 5-6'!M41</f>
        <v>2017464</v>
      </c>
      <c r="C281" s="2" t="s">
        <v>569</v>
      </c>
      <c r="D281" s="2" t="str">
        <f t="shared" si="3"/>
        <v>Error?</v>
      </c>
    </row>
    <row r="282" spans="1:4" x14ac:dyDescent="0.2">
      <c r="A282" s="5">
        <v>221</v>
      </c>
      <c r="B282" s="1825">
        <f>'Assets-Liab 5-6'!N21</f>
        <v>0</v>
      </c>
      <c r="D282" s="2" t="str">
        <f t="shared" si="3"/>
        <v>Error?</v>
      </c>
    </row>
    <row r="283" spans="1:4" x14ac:dyDescent="0.2">
      <c r="A283" s="5">
        <v>222</v>
      </c>
      <c r="B283" s="1825">
        <f>'Assets-Liab 5-6'!N22</f>
        <v>0</v>
      </c>
      <c r="D283" s="2" t="str">
        <f t="shared" si="3"/>
        <v>Error?</v>
      </c>
    </row>
    <row r="284" spans="1:4" x14ac:dyDescent="0.2">
      <c r="A284" s="5">
        <v>223</v>
      </c>
      <c r="B284" s="1825">
        <f>'Assets-Liab 5-6'!N23</f>
        <v>0</v>
      </c>
      <c r="C284" s="2" t="s">
        <v>569</v>
      </c>
      <c r="D284" s="2" t="str">
        <f t="shared" si="3"/>
        <v>Error?</v>
      </c>
    </row>
    <row r="285" spans="1:4" x14ac:dyDescent="0.2">
      <c r="A285" s="5">
        <v>224</v>
      </c>
      <c r="B285" s="1825">
        <f>'Assets-Liab 5-6'!N36</f>
        <v>0</v>
      </c>
      <c r="D285" s="2" t="str">
        <f t="shared" si="3"/>
        <v>Error?</v>
      </c>
    </row>
    <row r="286" spans="1:4" x14ac:dyDescent="0.2">
      <c r="A286" s="10">
        <v>225</v>
      </c>
      <c r="B286" s="1825"/>
      <c r="D286" s="2" t="str">
        <f t="shared" si="3"/>
        <v>OK</v>
      </c>
    </row>
    <row r="287" spans="1:4" x14ac:dyDescent="0.2">
      <c r="A287" s="5">
        <v>226</v>
      </c>
      <c r="B287" s="1825">
        <f>'Assets-Liab 5-6'!N37</f>
        <v>0</v>
      </c>
      <c r="C287" s="2" t="s">
        <v>569</v>
      </c>
      <c r="D287" s="2" t="str">
        <f t="shared" si="3"/>
        <v>Error?</v>
      </c>
    </row>
    <row r="288" spans="1:4" x14ac:dyDescent="0.2">
      <c r="A288" s="5">
        <v>227</v>
      </c>
      <c r="B288" s="1825">
        <f>'Assets-Liab 5-6'!N41</f>
        <v>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0</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289989</v>
      </c>
      <c r="D717" s="2" t="str">
        <f t="shared" si="10"/>
        <v>Error?</v>
      </c>
    </row>
    <row r="718" spans="1:4" x14ac:dyDescent="0.2">
      <c r="A718" s="5">
        <v>657</v>
      </c>
      <c r="B718" s="1825">
        <f>'Expenditures 15-22'!C14</f>
        <v>0</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289989</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21009</v>
      </c>
      <c r="D722" s="2" t="str">
        <f t="shared" si="10"/>
        <v>Error?</v>
      </c>
    </row>
    <row r="723" spans="1:4" x14ac:dyDescent="0.2">
      <c r="A723" s="5">
        <v>662</v>
      </c>
      <c r="B723" s="1825">
        <f>'Expenditures 15-22'!C38</f>
        <v>0</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21009</v>
      </c>
      <c r="C727" s="2" t="s">
        <v>569</v>
      </c>
      <c r="D727" s="2" t="str">
        <f t="shared" si="10"/>
        <v>Error?</v>
      </c>
    </row>
    <row r="728" spans="1:4" x14ac:dyDescent="0.2">
      <c r="A728" s="5">
        <v>667</v>
      </c>
      <c r="B728" s="1825">
        <f>'Expenditures 15-22'!C44</f>
        <v>50605</v>
      </c>
      <c r="D728" s="2" t="str">
        <f t="shared" si="10"/>
        <v>Error?</v>
      </c>
    </row>
    <row r="729" spans="1:4" x14ac:dyDescent="0.2">
      <c r="A729" s="5">
        <v>668</v>
      </c>
      <c r="B729" s="1825">
        <f>'Expenditures 15-22'!C45</f>
        <v>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50605</v>
      </c>
      <c r="C731" s="2" t="s">
        <v>569</v>
      </c>
      <c r="D731" s="2" t="str">
        <f t="shared" si="10"/>
        <v>Error?</v>
      </c>
    </row>
    <row r="732" spans="1:4" x14ac:dyDescent="0.2">
      <c r="A732" s="5">
        <v>671</v>
      </c>
      <c r="B732" s="1825">
        <f>'Expenditures 15-22'!C49</f>
        <v>1489</v>
      </c>
      <c r="D732" s="2" t="str">
        <f t="shared" si="10"/>
        <v>Error?</v>
      </c>
    </row>
    <row r="733" spans="1:4" x14ac:dyDescent="0.2">
      <c r="A733" s="5">
        <v>672</v>
      </c>
      <c r="B733" s="1825">
        <f>'Expenditures 15-22'!C50</f>
        <v>0</v>
      </c>
      <c r="D733" s="2" t="str">
        <f t="shared" si="10"/>
        <v>Error?</v>
      </c>
    </row>
    <row r="734" spans="1:4" x14ac:dyDescent="0.2">
      <c r="A734" s="5">
        <v>673</v>
      </c>
      <c r="B734" s="1825">
        <f>'Expenditures 15-22'!C53</f>
        <v>62572</v>
      </c>
      <c r="C734" s="2" t="s">
        <v>569</v>
      </c>
      <c r="D734" s="2" t="str">
        <f t="shared" si="10"/>
        <v>Error?</v>
      </c>
    </row>
    <row r="735" spans="1:4" x14ac:dyDescent="0.2">
      <c r="A735" s="5">
        <v>674</v>
      </c>
      <c r="B735" s="1825">
        <f>'Expenditures 15-22'!C55</f>
        <v>0</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0</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10652</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0</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10652</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144838</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434827</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0</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38433</v>
      </c>
      <c r="D775" s="2" t="str">
        <f t="shared" si="11"/>
        <v>Error?</v>
      </c>
    </row>
    <row r="776" spans="1:4" x14ac:dyDescent="0.2">
      <c r="A776" s="5">
        <v>715</v>
      </c>
      <c r="B776" s="1825">
        <f>'Expenditures 15-22'!D14</f>
        <v>0</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38433</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1768</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1768</v>
      </c>
      <c r="C785" s="2" t="s">
        <v>569</v>
      </c>
      <c r="D785" s="2" t="str">
        <f t="shared" si="11"/>
        <v>Error?</v>
      </c>
    </row>
    <row r="786" spans="1:4" x14ac:dyDescent="0.2">
      <c r="A786" s="5">
        <v>725</v>
      </c>
      <c r="B786" s="1825">
        <f>'Expenditures 15-22'!D44</f>
        <v>16007</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16007</v>
      </c>
      <c r="C789" s="2" t="s">
        <v>569</v>
      </c>
      <c r="D789" s="2" t="str">
        <f t="shared" si="11"/>
        <v>Error?</v>
      </c>
    </row>
    <row r="790" spans="1:4" x14ac:dyDescent="0.2">
      <c r="A790" s="5">
        <v>729</v>
      </c>
      <c r="B790" s="1825">
        <f>'Expenditures 15-22'!D49</f>
        <v>114</v>
      </c>
      <c r="D790" s="2" t="str">
        <f t="shared" si="11"/>
        <v>Error?</v>
      </c>
    </row>
    <row r="791" spans="1:4" x14ac:dyDescent="0.2">
      <c r="A791" s="5">
        <v>730</v>
      </c>
      <c r="B791" s="1825">
        <f>'Expenditures 15-22'!D50</f>
        <v>0</v>
      </c>
      <c r="D791" s="2" t="str">
        <f t="shared" si="11"/>
        <v>Error?</v>
      </c>
    </row>
    <row r="792" spans="1:4" x14ac:dyDescent="0.2">
      <c r="A792" s="5">
        <v>731</v>
      </c>
      <c r="B792" s="1825">
        <f>'Expenditures 15-22'!D53</f>
        <v>18308</v>
      </c>
      <c r="C792" s="2" t="s">
        <v>569</v>
      </c>
      <c r="D792" s="2" t="str">
        <f t="shared" si="11"/>
        <v>Error?</v>
      </c>
    </row>
    <row r="793" spans="1:4" x14ac:dyDescent="0.2">
      <c r="A793" s="5">
        <v>732</v>
      </c>
      <c r="B793" s="1825">
        <f>'Expenditures 15-22'!D55</f>
        <v>0</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0</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815</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0</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815</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36898</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75331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0</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8182</v>
      </c>
      <c r="D833" s="2" t="str">
        <f t="shared" si="12"/>
        <v>Error?</v>
      </c>
    </row>
    <row r="834" spans="1:4" x14ac:dyDescent="0.2">
      <c r="A834" s="5">
        <v>773</v>
      </c>
      <c r="B834" s="1825">
        <f>'Expenditures 15-22'!E14</f>
        <v>0</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8182</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4</v>
      </c>
      <c r="D838" s="2" t="str">
        <f t="shared" si="12"/>
        <v>Error?</v>
      </c>
    </row>
    <row r="839" spans="1:4" x14ac:dyDescent="0.2">
      <c r="A839" s="5">
        <v>778</v>
      </c>
      <c r="B839" s="1825">
        <f>'Expenditures 15-22'!E38</f>
        <v>0</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4</v>
      </c>
      <c r="C843" s="2" t="s">
        <v>569</v>
      </c>
      <c r="D843" s="2" t="str">
        <f t="shared" si="12"/>
        <v>Error?</v>
      </c>
    </row>
    <row r="844" spans="1:4" x14ac:dyDescent="0.2">
      <c r="A844" s="5">
        <v>783</v>
      </c>
      <c r="B844" s="1825">
        <f>'Expenditures 15-22'!E44</f>
        <v>5591</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88</v>
      </c>
      <c r="D846" s="2" t="str">
        <f t="shared" si="12"/>
        <v>Error?</v>
      </c>
    </row>
    <row r="847" spans="1:4" x14ac:dyDescent="0.2">
      <c r="A847" s="5">
        <v>786</v>
      </c>
      <c r="B847" s="1825">
        <f>'Expenditures 15-22'!E47</f>
        <v>5679</v>
      </c>
      <c r="C847" s="2" t="s">
        <v>569</v>
      </c>
      <c r="D847" s="2" t="str">
        <f t="shared" si="12"/>
        <v>Error?</v>
      </c>
    </row>
    <row r="848" spans="1:4" x14ac:dyDescent="0.2">
      <c r="A848" s="5">
        <v>787</v>
      </c>
      <c r="B848" s="1825">
        <f>'Expenditures 15-22'!E49</f>
        <v>221</v>
      </c>
      <c r="D848" s="2" t="str">
        <f t="shared" si="12"/>
        <v>Error?</v>
      </c>
    </row>
    <row r="849" spans="1:4" x14ac:dyDescent="0.2">
      <c r="A849" s="5">
        <v>788</v>
      </c>
      <c r="B849" s="1825">
        <f>'Expenditures 15-22'!E50</f>
        <v>0</v>
      </c>
      <c r="D849" s="2" t="str">
        <f t="shared" si="12"/>
        <v>Error?</v>
      </c>
    </row>
    <row r="850" spans="1:4" x14ac:dyDescent="0.2">
      <c r="A850" s="5">
        <v>789</v>
      </c>
      <c r="B850" s="1825">
        <f>'Expenditures 15-22'!E53</f>
        <v>11652</v>
      </c>
      <c r="C850" s="2" t="s">
        <v>569</v>
      </c>
      <c r="D850" s="2" t="str">
        <f t="shared" si="12"/>
        <v>Error?</v>
      </c>
    </row>
    <row r="851" spans="1:4" x14ac:dyDescent="0.2">
      <c r="A851" s="5">
        <v>790</v>
      </c>
      <c r="B851" s="1825">
        <f>'Expenditures 15-22'!E55</f>
        <v>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3630</v>
      </c>
      <c r="D855" s="2" t="str">
        <f t="shared" si="12"/>
        <v>Error?</v>
      </c>
    </row>
    <row r="856" spans="1:4" x14ac:dyDescent="0.2">
      <c r="A856" s="5">
        <v>795</v>
      </c>
      <c r="B856" s="1825">
        <f>'Expenditures 15-22'!E61</f>
        <v>26636</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0</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30266</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47601</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55783</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0</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47994</v>
      </c>
      <c r="D891" s="2" t="str">
        <f t="shared" si="12"/>
        <v>Error?</v>
      </c>
    </row>
    <row r="892" spans="1:4" x14ac:dyDescent="0.2">
      <c r="A892" s="5">
        <v>831</v>
      </c>
      <c r="B892" s="1825">
        <f>'Expenditures 15-22'!F14</f>
        <v>0</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47994</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0</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0</v>
      </c>
      <c r="C901" s="2" t="s">
        <v>569</v>
      </c>
      <c r="D901" s="2" t="str">
        <f t="shared" si="13"/>
        <v>Error?</v>
      </c>
    </row>
    <row r="902" spans="1:4" x14ac:dyDescent="0.2">
      <c r="A902" s="5">
        <v>841</v>
      </c>
      <c r="B902" s="1825">
        <f>'Expenditures 15-22'!F44</f>
        <v>1783</v>
      </c>
      <c r="D902" s="2" t="str">
        <f t="shared" si="13"/>
        <v>Error?</v>
      </c>
    </row>
    <row r="903" spans="1:4" x14ac:dyDescent="0.2">
      <c r="A903" s="5">
        <v>842</v>
      </c>
      <c r="B903" s="1825">
        <f>'Expenditures 15-22'!F45</f>
        <v>0</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1783</v>
      </c>
      <c r="C905" s="2" t="s">
        <v>569</v>
      </c>
      <c r="D905" s="2" t="str">
        <f t="shared" si="13"/>
        <v>Error?</v>
      </c>
    </row>
    <row r="906" spans="1:4" x14ac:dyDescent="0.2">
      <c r="A906" s="5">
        <v>845</v>
      </c>
      <c r="B906" s="1825">
        <f>'Expenditures 15-22'!F49</f>
        <v>0</v>
      </c>
      <c r="D906" s="2" t="str">
        <f t="shared" si="13"/>
        <v>Error?</v>
      </c>
    </row>
    <row r="907" spans="1:4" x14ac:dyDescent="0.2">
      <c r="A907" s="5">
        <v>846</v>
      </c>
      <c r="B907" s="1825">
        <f>'Expenditures 15-22'!F50</f>
        <v>0</v>
      </c>
      <c r="D907" s="2" t="str">
        <f t="shared" si="13"/>
        <v>Error?</v>
      </c>
    </row>
    <row r="908" spans="1:4" x14ac:dyDescent="0.2">
      <c r="A908" s="5">
        <v>847</v>
      </c>
      <c r="B908" s="1825">
        <f>'Expenditures 15-22'!F53</f>
        <v>0</v>
      </c>
      <c r="C908" s="2" t="s">
        <v>569</v>
      </c>
      <c r="D908" s="2" t="str">
        <f t="shared" si="13"/>
        <v>Error?</v>
      </c>
    </row>
    <row r="909" spans="1:4" x14ac:dyDescent="0.2">
      <c r="A909" s="5">
        <v>848</v>
      </c>
      <c r="B909" s="1825">
        <f>'Expenditures 15-22'!F55</f>
        <v>0</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0</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1010</v>
      </c>
      <c r="D913" s="2" t="str">
        <f t="shared" si="13"/>
        <v>Error?</v>
      </c>
    </row>
    <row r="914" spans="1:4" x14ac:dyDescent="0.2">
      <c r="A914" s="5">
        <v>853</v>
      </c>
      <c r="B914" s="1825">
        <f>'Expenditures 15-22'!F61</f>
        <v>16445</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0</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17455</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19238</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67232</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27683</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27683</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1304</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1304</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1304</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28987</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0</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0</v>
      </c>
      <c r="D1022" s="2" t="str">
        <f t="shared" si="14"/>
        <v>Error?</v>
      </c>
    </row>
    <row r="1023" spans="1:4" x14ac:dyDescent="0.2">
      <c r="A1023" s="5">
        <v>962</v>
      </c>
      <c r="B1023" s="1825">
        <f>'Expenditures 15-22'!H50</f>
        <v>0</v>
      </c>
      <c r="D1023" s="2" t="str">
        <f t="shared" ref="D1023:D1086" si="15">IF(ISBLANK(B1023),"OK",IF(A1023-B1023=0,"OK","Error?"))</f>
        <v>Error?</v>
      </c>
    </row>
    <row r="1024" spans="1:4" x14ac:dyDescent="0.2">
      <c r="A1024" s="5">
        <v>963</v>
      </c>
      <c r="B1024" s="1825">
        <f>'Expenditures 15-22'!H53</f>
        <v>3087</v>
      </c>
      <c r="C1024" s="2" t="s">
        <v>569</v>
      </c>
      <c r="D1024" s="2" t="str">
        <f t="shared" si="15"/>
        <v>Error?</v>
      </c>
    </row>
    <row r="1025" spans="1:4" x14ac:dyDescent="0.2">
      <c r="A1025" s="5">
        <v>964</v>
      </c>
      <c r="B1025" s="1825">
        <f>'Expenditures 15-22'!H55</f>
        <v>0</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0</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3087</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31675</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34762</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0</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412281</v>
      </c>
      <c r="C1105" s="2" t="s">
        <v>569</v>
      </c>
      <c r="D1105" s="2" t="str">
        <f t="shared" si="16"/>
        <v>Error?</v>
      </c>
    </row>
    <row r="1106" spans="1:4" x14ac:dyDescent="0.2">
      <c r="A1106" s="5">
        <v>1045</v>
      </c>
      <c r="B1106" s="1825">
        <f>'Expenditures 15-22'!K14</f>
        <v>0</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412281</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22781</v>
      </c>
      <c r="C1110" s="2" t="s">
        <v>569</v>
      </c>
      <c r="D1110" s="2" t="str">
        <f t="shared" si="16"/>
        <v>Error?</v>
      </c>
    </row>
    <row r="1111" spans="1:4" x14ac:dyDescent="0.2">
      <c r="A1111" s="5">
        <v>1050</v>
      </c>
      <c r="B1111" s="1825">
        <f>'Expenditures 15-22'!K38</f>
        <v>0</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22781</v>
      </c>
      <c r="C1115" s="2" t="s">
        <v>569</v>
      </c>
      <c r="D1115" s="2" t="str">
        <f t="shared" si="16"/>
        <v>Error?</v>
      </c>
    </row>
    <row r="1116" spans="1:4" x14ac:dyDescent="0.2">
      <c r="A1116" s="5">
        <v>1055</v>
      </c>
      <c r="B1116" s="1825">
        <f>'Expenditures 15-22'!K44</f>
        <v>73986</v>
      </c>
      <c r="C1116" s="2" t="s">
        <v>569</v>
      </c>
      <c r="D1116" s="2" t="str">
        <f t="shared" si="16"/>
        <v>Error?</v>
      </c>
    </row>
    <row r="1117" spans="1:4" x14ac:dyDescent="0.2">
      <c r="A1117" s="5">
        <v>1056</v>
      </c>
      <c r="B1117" s="1825">
        <f>'Expenditures 15-22'!K45</f>
        <v>0</v>
      </c>
      <c r="C1117" s="2" t="s">
        <v>569</v>
      </c>
      <c r="D1117" s="2" t="str">
        <f t="shared" si="16"/>
        <v>Error?</v>
      </c>
    </row>
    <row r="1118" spans="1:4" x14ac:dyDescent="0.2">
      <c r="A1118" s="5">
        <v>1057</v>
      </c>
      <c r="B1118" s="1825">
        <f>'Expenditures 15-22'!K46</f>
        <v>88</v>
      </c>
      <c r="C1118" s="2" t="s">
        <v>569</v>
      </c>
      <c r="D1118" s="2" t="str">
        <f t="shared" si="16"/>
        <v>Error?</v>
      </c>
    </row>
    <row r="1119" spans="1:4" x14ac:dyDescent="0.2">
      <c r="A1119" s="5">
        <v>1058</v>
      </c>
      <c r="B1119" s="1825">
        <f>'Expenditures 15-22'!K47</f>
        <v>74074</v>
      </c>
      <c r="C1119" s="2" t="s">
        <v>569</v>
      </c>
      <c r="D1119" s="2" t="str">
        <f t="shared" si="16"/>
        <v>Error?</v>
      </c>
    </row>
    <row r="1120" spans="1:4" x14ac:dyDescent="0.2">
      <c r="A1120" s="5">
        <v>1059</v>
      </c>
      <c r="B1120" s="1825">
        <f>'Expenditures 15-22'!K49</f>
        <v>1824</v>
      </c>
      <c r="C1120" s="2" t="s">
        <v>569</v>
      </c>
      <c r="D1120" s="2" t="str">
        <f t="shared" si="16"/>
        <v>Error?</v>
      </c>
    </row>
    <row r="1121" spans="1:4" x14ac:dyDescent="0.2">
      <c r="A1121" s="5">
        <v>1060</v>
      </c>
      <c r="B1121" s="1825">
        <f>'Expenditures 15-22'!K50</f>
        <v>0</v>
      </c>
      <c r="C1121" s="2" t="s">
        <v>569</v>
      </c>
      <c r="D1121" s="2" t="str">
        <f t="shared" si="16"/>
        <v>Error?</v>
      </c>
    </row>
    <row r="1122" spans="1:4" x14ac:dyDescent="0.2">
      <c r="A1122" s="5">
        <v>1061</v>
      </c>
      <c r="B1122" s="1825">
        <f>'Expenditures 15-22'!K53</f>
        <v>95619</v>
      </c>
      <c r="C1122" s="2" t="s">
        <v>569</v>
      </c>
      <c r="D1122" s="2" t="str">
        <f t="shared" si="16"/>
        <v>Error?</v>
      </c>
    </row>
    <row r="1123" spans="1:4" x14ac:dyDescent="0.2">
      <c r="A1123" s="5">
        <v>1062</v>
      </c>
      <c r="B1123" s="1825">
        <f>'Expenditures 15-22'!K55</f>
        <v>0</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0</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17411</v>
      </c>
      <c r="C1127" s="2" t="s">
        <v>569</v>
      </c>
      <c r="D1127" s="2" t="str">
        <f t="shared" si="16"/>
        <v>Error?</v>
      </c>
    </row>
    <row r="1128" spans="1:4" x14ac:dyDescent="0.2">
      <c r="A1128" s="5">
        <v>1067</v>
      </c>
      <c r="B1128" s="1825">
        <f>'Expenditures 15-22'!K61</f>
        <v>43081</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0</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60492</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252966</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31675</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696922</v>
      </c>
      <c r="C1152" s="2" t="s">
        <v>569</v>
      </c>
      <c r="D1152" s="2" t="str">
        <f t="shared" si="17"/>
        <v>Error?</v>
      </c>
    </row>
    <row r="1153" spans="1:4" x14ac:dyDescent="0.2">
      <c r="A1153" s="5">
        <v>1092</v>
      </c>
      <c r="B1153" s="1825">
        <f>'Expenditures 15-22'!K115</f>
        <v>97444</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0</v>
      </c>
      <c r="D1221" s="2" t="str">
        <f t="shared" si="18"/>
        <v>Error?</v>
      </c>
    </row>
    <row r="1222" spans="1:4" x14ac:dyDescent="0.2">
      <c r="A1222" s="10">
        <v>1161</v>
      </c>
      <c r="B1222" s="1825"/>
      <c r="D1222" s="2" t="str">
        <f t="shared" si="18"/>
        <v>OK</v>
      </c>
    </row>
    <row r="1223" spans="1:4" x14ac:dyDescent="0.2">
      <c r="A1223" s="5">
        <v>1162</v>
      </c>
      <c r="B1223" s="1825">
        <f>'Expenditures 15-22'!C127</f>
        <v>0</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0</v>
      </c>
      <c r="C1225" s="2" t="s">
        <v>569</v>
      </c>
      <c r="D1225" s="2" t="str">
        <f t="shared" si="18"/>
        <v>Error?</v>
      </c>
    </row>
    <row r="1226" spans="1:4" x14ac:dyDescent="0.2">
      <c r="A1226" s="5">
        <v>1165</v>
      </c>
      <c r="B1226" s="1825">
        <f>'Expenditures 15-22'!C151</f>
        <v>0</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0</v>
      </c>
      <c r="D1237" s="2" t="str">
        <f t="shared" si="18"/>
        <v>Error?</v>
      </c>
    </row>
    <row r="1238" spans="1:4" x14ac:dyDescent="0.2">
      <c r="A1238" s="10">
        <v>1177</v>
      </c>
      <c r="B1238" s="1825"/>
      <c r="D1238" s="2" t="str">
        <f t="shared" si="18"/>
        <v>OK</v>
      </c>
    </row>
    <row r="1239" spans="1:4" x14ac:dyDescent="0.2">
      <c r="A1239" s="5">
        <v>1178</v>
      </c>
      <c r="B1239" s="1825">
        <f>'Expenditures 15-22'!E127</f>
        <v>0</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0</v>
      </c>
      <c r="C1241" s="2" t="s">
        <v>569</v>
      </c>
      <c r="D1241" s="2" t="str">
        <f t="shared" si="18"/>
        <v>Error?</v>
      </c>
    </row>
    <row r="1242" spans="1:4" x14ac:dyDescent="0.2">
      <c r="A1242" s="5">
        <v>1181</v>
      </c>
      <c r="B1242" s="1825">
        <f>'Expenditures 15-22'!E151</f>
        <v>0</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0</v>
      </c>
      <c r="D1245" s="2" t="str">
        <f t="shared" si="18"/>
        <v>Error?</v>
      </c>
    </row>
    <row r="1246" spans="1:4" x14ac:dyDescent="0.2">
      <c r="A1246" s="10">
        <v>1185</v>
      </c>
      <c r="B1246" s="1825"/>
      <c r="D1246" s="2" t="str">
        <f t="shared" si="18"/>
        <v>OK</v>
      </c>
    </row>
    <row r="1247" spans="1:4" x14ac:dyDescent="0.2">
      <c r="A1247" s="5">
        <v>1186</v>
      </c>
      <c r="B1247" s="1825">
        <f>'Expenditures 15-22'!F127</f>
        <v>0</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0</v>
      </c>
      <c r="C1249" s="2" t="s">
        <v>569</v>
      </c>
      <c r="D1249" s="2" t="str">
        <f t="shared" si="18"/>
        <v>Error?</v>
      </c>
    </row>
    <row r="1250" spans="1:4" x14ac:dyDescent="0.2">
      <c r="A1250" s="5">
        <v>1189</v>
      </c>
      <c r="B1250" s="1825">
        <f>'Expenditures 15-22'!F151</f>
        <v>0</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0</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0</v>
      </c>
      <c r="C1258" s="2" t="s">
        <v>569</v>
      </c>
      <c r="D1258" s="2" t="str">
        <f t="shared" si="18"/>
        <v>Error?</v>
      </c>
    </row>
    <row r="1259" spans="1:4" x14ac:dyDescent="0.2">
      <c r="A1259" s="5">
        <v>1198</v>
      </c>
      <c r="B1259" s="1825">
        <f>'Expenditures 15-22'!G151</f>
        <v>0</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0</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0</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0</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0</v>
      </c>
      <c r="C1288" s="2" t="s">
        <v>569</v>
      </c>
      <c r="D1288" s="2" t="str">
        <f t="shared" si="19"/>
        <v>Error?</v>
      </c>
    </row>
    <row r="1289" spans="1:4" x14ac:dyDescent="0.2">
      <c r="A1289" s="5">
        <v>1228</v>
      </c>
      <c r="B1289" s="1825">
        <f>'Expenditures 15-22'!K152</f>
        <v>0</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0</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0</v>
      </c>
      <c r="C1317" s="2" t="s">
        <v>569</v>
      </c>
      <c r="D1317" s="2" t="str">
        <f t="shared" si="19"/>
        <v>Error?</v>
      </c>
    </row>
    <row r="1318" spans="1:4" x14ac:dyDescent="0.2">
      <c r="A1318" s="5">
        <v>1257</v>
      </c>
      <c r="B1318" s="1825">
        <f>'Expenditures 15-22'!H174</f>
        <v>0</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0</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0</v>
      </c>
      <c r="C1331" s="2" t="s">
        <v>569</v>
      </c>
      <c r="D1331" s="2" t="str">
        <f t="shared" si="19"/>
        <v>Error?</v>
      </c>
    </row>
    <row r="1332" spans="1:4" x14ac:dyDescent="0.2">
      <c r="A1332" s="5">
        <v>1271</v>
      </c>
      <c r="B1332" s="1825">
        <f>'Expenditures 15-22'!K174</f>
        <v>0</v>
      </c>
      <c r="C1332" s="2" t="s">
        <v>569</v>
      </c>
      <c r="D1332" s="2" t="str">
        <f t="shared" si="19"/>
        <v>Error?</v>
      </c>
    </row>
    <row r="1333" spans="1:4" x14ac:dyDescent="0.2">
      <c r="A1333" s="5">
        <v>1272</v>
      </c>
      <c r="B1333" s="1825">
        <f>'Expenditures 15-22'!K175</f>
        <v>0</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0</v>
      </c>
      <c r="C1339" s="2" t="s">
        <v>569</v>
      </c>
      <c r="D1339" s="2" t="str">
        <f t="shared" si="19"/>
        <v>Error?</v>
      </c>
    </row>
    <row r="1340" spans="1:4" x14ac:dyDescent="0.2">
      <c r="A1340" s="5">
        <v>1279</v>
      </c>
      <c r="B1340" s="1825">
        <f>'Expenditures 15-22'!C210</f>
        <v>0</v>
      </c>
      <c r="C1340" s="2" t="s">
        <v>569</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569</v>
      </c>
      <c r="D1345" s="2" t="str">
        <f t="shared" si="20"/>
        <v>Error?</v>
      </c>
    </row>
    <row r="1346" spans="1:4" x14ac:dyDescent="0.2">
      <c r="A1346" s="5">
        <v>1285</v>
      </c>
      <c r="B1346" s="1825">
        <f>'Expenditures 15-22'!D210</f>
        <v>0</v>
      </c>
      <c r="C1346" s="2" t="s">
        <v>569</v>
      </c>
      <c r="D1346" s="2" t="str">
        <f t="shared" si="20"/>
        <v>Error?</v>
      </c>
    </row>
    <row r="1347" spans="1:4" x14ac:dyDescent="0.2">
      <c r="A1347" s="5">
        <v>1286</v>
      </c>
      <c r="B1347" s="1825">
        <f>'Expenditures 15-22'!E182</f>
        <v>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0</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0</v>
      </c>
      <c r="C1353" s="2" t="s">
        <v>569</v>
      </c>
      <c r="D1353" s="2" t="str">
        <f t="shared" si="20"/>
        <v>Error?</v>
      </c>
    </row>
    <row r="1354" spans="1:4" x14ac:dyDescent="0.2">
      <c r="A1354" s="5">
        <v>1293</v>
      </c>
      <c r="B1354" s="1825">
        <f>'Expenditures 15-22'!F182</f>
        <v>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0</v>
      </c>
      <c r="C1358" s="2" t="s">
        <v>569</v>
      </c>
      <c r="D1358" s="2" t="str">
        <f t="shared" si="20"/>
        <v>Error?</v>
      </c>
    </row>
    <row r="1359" spans="1:4" x14ac:dyDescent="0.2">
      <c r="A1359" s="5">
        <v>1298</v>
      </c>
      <c r="B1359" s="1825">
        <f>'Expenditures 15-22'!F210</f>
        <v>0</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0</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0</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0</v>
      </c>
      <c r="C1388" s="2" t="s">
        <v>569</v>
      </c>
      <c r="D1388" s="2" t="str">
        <f t="shared" si="20"/>
        <v>Error?</v>
      </c>
    </row>
    <row r="1389" spans="1:4" x14ac:dyDescent="0.2">
      <c r="A1389" s="5">
        <v>1328</v>
      </c>
      <c r="B1389" s="1825">
        <f>'Expenditures 15-22'!K211</f>
        <v>0</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0</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0</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0</v>
      </c>
      <c r="D1412" s="2" t="str">
        <f t="shared" si="21"/>
        <v>Error?</v>
      </c>
    </row>
    <row r="1413" spans="1:4" x14ac:dyDescent="0.2">
      <c r="A1413" s="5">
        <v>1352</v>
      </c>
      <c r="B1413" s="1825">
        <f>'Expenditures 15-22'!D234</f>
        <v>0</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0</v>
      </c>
      <c r="C1417" s="2" t="s">
        <v>569</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0</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0</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0</v>
      </c>
      <c r="D1423" s="2" t="str">
        <f t="shared" si="21"/>
        <v>Error?</v>
      </c>
    </row>
    <row r="1424" spans="1:4" x14ac:dyDescent="0.2">
      <c r="A1424" s="5">
        <v>1363</v>
      </c>
      <c r="B1424" s="1825">
        <f>'Expenditures 15-22'!D257</f>
        <v>0</v>
      </c>
      <c r="C1424" s="2" t="s">
        <v>569</v>
      </c>
      <c r="D1424" s="2" t="str">
        <f t="shared" si="21"/>
        <v>Error?</v>
      </c>
    </row>
    <row r="1425" spans="1:4" x14ac:dyDescent="0.2">
      <c r="A1425" s="5">
        <v>1364</v>
      </c>
      <c r="B1425" s="1825">
        <f>'Expenditures 15-22'!D259</f>
        <v>0</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0</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0</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0</v>
      </c>
      <c r="D1431" s="2" t="str">
        <f t="shared" si="21"/>
        <v>Error?</v>
      </c>
    </row>
    <row r="1432" spans="1:4" x14ac:dyDescent="0.2">
      <c r="A1432" s="5">
        <v>1371</v>
      </c>
      <c r="B1432" s="1825">
        <f>'Expenditures 15-22'!D267</f>
        <v>0</v>
      </c>
      <c r="D1432" s="2" t="str">
        <f t="shared" si="21"/>
        <v>Error?</v>
      </c>
    </row>
    <row r="1433" spans="1:4" x14ac:dyDescent="0.2">
      <c r="A1433" s="5">
        <v>1372</v>
      </c>
      <c r="B1433" s="1825">
        <f>'Expenditures 15-22'!D268</f>
        <v>0</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0</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0</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0</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0</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0</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0</v>
      </c>
      <c r="C1476" s="2" t="s">
        <v>569</v>
      </c>
      <c r="D1476" s="2" t="str">
        <f t="shared" si="22"/>
        <v>Error?</v>
      </c>
    </row>
    <row r="1477" spans="1:4" x14ac:dyDescent="0.2">
      <c r="A1477" s="5">
        <v>1416</v>
      </c>
      <c r="B1477" s="1825">
        <f>'Expenditures 15-22'!K234</f>
        <v>0</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0</v>
      </c>
      <c r="C1481" s="2" t="s">
        <v>569</v>
      </c>
      <c r="D1481" s="2" t="str">
        <f t="shared" si="22"/>
        <v>Error?</v>
      </c>
    </row>
    <row r="1482" spans="1:4" x14ac:dyDescent="0.2">
      <c r="A1482" s="5">
        <v>1421</v>
      </c>
      <c r="B1482" s="1825">
        <f>'Expenditures 15-22'!K240</f>
        <v>0</v>
      </c>
      <c r="C1482" s="2" t="s">
        <v>569</v>
      </c>
      <c r="D1482" s="2" t="str">
        <f t="shared" si="22"/>
        <v>Error?</v>
      </c>
    </row>
    <row r="1483" spans="1:4" x14ac:dyDescent="0.2">
      <c r="A1483" s="5">
        <v>1422</v>
      </c>
      <c r="B1483" s="1825">
        <f>'Expenditures 15-22'!K241</f>
        <v>0</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0</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0</v>
      </c>
      <c r="C1487" s="2" t="s">
        <v>569</v>
      </c>
      <c r="D1487" s="2" t="str">
        <f t="shared" si="22"/>
        <v>Error?</v>
      </c>
    </row>
    <row r="1488" spans="1:4" x14ac:dyDescent="0.2">
      <c r="A1488" s="5">
        <v>1427</v>
      </c>
      <c r="B1488" s="1825">
        <f>'Expenditures 15-22'!K257</f>
        <v>0</v>
      </c>
      <c r="C1488" s="2" t="s">
        <v>569</v>
      </c>
      <c r="D1488" s="2" t="str">
        <f t="shared" si="22"/>
        <v>Error?</v>
      </c>
    </row>
    <row r="1489" spans="1:4" x14ac:dyDescent="0.2">
      <c r="A1489" s="5">
        <v>1428</v>
      </c>
      <c r="B1489" s="1825">
        <f>'Expenditures 15-22'!K259</f>
        <v>0</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0</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0</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0</v>
      </c>
      <c r="C1495" s="2" t="s">
        <v>569</v>
      </c>
      <c r="D1495" s="2" t="str">
        <f t="shared" si="22"/>
        <v>Error?</v>
      </c>
    </row>
    <row r="1496" spans="1:4" x14ac:dyDescent="0.2">
      <c r="A1496" s="5">
        <v>1435</v>
      </c>
      <c r="B1496" s="1825">
        <f>'Expenditures 15-22'!K267</f>
        <v>0</v>
      </c>
      <c r="C1496" s="2" t="s">
        <v>569</v>
      </c>
      <c r="D1496" s="2" t="str">
        <f t="shared" si="22"/>
        <v>Error?</v>
      </c>
    </row>
    <row r="1497" spans="1:4" x14ac:dyDescent="0.2">
      <c r="A1497" s="5">
        <v>1436</v>
      </c>
      <c r="B1497" s="1825">
        <f>'Expenditures 15-22'!K268</f>
        <v>0</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0</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0</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0</v>
      </c>
      <c r="C1517" s="2" t="s">
        <v>569</v>
      </c>
      <c r="D1517" s="2" t="str">
        <f t="shared" si="22"/>
        <v>Error?</v>
      </c>
    </row>
    <row r="1518" spans="1:4" x14ac:dyDescent="0.2">
      <c r="A1518" s="5">
        <v>1457</v>
      </c>
      <c r="B1518" s="1825">
        <f>'Expenditures 15-22'!K296</f>
        <v>0</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645391</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742835</v>
      </c>
      <c r="C1630" s="2" t="s">
        <v>569</v>
      </c>
      <c r="D1630" s="2" t="str">
        <f t="shared" si="24"/>
        <v>Error?</v>
      </c>
    </row>
    <row r="1631" spans="1:4" x14ac:dyDescent="0.2">
      <c r="A1631" s="5">
        <v>1570</v>
      </c>
      <c r="B1631" s="1825">
        <f>'Acct Summary 7-8'!D79</f>
        <v>0</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0</v>
      </c>
      <c r="C1644" s="2" t="s">
        <v>569</v>
      </c>
      <c r="D1644" s="2" t="str">
        <f t="shared" si="24"/>
        <v>Error?</v>
      </c>
    </row>
    <row r="1645" spans="1:4" x14ac:dyDescent="0.2">
      <c r="A1645" s="5">
        <v>1584</v>
      </c>
      <c r="B1645" s="1825">
        <f>'Acct Summary 7-8'!E79</f>
        <v>0</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0</v>
      </c>
      <c r="C1658" s="2" t="s">
        <v>569</v>
      </c>
      <c r="D1658" s="2" t="str">
        <f t="shared" si="24"/>
        <v>Error?</v>
      </c>
    </row>
    <row r="1659" spans="1:4" x14ac:dyDescent="0.2">
      <c r="A1659" s="5">
        <v>1598</v>
      </c>
      <c r="B1659" s="1825">
        <f>'Acct Summary 7-8'!F79</f>
        <v>0</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0</v>
      </c>
      <c r="C1672" s="2" t="s">
        <v>569</v>
      </c>
      <c r="D1672" s="2" t="str">
        <f t="shared" si="25"/>
        <v>Error?</v>
      </c>
    </row>
    <row r="1673" spans="1:4" x14ac:dyDescent="0.2">
      <c r="A1673" s="5">
        <v>1612</v>
      </c>
      <c r="B1673" s="1825">
        <f>'Acct Summary 7-8'!G79</f>
        <v>0</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0</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0</v>
      </c>
      <c r="C1744" s="2" t="s">
        <v>569</v>
      </c>
      <c r="D1744" s="2" t="str">
        <f t="shared" si="26"/>
        <v>Error?</v>
      </c>
    </row>
    <row r="1745" spans="1:5" x14ac:dyDescent="0.2">
      <c r="A1745" s="5">
        <v>1684</v>
      </c>
      <c r="B1745" s="1825">
        <f>'Tax Sched 23'!B5</f>
        <v>0</v>
      </c>
      <c r="C1745" s="2" t="s">
        <v>569</v>
      </c>
      <c r="D1745" s="2" t="str">
        <f t="shared" si="26"/>
        <v>Error?</v>
      </c>
    </row>
    <row r="1746" spans="1:5" x14ac:dyDescent="0.2">
      <c r="A1746" s="5">
        <v>1685</v>
      </c>
      <c r="B1746" s="1825">
        <f>'Tax Sched 23'!B6</f>
        <v>0</v>
      </c>
      <c r="C1746" s="2" t="s">
        <v>569</v>
      </c>
      <c r="D1746" s="2" t="str">
        <f t="shared" si="26"/>
        <v>Error?</v>
      </c>
    </row>
    <row r="1747" spans="1:5" x14ac:dyDescent="0.2">
      <c r="A1747" s="5">
        <v>1686</v>
      </c>
      <c r="B1747" s="1825">
        <f>'Tax Sched 23'!B7</f>
        <v>0</v>
      </c>
      <c r="C1747" s="2" t="s">
        <v>569</v>
      </c>
      <c r="D1747" s="2" t="str">
        <f t="shared" si="26"/>
        <v>Error?</v>
      </c>
    </row>
    <row r="1748" spans="1:5" x14ac:dyDescent="0.2">
      <c r="A1748" s="5">
        <v>1687</v>
      </c>
      <c r="B1748" s="1825">
        <f>'Tax Sched 23'!B8</f>
        <v>0</v>
      </c>
      <c r="C1748" s="2" t="s">
        <v>569</v>
      </c>
      <c r="D1748" s="2" t="str">
        <f t="shared" si="26"/>
        <v>Error?</v>
      </c>
    </row>
    <row r="1749" spans="1:5" x14ac:dyDescent="0.2">
      <c r="A1749" s="5">
        <v>1688</v>
      </c>
      <c r="B1749" s="1825">
        <f>'Tax Sched 23'!B10</f>
        <v>0</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0</v>
      </c>
      <c r="C1752" s="2" t="s">
        <v>569</v>
      </c>
      <c r="D1752" s="2" t="str">
        <f t="shared" si="26"/>
        <v>Error?</v>
      </c>
    </row>
    <row r="1753" spans="1:5" x14ac:dyDescent="0.2">
      <c r="A1753" s="5">
        <v>1692</v>
      </c>
      <c r="B1753" s="1825">
        <f>'Tax Sched 23'!B12</f>
        <v>0</v>
      </c>
      <c r="C1753" s="2" t="s">
        <v>569</v>
      </c>
      <c r="D1753" s="2" t="str">
        <f t="shared" si="26"/>
        <v>Error?</v>
      </c>
    </row>
    <row r="1754" spans="1:5" x14ac:dyDescent="0.2">
      <c r="A1754" s="5">
        <v>1693</v>
      </c>
      <c r="B1754" s="1825">
        <f>'Tax Sched 23'!B14</f>
        <v>0</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0</v>
      </c>
      <c r="C1759" s="2" t="s">
        <v>569</v>
      </c>
      <c r="D1759" s="2" t="str">
        <f t="shared" si="26"/>
        <v>Error?</v>
      </c>
    </row>
    <row r="1760" spans="1:5" x14ac:dyDescent="0.2">
      <c r="A1760" s="5">
        <v>1699</v>
      </c>
      <c r="B1760" s="1825">
        <f>'Tax Sched 23'!D4</f>
        <v>0</v>
      </c>
      <c r="C1760" s="2" t="s">
        <v>569</v>
      </c>
      <c r="D1760" s="2" t="str">
        <f t="shared" si="26"/>
        <v>Error?</v>
      </c>
    </row>
    <row r="1761" spans="1:7" x14ac:dyDescent="0.2">
      <c r="A1761" s="5">
        <v>1700</v>
      </c>
      <c r="B1761" s="1825">
        <f>'Tax Sched 23'!D5</f>
        <v>0</v>
      </c>
      <c r="C1761" s="2" t="s">
        <v>569</v>
      </c>
      <c r="D1761" s="2" t="str">
        <f t="shared" si="26"/>
        <v>Error?</v>
      </c>
    </row>
    <row r="1762" spans="1:7" s="8" customFormat="1" x14ac:dyDescent="0.2">
      <c r="A1762" s="5">
        <v>1701</v>
      </c>
      <c r="B1762" s="1825">
        <f>'Tax Sched 23'!D6</f>
        <v>0</v>
      </c>
      <c r="C1762" s="2" t="s">
        <v>569</v>
      </c>
      <c r="D1762" s="2" t="str">
        <f t="shared" si="26"/>
        <v>Error?</v>
      </c>
      <c r="E1762" s="9"/>
      <c r="G1762"/>
    </row>
    <row r="1763" spans="1:7" x14ac:dyDescent="0.2">
      <c r="A1763" s="5">
        <v>1702</v>
      </c>
      <c r="B1763" s="1825">
        <f>'Tax Sched 23'!D7</f>
        <v>0</v>
      </c>
      <c r="C1763" s="2" t="s">
        <v>569</v>
      </c>
      <c r="D1763" s="2" t="str">
        <f t="shared" si="26"/>
        <v>Error?</v>
      </c>
    </row>
    <row r="1764" spans="1:7" x14ac:dyDescent="0.2">
      <c r="A1764" s="5">
        <v>1703</v>
      </c>
      <c r="B1764" s="1825">
        <f>'Tax Sched 23'!D8</f>
        <v>0</v>
      </c>
      <c r="C1764" s="2" t="s">
        <v>569</v>
      </c>
      <c r="D1764" s="2" t="str">
        <f t="shared" si="26"/>
        <v>Error?</v>
      </c>
    </row>
    <row r="1765" spans="1:7" x14ac:dyDescent="0.2">
      <c r="A1765" s="5">
        <v>1704</v>
      </c>
      <c r="B1765" s="1825">
        <f>'Tax Sched 23'!D10</f>
        <v>0</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0</v>
      </c>
      <c r="C1768" s="2" t="s">
        <v>569</v>
      </c>
      <c r="D1768" s="2" t="str">
        <f t="shared" si="26"/>
        <v>Error?</v>
      </c>
    </row>
    <row r="1769" spans="1:7" x14ac:dyDescent="0.2">
      <c r="A1769" s="5">
        <v>1708</v>
      </c>
      <c r="B1769" s="1825">
        <f>'Tax Sched 23'!D12</f>
        <v>0</v>
      </c>
      <c r="C1769" s="2" t="s">
        <v>569</v>
      </c>
      <c r="D1769" s="2" t="str">
        <f t="shared" si="26"/>
        <v>Error?</v>
      </c>
    </row>
    <row r="1770" spans="1:7" x14ac:dyDescent="0.2">
      <c r="A1770" s="5">
        <v>1709</v>
      </c>
      <c r="B1770" s="1825">
        <f>'Tax Sched 23'!D14</f>
        <v>0</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0</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0</v>
      </c>
      <c r="C1792" s="2" t="s">
        <v>569</v>
      </c>
      <c r="D1792" s="2" t="str">
        <f t="shared" si="27"/>
        <v>Error?</v>
      </c>
    </row>
    <row r="1793" spans="1:4" x14ac:dyDescent="0.2">
      <c r="A1793" s="5">
        <v>1732</v>
      </c>
      <c r="B1793" s="1825">
        <f>'Tax Sched 23'!F5</f>
        <v>0</v>
      </c>
      <c r="C1793" s="2" t="s">
        <v>569</v>
      </c>
      <c r="D1793" s="2" t="str">
        <f t="shared" si="27"/>
        <v>Error?</v>
      </c>
    </row>
    <row r="1794" spans="1:4" x14ac:dyDescent="0.2">
      <c r="A1794" s="5">
        <v>1733</v>
      </c>
      <c r="B1794" s="1825">
        <f>'Tax Sched 23'!F6</f>
        <v>0</v>
      </c>
      <c r="C1794" s="2" t="s">
        <v>569</v>
      </c>
      <c r="D1794" s="2" t="str">
        <f t="shared" si="27"/>
        <v>Error?</v>
      </c>
    </row>
    <row r="1795" spans="1:4" x14ac:dyDescent="0.2">
      <c r="A1795" s="5">
        <v>1734</v>
      </c>
      <c r="B1795" s="1825">
        <f>'Tax Sched 23'!F7</f>
        <v>0</v>
      </c>
      <c r="C1795" s="2" t="s">
        <v>569</v>
      </c>
      <c r="D1795" s="2" t="str">
        <f t="shared" si="27"/>
        <v>Error?</v>
      </c>
    </row>
    <row r="1796" spans="1:4" x14ac:dyDescent="0.2">
      <c r="A1796" s="5">
        <v>1735</v>
      </c>
      <c r="B1796" s="1825">
        <f>'Tax Sched 23'!F8</f>
        <v>0</v>
      </c>
      <c r="C1796" s="2" t="s">
        <v>569</v>
      </c>
      <c r="D1796" s="2" t="str">
        <f t="shared" si="27"/>
        <v>Error?</v>
      </c>
    </row>
    <row r="1797" spans="1:4" x14ac:dyDescent="0.2">
      <c r="A1797" s="5">
        <v>1736</v>
      </c>
      <c r="B1797" s="1825">
        <f>'Tax Sched 23'!F10</f>
        <v>0</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0</v>
      </c>
      <c r="C1800" s="2" t="s">
        <v>569</v>
      </c>
      <c r="D1800" s="2" t="str">
        <f t="shared" si="27"/>
        <v>Error?</v>
      </c>
    </row>
    <row r="1801" spans="1:4" x14ac:dyDescent="0.2">
      <c r="A1801" s="5">
        <v>1740</v>
      </c>
      <c r="B1801" s="1825">
        <f>'Tax Sched 23'!F12</f>
        <v>0</v>
      </c>
      <c r="C1801" s="2" t="s">
        <v>569</v>
      </c>
      <c r="D1801" s="2" t="str">
        <f t="shared" si="27"/>
        <v>Error?</v>
      </c>
    </row>
    <row r="1802" spans="1:4" x14ac:dyDescent="0.2">
      <c r="A1802" s="5">
        <v>1741</v>
      </c>
      <c r="B1802" s="1825">
        <f>'Tax Sched 23'!F14</f>
        <v>0</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0</v>
      </c>
      <c r="C1807" s="2" t="s">
        <v>569</v>
      </c>
      <c r="D1807" s="2" t="str">
        <f t="shared" si="27"/>
        <v>Error?</v>
      </c>
    </row>
    <row r="1808" spans="1:4" x14ac:dyDescent="0.2">
      <c r="A1808" s="5">
        <v>1747</v>
      </c>
      <c r="B1808" s="1825">
        <f>'Tax Sched 23'!E4</f>
        <v>0</v>
      </c>
      <c r="D1808" s="2" t="str">
        <f t="shared" si="27"/>
        <v>Error?</v>
      </c>
    </row>
    <row r="1809" spans="1:4" x14ac:dyDescent="0.2">
      <c r="A1809" s="5">
        <v>1748</v>
      </c>
      <c r="B1809" s="1825">
        <f>'Tax Sched 23'!E5</f>
        <v>0</v>
      </c>
      <c r="D1809" s="2" t="str">
        <f t="shared" si="27"/>
        <v>Error?</v>
      </c>
    </row>
    <row r="1810" spans="1:4" x14ac:dyDescent="0.2">
      <c r="A1810" s="5">
        <v>1749</v>
      </c>
      <c r="B1810" s="1825">
        <f>'Tax Sched 23'!E6</f>
        <v>0</v>
      </c>
      <c r="D1810" s="2" t="str">
        <f t="shared" si="27"/>
        <v>Error?</v>
      </c>
    </row>
    <row r="1811" spans="1:4" x14ac:dyDescent="0.2">
      <c r="A1811" s="5">
        <v>1750</v>
      </c>
      <c r="B1811" s="1825">
        <f>'Tax Sched 23'!E7</f>
        <v>0</v>
      </c>
      <c r="D1811" s="2" t="str">
        <f t="shared" si="27"/>
        <v>Error?</v>
      </c>
    </row>
    <row r="1812" spans="1:4" x14ac:dyDescent="0.2">
      <c r="A1812" s="5">
        <v>1751</v>
      </c>
      <c r="B1812" s="1825">
        <f>'Tax Sched 23'!E8</f>
        <v>0</v>
      </c>
      <c r="D1812" s="2" t="str">
        <f t="shared" si="27"/>
        <v>Error?</v>
      </c>
    </row>
    <row r="1813" spans="1:4" x14ac:dyDescent="0.2">
      <c r="A1813" s="5">
        <v>1752</v>
      </c>
      <c r="B1813" s="1825">
        <f>'Tax Sched 23'!E10</f>
        <v>0</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0</v>
      </c>
      <c r="D1816" s="2" t="str">
        <f t="shared" si="27"/>
        <v>Error?</v>
      </c>
    </row>
    <row r="1817" spans="1:4" x14ac:dyDescent="0.2">
      <c r="A1817" s="5">
        <v>1756</v>
      </c>
      <c r="B1817" s="1825">
        <f>'Tax Sched 23'!E12</f>
        <v>0</v>
      </c>
      <c r="D1817" s="2" t="str">
        <f t="shared" si="27"/>
        <v>Error?</v>
      </c>
    </row>
    <row r="1818" spans="1:4" x14ac:dyDescent="0.2">
      <c r="A1818" s="5">
        <v>1757</v>
      </c>
      <c r="B1818" s="1825">
        <f>'Tax Sched 23'!E14</f>
        <v>0</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0</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0</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0</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0</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0</v>
      </c>
      <c r="D2008" s="2" t="str">
        <f t="shared" si="30"/>
        <v>Error?</v>
      </c>
    </row>
    <row r="2009" spans="1:4" x14ac:dyDescent="0.2">
      <c r="A2009" s="5">
        <v>1948</v>
      </c>
      <c r="B2009" s="1825">
        <f>'Cap Outlay Deprec 26'!C8</f>
        <v>74162</v>
      </c>
      <c r="D2009" s="2" t="str">
        <f t="shared" si="30"/>
        <v>Error?</v>
      </c>
    </row>
    <row r="2010" spans="1:4" x14ac:dyDescent="0.2">
      <c r="A2010" s="5">
        <v>1949</v>
      </c>
      <c r="B2010" s="1825">
        <f>'Cap Outlay Deprec 26'!C10</f>
        <v>180040</v>
      </c>
      <c r="D2010" s="2" t="str">
        <f t="shared" si="30"/>
        <v>Error?</v>
      </c>
    </row>
    <row r="2011" spans="1:4" x14ac:dyDescent="0.2">
      <c r="A2011" s="5">
        <v>1950</v>
      </c>
      <c r="B2011" s="1825">
        <f>'Cap Outlay Deprec 26'!C12</f>
        <v>1531412</v>
      </c>
      <c r="D2011" s="2" t="str">
        <f t="shared" si="30"/>
        <v>Error?</v>
      </c>
    </row>
    <row r="2012" spans="1:4" x14ac:dyDescent="0.2">
      <c r="A2012" s="5">
        <v>1951</v>
      </c>
      <c r="B2012" s="1825">
        <f>'Cap Outlay Deprec 26'!C13</f>
        <v>187876</v>
      </c>
      <c r="D2012" s="2" t="str">
        <f t="shared" si="30"/>
        <v>Error?</v>
      </c>
    </row>
    <row r="2013" spans="1:4" x14ac:dyDescent="0.2">
      <c r="A2013" s="5">
        <v>1952</v>
      </c>
      <c r="B2013" s="1825">
        <f>'Cap Outlay Deprec 26'!C16</f>
        <v>1973490</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0</v>
      </c>
      <c r="D2017" s="2" t="str">
        <f t="shared" si="30"/>
        <v>Error?</v>
      </c>
    </row>
    <row r="2018" spans="1:4" x14ac:dyDescent="0.2">
      <c r="A2018" s="5">
        <v>1957</v>
      </c>
      <c r="B2018" s="1825">
        <f>'Cap Outlay Deprec 26'!D13</f>
        <v>43974</v>
      </c>
      <c r="D2018" s="2" t="str">
        <f t="shared" si="30"/>
        <v>Error?</v>
      </c>
    </row>
    <row r="2019" spans="1:4" x14ac:dyDescent="0.2">
      <c r="A2019" s="5">
        <v>1958</v>
      </c>
      <c r="B2019" s="1825">
        <f>'Cap Outlay Deprec 26'!D16</f>
        <v>43974</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0</v>
      </c>
      <c r="C2026" s="2" t="s">
        <v>569</v>
      </c>
      <c r="D2026" s="2" t="str">
        <f t="shared" si="30"/>
        <v>Error?</v>
      </c>
    </row>
    <row r="2027" spans="1:4" x14ac:dyDescent="0.2">
      <c r="A2027" s="5">
        <v>1966</v>
      </c>
      <c r="B2027" s="1825">
        <f>'Cap Outlay Deprec 26'!F8</f>
        <v>74162</v>
      </c>
      <c r="C2027" s="2" t="s">
        <v>569</v>
      </c>
      <c r="D2027" s="2" t="str">
        <f t="shared" si="30"/>
        <v>Error?</v>
      </c>
    </row>
    <row r="2028" spans="1:4" x14ac:dyDescent="0.2">
      <c r="A2028" s="5">
        <v>1967</v>
      </c>
      <c r="B2028" s="1825">
        <f>'Cap Outlay Deprec 26'!F10</f>
        <v>180040</v>
      </c>
      <c r="C2028" s="2" t="s">
        <v>569</v>
      </c>
      <c r="D2028" s="2" t="str">
        <f t="shared" si="30"/>
        <v>Error?</v>
      </c>
    </row>
    <row r="2029" spans="1:4" x14ac:dyDescent="0.2">
      <c r="A2029" s="5">
        <v>1968</v>
      </c>
      <c r="B2029" s="1825">
        <f>'Cap Outlay Deprec 26'!F12</f>
        <v>1531412</v>
      </c>
      <c r="C2029" s="2" t="s">
        <v>569</v>
      </c>
      <c r="D2029" s="2" t="str">
        <f t="shared" si="30"/>
        <v>Error?</v>
      </c>
    </row>
    <row r="2030" spans="1:4" x14ac:dyDescent="0.2">
      <c r="A2030" s="5">
        <v>1969</v>
      </c>
      <c r="B2030" s="1825">
        <f>'Cap Outlay Deprec 26'!F13</f>
        <v>231850</v>
      </c>
      <c r="C2030" s="2" t="s">
        <v>569</v>
      </c>
      <c r="D2030" s="2" t="str">
        <f t="shared" si="30"/>
        <v>Error?</v>
      </c>
    </row>
    <row r="2031" spans="1:4" x14ac:dyDescent="0.2">
      <c r="A2031" s="5">
        <v>1970</v>
      </c>
      <c r="B2031" s="1825">
        <f>'Cap Outlay Deprec 26'!F16</f>
        <v>2017464</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40600</v>
      </c>
      <c r="D2033" s="2" t="str">
        <f t="shared" si="30"/>
        <v>Error?</v>
      </c>
    </row>
    <row r="2034" spans="1:4" x14ac:dyDescent="0.2">
      <c r="A2034" s="5">
        <v>1973</v>
      </c>
      <c r="B2034" s="1825">
        <f>'Cap Outlay Deprec 26'!H10</f>
        <v>58634</v>
      </c>
      <c r="D2034" s="2" t="str">
        <f t="shared" si="30"/>
        <v>Error?</v>
      </c>
    </row>
    <row r="2035" spans="1:4" x14ac:dyDescent="0.2">
      <c r="A2035" s="5">
        <v>1974</v>
      </c>
      <c r="B2035" s="1825">
        <f>'Cap Outlay Deprec 26'!H12</f>
        <v>1392020</v>
      </c>
      <c r="D2035" s="2" t="str">
        <f t="shared" si="30"/>
        <v>Error?</v>
      </c>
    </row>
    <row r="2036" spans="1:4" x14ac:dyDescent="0.2">
      <c r="A2036" s="5">
        <v>1975</v>
      </c>
      <c r="B2036" s="1825">
        <f>'Cap Outlay Deprec 26'!H13</f>
        <v>142465</v>
      </c>
      <c r="D2036" s="2" t="str">
        <f t="shared" si="30"/>
        <v>Error?</v>
      </c>
    </row>
    <row r="2037" spans="1:4" x14ac:dyDescent="0.2">
      <c r="A2037" s="5">
        <v>1976</v>
      </c>
      <c r="B2037" s="1825">
        <f>'Cap Outlay Deprec 26'!H16</f>
        <v>1633719</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1483</v>
      </c>
      <c r="D2039" s="2" t="str">
        <f t="shared" si="30"/>
        <v>Error?</v>
      </c>
    </row>
    <row r="2040" spans="1:4" x14ac:dyDescent="0.2">
      <c r="A2040" s="5">
        <v>1979</v>
      </c>
      <c r="B2040" s="1825">
        <f>'Cap Outlay Deprec 26'!I10</f>
        <v>9002</v>
      </c>
      <c r="D2040" s="2" t="str">
        <f t="shared" si="30"/>
        <v>Error?</v>
      </c>
    </row>
    <row r="2041" spans="1:4" x14ac:dyDescent="0.2">
      <c r="A2041" s="5">
        <v>1980</v>
      </c>
      <c r="B2041" s="1825">
        <f>'Cap Outlay Deprec 26'!I12</f>
        <v>25817</v>
      </c>
      <c r="D2041" s="2" t="str">
        <f t="shared" si="30"/>
        <v>Error?</v>
      </c>
    </row>
    <row r="2042" spans="1:4" x14ac:dyDescent="0.2">
      <c r="A2042" s="5">
        <v>1981</v>
      </c>
      <c r="B2042" s="1825">
        <f>'Cap Outlay Deprec 26'!I13</f>
        <v>18921</v>
      </c>
      <c r="D2042" s="2" t="str">
        <f t="shared" si="30"/>
        <v>Error?</v>
      </c>
    </row>
    <row r="2043" spans="1:4" x14ac:dyDescent="0.2">
      <c r="A2043" s="5">
        <v>1982</v>
      </c>
      <c r="B2043" s="1825">
        <f>'Cap Outlay Deprec 26'!I16</f>
        <v>55223</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42083</v>
      </c>
      <c r="C2051" s="2" t="s">
        <v>569</v>
      </c>
      <c r="D2051" s="2" t="str">
        <f t="shared" si="31"/>
        <v>Error?</v>
      </c>
    </row>
    <row r="2052" spans="1:4" x14ac:dyDescent="0.2">
      <c r="A2052" s="5">
        <v>1991</v>
      </c>
      <c r="B2052" s="1825">
        <f>'Cap Outlay Deprec 26'!K10</f>
        <v>67636</v>
      </c>
      <c r="C2052" s="2" t="s">
        <v>569</v>
      </c>
      <c r="D2052" s="2" t="str">
        <f t="shared" si="31"/>
        <v>Error?</v>
      </c>
    </row>
    <row r="2053" spans="1:4" x14ac:dyDescent="0.2">
      <c r="A2053" s="5">
        <v>1992</v>
      </c>
      <c r="B2053" s="1825">
        <f>'Cap Outlay Deprec 26'!K12</f>
        <v>1417837</v>
      </c>
      <c r="C2053" s="2" t="s">
        <v>569</v>
      </c>
      <c r="D2053" s="2" t="str">
        <f t="shared" si="31"/>
        <v>Error?</v>
      </c>
    </row>
    <row r="2054" spans="1:4" x14ac:dyDescent="0.2">
      <c r="A2054" s="5">
        <v>1993</v>
      </c>
      <c r="B2054" s="1825">
        <f>'Cap Outlay Deprec 26'!K13</f>
        <v>161386</v>
      </c>
      <c r="C2054" s="2" t="s">
        <v>569</v>
      </c>
      <c r="D2054" s="2" t="str">
        <f t="shared" si="31"/>
        <v>Error?</v>
      </c>
    </row>
    <row r="2055" spans="1:4" x14ac:dyDescent="0.2">
      <c r="A2055" s="5">
        <v>1994</v>
      </c>
      <c r="B2055" s="1825">
        <f>'Cap Outlay Deprec 26'!K16</f>
        <v>1688942</v>
      </c>
      <c r="C2055" s="2" t="s">
        <v>569</v>
      </c>
      <c r="D2055" s="2" t="str">
        <f t="shared" si="31"/>
        <v>Error?</v>
      </c>
    </row>
    <row r="2056" spans="1:4" x14ac:dyDescent="0.2">
      <c r="A2056" s="5">
        <v>1995</v>
      </c>
      <c r="B2056" s="1825">
        <f>'Cap Outlay Deprec 26'!L5</f>
        <v>0</v>
      </c>
      <c r="C2056" s="2" t="s">
        <v>569</v>
      </c>
      <c r="D2056" s="2" t="str">
        <f t="shared" si="31"/>
        <v>Error?</v>
      </c>
    </row>
    <row r="2057" spans="1:4" x14ac:dyDescent="0.2">
      <c r="A2057" s="5">
        <v>1996</v>
      </c>
      <c r="B2057" s="1825">
        <f>'Cap Outlay Deprec 26'!L8</f>
        <v>32079</v>
      </c>
      <c r="C2057" s="2" t="s">
        <v>569</v>
      </c>
      <c r="D2057" s="2" t="str">
        <f t="shared" si="31"/>
        <v>Error?</v>
      </c>
    </row>
    <row r="2058" spans="1:4" x14ac:dyDescent="0.2">
      <c r="A2058" s="5">
        <v>1997</v>
      </c>
      <c r="B2058" s="1825">
        <f>'Cap Outlay Deprec 26'!L10</f>
        <v>112404</v>
      </c>
      <c r="C2058" s="2" t="s">
        <v>569</v>
      </c>
      <c r="D2058" s="2" t="str">
        <f t="shared" si="31"/>
        <v>Error?</v>
      </c>
    </row>
    <row r="2059" spans="1:4" x14ac:dyDescent="0.2">
      <c r="A2059" s="5">
        <v>1998</v>
      </c>
      <c r="B2059" s="1825">
        <f>'Cap Outlay Deprec 26'!L12</f>
        <v>113575</v>
      </c>
      <c r="C2059" s="2" t="s">
        <v>569</v>
      </c>
      <c r="D2059" s="2" t="str">
        <f t="shared" si="31"/>
        <v>Error?</v>
      </c>
    </row>
    <row r="2060" spans="1:4" x14ac:dyDescent="0.2">
      <c r="A2060" s="5">
        <v>1999</v>
      </c>
      <c r="B2060" s="1825">
        <f>'Cap Outlay Deprec 26'!L13</f>
        <v>70464</v>
      </c>
      <c r="C2060" s="2" t="s">
        <v>569</v>
      </c>
      <c r="D2060" s="2" t="str">
        <f t="shared" si="31"/>
        <v>Error?</v>
      </c>
    </row>
    <row r="2061" spans="1:4" x14ac:dyDescent="0.2">
      <c r="A2061" s="5">
        <v>2000</v>
      </c>
      <c r="B2061" s="1825">
        <f>'Cap Outlay Deprec 26'!L16</f>
        <v>328522</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31675</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31675</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50000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295055</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381293</v>
      </c>
      <c r="C2553" s="2" t="s">
        <v>569</v>
      </c>
      <c r="D2553" s="2" t="str">
        <f t="shared" si="38"/>
        <v>Error?</v>
      </c>
    </row>
    <row r="2554" spans="1:4" x14ac:dyDescent="0.2">
      <c r="A2554" s="5">
        <v>2493</v>
      </c>
      <c r="B2554" s="1825">
        <f>'Acct Summary 7-8'!C7</f>
        <v>118018</v>
      </c>
      <c r="C2554" s="2" t="s">
        <v>569</v>
      </c>
      <c r="D2554" s="2" t="str">
        <f t="shared" si="38"/>
        <v>Error?</v>
      </c>
    </row>
    <row r="2555" spans="1:4" x14ac:dyDescent="0.2">
      <c r="A2555" s="5">
        <v>2494</v>
      </c>
      <c r="B2555" s="1825">
        <f>'Acct Summary 7-8'!C8</f>
        <v>794366</v>
      </c>
      <c r="C2555" s="2" t="s">
        <v>569</v>
      </c>
      <c r="D2555" s="2" t="str">
        <f t="shared" si="38"/>
        <v>Error?</v>
      </c>
    </row>
    <row r="2556" spans="1:4" x14ac:dyDescent="0.2">
      <c r="A2556" s="5">
        <v>2495</v>
      </c>
      <c r="B2556" s="1825">
        <f>'Acct Summary 7-8'!C12</f>
        <v>412281</v>
      </c>
      <c r="C2556" s="2" t="s">
        <v>569</v>
      </c>
      <c r="D2556" s="2" t="str">
        <f t="shared" si="38"/>
        <v>Error?</v>
      </c>
    </row>
    <row r="2557" spans="1:4" x14ac:dyDescent="0.2">
      <c r="A2557" s="5">
        <v>2496</v>
      </c>
      <c r="B2557" s="1825">
        <f>'Acct Summary 7-8'!C13</f>
        <v>252966</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31675</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696922</v>
      </c>
      <c r="C2561" s="2" t="s">
        <v>569</v>
      </c>
      <c r="D2561" s="2" t="str">
        <f t="shared" si="39"/>
        <v>Error?</v>
      </c>
    </row>
    <row r="2562" spans="1:4" x14ac:dyDescent="0.2">
      <c r="A2562" s="5">
        <v>2501</v>
      </c>
      <c r="B2562" s="1825">
        <f>'Acct Summary 7-8'!C20</f>
        <v>97444</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0</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0</v>
      </c>
      <c r="C2568" s="2" t="s">
        <v>569</v>
      </c>
      <c r="D2568" s="2" t="str">
        <f t="shared" si="39"/>
        <v>Error?</v>
      </c>
    </row>
    <row r="2569" spans="1:4" x14ac:dyDescent="0.2">
      <c r="A2569" s="5">
        <v>2508</v>
      </c>
      <c r="B2569" s="1825">
        <f>'Acct Summary 7-8'!D13</f>
        <v>0</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0</v>
      </c>
      <c r="C2573" s="2" t="s">
        <v>569</v>
      </c>
      <c r="D2573" s="2" t="str">
        <f t="shared" si="39"/>
        <v>Error?</v>
      </c>
    </row>
    <row r="2574" spans="1:4" x14ac:dyDescent="0.2">
      <c r="A2574" s="5">
        <v>2513</v>
      </c>
      <c r="B2574" s="1825">
        <f>'Acct Summary 7-8'!D20</f>
        <v>0</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0</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0</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0</v>
      </c>
      <c r="C2595" s="2" t="s">
        <v>569</v>
      </c>
      <c r="D2595" s="2" t="str">
        <f t="shared" si="39"/>
        <v>Error?</v>
      </c>
    </row>
    <row r="2596" spans="1:4" x14ac:dyDescent="0.2">
      <c r="A2596" s="5">
        <v>2535</v>
      </c>
      <c r="B2596" s="1825">
        <f>'Acct Summary 7-8'!F13</f>
        <v>0</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0</v>
      </c>
      <c r="C2600" s="2" t="s">
        <v>569</v>
      </c>
      <c r="D2600" s="2" t="str">
        <f t="shared" si="39"/>
        <v>Error?</v>
      </c>
    </row>
    <row r="2601" spans="1:4" x14ac:dyDescent="0.2">
      <c r="A2601" s="5">
        <v>2540</v>
      </c>
      <c r="B2601" s="1825">
        <f>'Acct Summary 7-8'!F20</f>
        <v>0</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0</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0</v>
      </c>
      <c r="C2606" s="2" t="s">
        <v>569</v>
      </c>
      <c r="D2606" s="2" t="str">
        <f t="shared" si="39"/>
        <v>Error?</v>
      </c>
    </row>
    <row r="2607" spans="1:4" x14ac:dyDescent="0.2">
      <c r="A2607" s="5">
        <v>2546</v>
      </c>
      <c r="B2607" s="1825">
        <f>'Acct Summary 7-8'!G12</f>
        <v>0</v>
      </c>
      <c r="C2607" s="2" t="s">
        <v>569</v>
      </c>
      <c r="D2607" s="2" t="str">
        <f t="shared" si="39"/>
        <v>Error?</v>
      </c>
    </row>
    <row r="2608" spans="1:4" x14ac:dyDescent="0.2">
      <c r="A2608" s="5">
        <v>2547</v>
      </c>
      <c r="B2608" s="1825">
        <f>'Acct Summary 7-8'!G13</f>
        <v>0</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0</v>
      </c>
      <c r="C2612" s="2" t="s">
        <v>569</v>
      </c>
      <c r="D2612" s="2" t="str">
        <f t="shared" si="39"/>
        <v>Error?</v>
      </c>
    </row>
    <row r="2613" spans="1:4" x14ac:dyDescent="0.2">
      <c r="A2613" s="5">
        <v>2552</v>
      </c>
      <c r="B2613" s="1825">
        <f>'Acct Summary 7-8'!G20</f>
        <v>0</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0</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0</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0</v>
      </c>
      <c r="C2634" s="2" t="s">
        <v>569</v>
      </c>
      <c r="D2634" s="2" t="str">
        <f t="shared" si="40"/>
        <v>Error?</v>
      </c>
    </row>
    <row r="2635" spans="1:4" x14ac:dyDescent="0.2">
      <c r="A2635" s="5">
        <v>2574</v>
      </c>
      <c r="B2635" s="1825">
        <f>'Acct Summary 7-8'!E17</f>
        <v>0</v>
      </c>
      <c r="C2635" s="2" t="s">
        <v>569</v>
      </c>
      <c r="D2635" s="2" t="str">
        <f t="shared" si="40"/>
        <v>Error?</v>
      </c>
    </row>
    <row r="2636" spans="1:4" x14ac:dyDescent="0.2">
      <c r="A2636" s="5">
        <v>2575</v>
      </c>
      <c r="B2636" s="1825">
        <f>'Acct Summary 7-8'!E20</f>
        <v>0</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61083</v>
      </c>
      <c r="D2718" s="2" t="str">
        <f t="shared" si="41"/>
        <v>Error?</v>
      </c>
    </row>
    <row r="2719" spans="1:4" x14ac:dyDescent="0.2">
      <c r="A2719" s="5">
        <v>2658</v>
      </c>
      <c r="B2719" s="1825">
        <f>'Expenditures 15-22'!D51</f>
        <v>18194</v>
      </c>
      <c r="D2719" s="2" t="str">
        <f t="shared" si="41"/>
        <v>Error?</v>
      </c>
    </row>
    <row r="2720" spans="1:4" x14ac:dyDescent="0.2">
      <c r="A2720" s="5">
        <v>2659</v>
      </c>
      <c r="B2720" s="1825">
        <f>'Expenditures 15-22'!E51</f>
        <v>11431</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3087</v>
      </c>
      <c r="D2723" s="2" t="str">
        <f t="shared" si="41"/>
        <v>Error?</v>
      </c>
    </row>
    <row r="2724" spans="1:4" x14ac:dyDescent="0.2">
      <c r="A2724" s="5">
        <v>2663</v>
      </c>
      <c r="B2724" s="1825">
        <f>'Expenditures 15-22'!K51</f>
        <v>93795</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0</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3297</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0</v>
      </c>
      <c r="D2912" s="2" t="str">
        <f t="shared" si="44"/>
        <v>Error?</v>
      </c>
    </row>
    <row r="2913" spans="1:4" x14ac:dyDescent="0.2">
      <c r="A2913" s="5">
        <v>2852</v>
      </c>
      <c r="B2913" s="1825">
        <f>'Assets-Liab 5-6'!I41</f>
        <v>0</v>
      </c>
      <c r="C2913" s="2" t="s">
        <v>569</v>
      </c>
      <c r="D2913" s="2" t="str">
        <f t="shared" si="44"/>
        <v>Error?</v>
      </c>
    </row>
    <row r="2914" spans="1:4" x14ac:dyDescent="0.2">
      <c r="A2914" s="5">
        <v>2853</v>
      </c>
      <c r="B2914" s="1825">
        <f>'Assets-Liab 5-6'!L33</f>
        <v>3297</v>
      </c>
      <c r="D2914" s="2" t="str">
        <f t="shared" si="44"/>
        <v>Error?</v>
      </c>
    </row>
    <row r="2915" spans="1:4" x14ac:dyDescent="0.2">
      <c r="A2915" s="10">
        <v>2854</v>
      </c>
      <c r="B2915" s="1825"/>
      <c r="D2915" s="2" t="str">
        <f t="shared" si="44"/>
        <v>OK</v>
      </c>
    </row>
    <row r="2916" spans="1:4" x14ac:dyDescent="0.2">
      <c r="A2916" s="5">
        <v>2855</v>
      </c>
      <c r="B2916" s="1825">
        <f>'Assets-Liab 5-6'!L34</f>
        <v>3297</v>
      </c>
      <c r="C2916" s="2" t="s">
        <v>569</v>
      </c>
      <c r="D2916" s="2" t="str">
        <f t="shared" si="44"/>
        <v>Error?</v>
      </c>
    </row>
    <row r="2917" spans="1:4" x14ac:dyDescent="0.2">
      <c r="A2917" s="5">
        <v>2856</v>
      </c>
      <c r="B2917" s="1825">
        <f>'Assets-Liab 5-6'!L41</f>
        <v>3297</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31675</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31675</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0</v>
      </c>
      <c r="D3055" s="2" t="str">
        <f t="shared" si="46"/>
        <v>Error?</v>
      </c>
    </row>
    <row r="3056" spans="1:4" x14ac:dyDescent="0.2">
      <c r="A3056" s="5">
        <v>2995</v>
      </c>
      <c r="B3056" s="1825">
        <f>'Expenditures 15-22'!D10</f>
        <v>0</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0</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0</v>
      </c>
      <c r="D3064" s="2" t="str">
        <f t="shared" si="46"/>
        <v>Error?</v>
      </c>
    </row>
    <row r="3065" spans="1:4" x14ac:dyDescent="0.2">
      <c r="A3065" s="5">
        <v>3004</v>
      </c>
      <c r="B3065" s="1825">
        <f>'Expenditures 15-22'!K219</f>
        <v>0</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0</v>
      </c>
      <c r="C3225" s="2" t="s">
        <v>569</v>
      </c>
      <c r="D3225" s="2" t="str">
        <f t="shared" si="49"/>
        <v>Error?</v>
      </c>
    </row>
    <row r="3226" spans="1:4" x14ac:dyDescent="0.2">
      <c r="A3226" s="5">
        <v>3165</v>
      </c>
      <c r="B3226" s="1825">
        <f>'Acct Summary 7-8'!I8</f>
        <v>0</v>
      </c>
      <c r="C3226" s="2" t="s">
        <v>569</v>
      </c>
      <c r="D3226" s="2" t="str">
        <f t="shared" si="49"/>
        <v>Error?</v>
      </c>
    </row>
    <row r="3227" spans="1:4" x14ac:dyDescent="0.2">
      <c r="A3227" s="5">
        <v>3166</v>
      </c>
      <c r="B3227" s="1825">
        <f>'Acct Summary 7-8'!I20</f>
        <v>0</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97444</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0</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0</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0</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0</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0</v>
      </c>
      <c r="C3320" s="2" t="s">
        <v>569</v>
      </c>
      <c r="D3320" s="2" t="str">
        <f t="shared" si="50"/>
        <v>Error?</v>
      </c>
    </row>
    <row r="3321" spans="1:4" x14ac:dyDescent="0.2">
      <c r="A3321" s="5">
        <v>3260</v>
      </c>
      <c r="B3321" s="1825">
        <f>'Acct Summary 7-8'!I79</f>
        <v>0</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0</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0</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0</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0</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0</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0</v>
      </c>
      <c r="D3387" s="2" t="str">
        <f t="shared" si="51"/>
        <v>Error?</v>
      </c>
    </row>
    <row r="3388" spans="1:4" x14ac:dyDescent="0.2">
      <c r="A3388" s="5">
        <v>3327</v>
      </c>
      <c r="B3388" s="1825">
        <f>'Expenditures 15-22'!D217</f>
        <v>0</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0</v>
      </c>
      <c r="C3390" s="2" t="s">
        <v>569</v>
      </c>
      <c r="D3390" s="2" t="str">
        <f t="shared" si="51"/>
        <v>Error?</v>
      </c>
    </row>
    <row r="3391" spans="1:4" x14ac:dyDescent="0.2">
      <c r="A3391" s="5">
        <v>3330</v>
      </c>
      <c r="B3391" s="1825">
        <f>'Expenditures 15-22'!K217</f>
        <v>0</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742835</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0</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0</v>
      </c>
      <c r="D3417" s="2" t="str">
        <f t="shared" si="52"/>
        <v>Error?</v>
      </c>
    </row>
    <row r="3418" spans="1:4" x14ac:dyDescent="0.2">
      <c r="A3418" s="10">
        <v>3357</v>
      </c>
      <c r="B3418" s="1825"/>
      <c r="D3418" s="2" t="str">
        <f t="shared" si="52"/>
        <v>OK</v>
      </c>
    </row>
    <row r="3419" spans="1:4" x14ac:dyDescent="0.2">
      <c r="A3419" s="5">
        <v>3358</v>
      </c>
      <c r="B3419" s="1825">
        <f>'Assets-Liab 5-6'!F4</f>
        <v>0</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0</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0</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3297</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0</v>
      </c>
      <c r="C3446" s="2" t="s">
        <v>569</v>
      </c>
      <c r="D3446" s="2" t="str">
        <f t="shared" si="52"/>
        <v>Error?</v>
      </c>
    </row>
    <row r="3447" spans="1:4" x14ac:dyDescent="0.2">
      <c r="A3447" s="5">
        <v>3386</v>
      </c>
      <c r="B3447" s="1825">
        <f>'Tax Sched 23'!D16</f>
        <v>0</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0</v>
      </c>
      <c r="C3449" s="2" t="s">
        <v>569</v>
      </c>
      <c r="D3449" s="2" t="str">
        <f t="shared" si="52"/>
        <v>Error?</v>
      </c>
    </row>
    <row r="3450" spans="1:4" x14ac:dyDescent="0.2">
      <c r="A3450" s="5">
        <v>3389</v>
      </c>
      <c r="B3450" s="1825">
        <f>'Tax Sched 23'!E16</f>
        <v>0</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0</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0</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0</v>
      </c>
      <c r="C3568" s="2" t="s">
        <v>569</v>
      </c>
      <c r="D3568" s="2" t="str">
        <f t="shared" si="54"/>
        <v>Error?</v>
      </c>
    </row>
    <row r="3569" spans="1:4" x14ac:dyDescent="0.2">
      <c r="A3569" s="5">
        <v>3508</v>
      </c>
      <c r="B3569" s="1825">
        <f>'Acct Summary 7-8'!K4</f>
        <v>0</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0</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0</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0</v>
      </c>
      <c r="C3588" s="2" t="s">
        <v>569</v>
      </c>
      <c r="D3588" s="2" t="str">
        <f t="shared" si="55"/>
        <v>Error?</v>
      </c>
    </row>
    <row r="3589" spans="1:4" x14ac:dyDescent="0.2">
      <c r="A3589" s="5">
        <v>3528</v>
      </c>
      <c r="B3589" s="1825">
        <f>'Acct Summary 7-8'!K79</f>
        <v>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0</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0</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306663</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1101029</v>
      </c>
      <c r="C4122" s="2" t="s">
        <v>569</v>
      </c>
      <c r="D4122" s="2" t="str">
        <f t="shared" si="63"/>
        <v>Error?</v>
      </c>
    </row>
    <row r="4123" spans="1:4" x14ac:dyDescent="0.2">
      <c r="A4123" s="5">
        <v>4062</v>
      </c>
      <c r="B4123" s="1825">
        <f>'Acct Summary 7-8'!D10</f>
        <v>0</v>
      </c>
      <c r="C4123" s="2" t="s">
        <v>569</v>
      </c>
      <c r="D4123" s="2" t="str">
        <f t="shared" si="63"/>
        <v>Error?</v>
      </c>
    </row>
    <row r="4124" spans="1:4" x14ac:dyDescent="0.2">
      <c r="A4124" s="5">
        <v>4063</v>
      </c>
      <c r="B4124" s="1825">
        <f>'Acct Summary 7-8'!E10</f>
        <v>0</v>
      </c>
      <c r="C4124" s="2" t="s">
        <v>569</v>
      </c>
      <c r="D4124" s="2" t="str">
        <f t="shared" si="63"/>
        <v>Error?</v>
      </c>
    </row>
    <row r="4125" spans="1:4" x14ac:dyDescent="0.2">
      <c r="A4125" s="5">
        <v>4064</v>
      </c>
      <c r="B4125" s="1825">
        <f>'Acct Summary 7-8'!F10</f>
        <v>0</v>
      </c>
      <c r="C4125" s="2" t="s">
        <v>569</v>
      </c>
      <c r="D4125" s="2" t="str">
        <f t="shared" si="63"/>
        <v>Error?</v>
      </c>
    </row>
    <row r="4126" spans="1:4" x14ac:dyDescent="0.2">
      <c r="A4126" s="5">
        <v>4065</v>
      </c>
      <c r="B4126" s="1825">
        <f>'Acct Summary 7-8'!G10</f>
        <v>0</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0</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0</v>
      </c>
      <c r="C4130" s="2" t="s">
        <v>569</v>
      </c>
      <c r="D4130" s="2" t="str">
        <f t="shared" si="63"/>
        <v>Error?</v>
      </c>
    </row>
    <row r="4131" spans="1:4" x14ac:dyDescent="0.2">
      <c r="A4131" s="5">
        <v>4070</v>
      </c>
      <c r="B4131" s="1825">
        <f>'Acct Summary 7-8'!C18</f>
        <v>306663</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1003585</v>
      </c>
      <c r="C4136" s="2" t="s">
        <v>569</v>
      </c>
      <c r="D4136" s="2" t="str">
        <f t="shared" si="63"/>
        <v>Error?</v>
      </c>
    </row>
    <row r="4137" spans="1:4" x14ac:dyDescent="0.2">
      <c r="A4137" s="5">
        <v>4076</v>
      </c>
      <c r="B4137" s="1825">
        <f>'Acct Summary 7-8'!D19</f>
        <v>0</v>
      </c>
      <c r="C4137" s="2" t="s">
        <v>569</v>
      </c>
      <c r="D4137" s="2" t="str">
        <f t="shared" si="63"/>
        <v>Error?</v>
      </c>
    </row>
    <row r="4138" spans="1:4" x14ac:dyDescent="0.2">
      <c r="A4138" s="5">
        <v>4077</v>
      </c>
      <c r="B4138" s="1825">
        <f>'Acct Summary 7-8'!E19</f>
        <v>0</v>
      </c>
      <c r="C4138" s="2" t="s">
        <v>569</v>
      </c>
      <c r="D4138" s="2" t="str">
        <f t="shared" si="63"/>
        <v>Error?</v>
      </c>
    </row>
    <row r="4139" spans="1:4" x14ac:dyDescent="0.2">
      <c r="A4139" s="5">
        <v>4078</v>
      </c>
      <c r="B4139" s="1825">
        <f>'Acct Summary 7-8'!F19</f>
        <v>0</v>
      </c>
      <c r="C4139" s="2" t="s">
        <v>569</v>
      </c>
      <c r="D4139" s="2" t="str">
        <f t="shared" si="63"/>
        <v>Error?</v>
      </c>
    </row>
    <row r="4140" spans="1:4" x14ac:dyDescent="0.2">
      <c r="A4140" s="5">
        <v>4079</v>
      </c>
      <c r="B4140" s="1825">
        <f>'Acct Summary 7-8'!G19</f>
        <v>0</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0</v>
      </c>
      <c r="C4171" s="2" t="s">
        <v>569</v>
      </c>
      <c r="D4171" s="2" t="str">
        <f t="shared" si="64"/>
        <v>Error?</v>
      </c>
    </row>
    <row r="4172" spans="1:4" x14ac:dyDescent="0.2">
      <c r="A4172" s="5">
        <v>4111</v>
      </c>
      <c r="B4172" s="1825">
        <f>'Short-Term Long-Term Debt 24'!J49</f>
        <v>0</v>
      </c>
      <c r="C4172" s="2" t="s">
        <v>569</v>
      </c>
      <c r="D4172" s="2" t="str">
        <f t="shared" si="64"/>
        <v>Error?</v>
      </c>
    </row>
    <row r="4173" spans="1:4" x14ac:dyDescent="0.2">
      <c r="A4173" s="5">
        <v>4112</v>
      </c>
      <c r="B4173" s="1825">
        <f>'Short-Term Long-Term Debt 24'!H49</f>
        <v>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0</v>
      </c>
      <c r="C4265" s="2" t="s">
        <v>569</v>
      </c>
      <c r="D4265" s="2" t="str">
        <f t="shared" si="65"/>
        <v>Error?</v>
      </c>
      <c r="E4265" s="125"/>
    </row>
    <row r="4266" spans="1:5" x14ac:dyDescent="0.2">
      <c r="A4266" s="12">
        <v>4205</v>
      </c>
      <c r="B4266" s="1825">
        <f>('FP Info 3'!F10)*100000</f>
        <v>0</v>
      </c>
      <c r="C4266" s="2" t="s">
        <v>569</v>
      </c>
      <c r="D4266" s="2" t="str">
        <f t="shared" si="65"/>
        <v>Error?</v>
      </c>
      <c r="E4266" s="125"/>
    </row>
    <row r="4267" spans="1:5" x14ac:dyDescent="0.2">
      <c r="A4267" s="12">
        <v>4206</v>
      </c>
      <c r="B4267" s="1825">
        <f>('FP Info 3'!H10)*100000</f>
        <v>0</v>
      </c>
      <c r="C4267" s="2" t="s">
        <v>569</v>
      </c>
      <c r="D4267" s="2" t="str">
        <f t="shared" si="65"/>
        <v>Error?</v>
      </c>
      <c r="E4267" s="125"/>
    </row>
    <row r="4268" spans="1:5" x14ac:dyDescent="0.2">
      <c r="A4268" s="12">
        <v>4207</v>
      </c>
      <c r="B4268" s="1825">
        <f>('FP Info 3'!J10)*100000</f>
        <v>0</v>
      </c>
      <c r="C4268" s="2" t="s">
        <v>569</v>
      </c>
      <c r="D4268" s="2" t="str">
        <f t="shared" si="65"/>
        <v>Error?</v>
      </c>
    </row>
    <row r="4269" spans="1:5" x14ac:dyDescent="0.2">
      <c r="A4269" s="12">
        <v>4208</v>
      </c>
      <c r="B4269" s="1825">
        <f>'FP Info 3'!J16</f>
        <v>742835</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t="str">
        <f>'Revenues 9-14'!D216</f>
        <v xml:space="preserve">  </v>
      </c>
      <c r="D4341" s="2" t="e">
        <f t="shared" si="66"/>
        <v>#VALUE!</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118018</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0</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0</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50000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0</v>
      </c>
      <c r="D4995" s="2" t="str">
        <f t="shared" si="77"/>
        <v>Error?</v>
      </c>
    </row>
    <row r="4996" spans="1:4" x14ac:dyDescent="0.2">
      <c r="A4996" s="12">
        <v>4935</v>
      </c>
      <c r="B4996" s="1825" t="str">
        <f>'FP Info 3'!H31</f>
        <v>Enter x in a.or b.</v>
      </c>
      <c r="D4996" s="2" t="e">
        <f t="shared" si="77"/>
        <v>#VALUE!</v>
      </c>
    </row>
    <row r="4997" spans="1:4" x14ac:dyDescent="0.2">
      <c r="A4997" s="12">
        <v>4936</v>
      </c>
      <c r="B4997" s="1825">
        <f>'FP Info 3'!H37</f>
        <v>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0</v>
      </c>
      <c r="D5061" s="2" t="str">
        <f t="shared" si="78"/>
        <v>Error?</v>
      </c>
    </row>
    <row r="5062" spans="1:4" x14ac:dyDescent="0.2">
      <c r="A5062" s="10">
        <v>5001</v>
      </c>
      <c r="B5062" s="1825"/>
      <c r="D5062" s="2" t="str">
        <f t="shared" si="78"/>
        <v>OK</v>
      </c>
    </row>
    <row r="5063" spans="1:4" x14ac:dyDescent="0.2">
      <c r="A5063" s="5">
        <v>5002</v>
      </c>
      <c r="B5063" s="1825">
        <f>'Revenues 9-14'!C7</f>
        <v>0</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0</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0</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0</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269214</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269214</v>
      </c>
      <c r="C5087" s="2" t="s">
        <v>569</v>
      </c>
      <c r="D5087" s="2" t="str">
        <f t="shared" si="78"/>
        <v>Error?</v>
      </c>
    </row>
    <row r="5088" spans="1:4" x14ac:dyDescent="0.2">
      <c r="A5088" s="5">
        <v>5027</v>
      </c>
      <c r="B5088" s="1825">
        <f>'Revenues 9-14'!C65</f>
        <v>4841</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4841</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0</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0</v>
      </c>
      <c r="C5096" s="2" t="s">
        <v>569</v>
      </c>
      <c r="D5096" s="2" t="str">
        <f t="shared" si="78"/>
        <v>Error?</v>
      </c>
    </row>
    <row r="5097" spans="1:4" x14ac:dyDescent="0.2">
      <c r="A5097" s="5">
        <v>5036</v>
      </c>
      <c r="B5097" s="1825">
        <f>'Revenues 9-14'!C77</f>
        <v>0</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0</v>
      </c>
      <c r="C5102" s="2" t="s">
        <v>569</v>
      </c>
      <c r="D5102" s="2" t="str">
        <f t="shared" si="78"/>
        <v>Error?</v>
      </c>
    </row>
    <row r="5103" spans="1:4" x14ac:dyDescent="0.2">
      <c r="A5103" s="5">
        <v>5042</v>
      </c>
      <c r="B5103" s="1825">
        <f>'Revenues 9-14'!C84</f>
        <v>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0</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21000</v>
      </c>
      <c r="D5119" s="2" t="str">
        <f t="shared" ref="D5119:D5182" si="79">IF(ISBLANK(B5119),"OK",IF(A5119-B5119=0,"OK","Error?"))</f>
        <v>Error?</v>
      </c>
    </row>
    <row r="5120" spans="1:4" x14ac:dyDescent="0.2">
      <c r="A5120" s="5">
        <v>5059</v>
      </c>
      <c r="B5120" s="1825">
        <f>'Revenues 9-14'!C108</f>
        <v>21000</v>
      </c>
      <c r="C5120" s="2" t="s">
        <v>569</v>
      </c>
      <c r="D5120" s="2" t="str">
        <f t="shared" si="79"/>
        <v>Error?</v>
      </c>
    </row>
    <row r="5121" spans="1:4" x14ac:dyDescent="0.2">
      <c r="A5121" s="5">
        <v>5060</v>
      </c>
      <c r="B5121" s="1825">
        <f>'Revenues 9-14'!C109</f>
        <v>295055</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0</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0</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0</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0</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331293</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331293</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0</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381293</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381293</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0</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0</v>
      </c>
      <c r="D5241" s="2" t="str">
        <f t="shared" si="80"/>
        <v>Error?</v>
      </c>
    </row>
    <row r="5242" spans="1:4" x14ac:dyDescent="0.2">
      <c r="A5242" s="5">
        <v>5181</v>
      </c>
      <c r="B5242" s="1825">
        <f>'Revenues 9-14'!C194</f>
        <v>0</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0</v>
      </c>
      <c r="C5246" s="2" t="s">
        <v>569</v>
      </c>
      <c r="D5246" s="2" t="str">
        <f t="shared" si="80"/>
        <v>Error?</v>
      </c>
    </row>
    <row r="5247" spans="1:4" x14ac:dyDescent="0.2">
      <c r="A5247" s="5">
        <v>5186</v>
      </c>
      <c r="B5247" s="1825">
        <f>'Revenues 9-14'!C200</f>
        <v>0</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0</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0</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118018</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118018</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118018</v>
      </c>
      <c r="C5326" s="2" t="s">
        <v>569</v>
      </c>
      <c r="D5326" s="2" t="str">
        <f t="shared" si="82"/>
        <v>Error?</v>
      </c>
    </row>
    <row r="5327" spans="1:5" x14ac:dyDescent="0.2">
      <c r="A5327" s="5">
        <v>5266</v>
      </c>
      <c r="B5327" s="1825">
        <f>'Revenues 9-14'!C268</f>
        <v>794366</v>
      </c>
      <c r="C5327" s="2" t="s">
        <v>569</v>
      </c>
      <c r="D5327" s="2" t="str">
        <f t="shared" si="82"/>
        <v>Error?</v>
      </c>
    </row>
    <row r="5328" spans="1:5" x14ac:dyDescent="0.2">
      <c r="A5328" s="5">
        <v>5267</v>
      </c>
      <c r="B5328" s="1825">
        <f>'Revenues 9-14'!D5</f>
        <v>0</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0</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0</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0</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0</v>
      </c>
      <c r="C5355" s="2" t="s">
        <v>569</v>
      </c>
      <c r="D5355" s="2" t="str">
        <f t="shared" si="82"/>
        <v>Error?</v>
      </c>
    </row>
    <row r="5356" spans="1:4" x14ac:dyDescent="0.2">
      <c r="A5356" s="5">
        <v>5295</v>
      </c>
      <c r="B5356" s="1825">
        <f>'Revenues 9-14'!D109</f>
        <v>0</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0</v>
      </c>
      <c r="C5508" s="2" t="s">
        <v>569</v>
      </c>
      <c r="D5508" s="2" t="str">
        <f t="shared" si="85"/>
        <v>Error?</v>
      </c>
    </row>
    <row r="5509" spans="1:4" x14ac:dyDescent="0.2">
      <c r="A5509" s="5">
        <v>5448</v>
      </c>
      <c r="B5509" s="1825">
        <f>'Revenues 9-14'!E5</f>
        <v>0</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0</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0</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0</v>
      </c>
      <c r="C5552" s="2" t="s">
        <v>569</v>
      </c>
      <c r="D5552" s="2" t="str">
        <f t="shared" si="85"/>
        <v>Error?</v>
      </c>
    </row>
    <row r="5553" spans="1:4" x14ac:dyDescent="0.2">
      <c r="A5553" s="5">
        <v>5492</v>
      </c>
      <c r="B5553" s="1825">
        <f>'Revenues 9-14'!F5</f>
        <v>0</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0</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0</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0</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0</v>
      </c>
      <c r="D5615" s="2" t="str">
        <f t="shared" si="86"/>
        <v>Error?</v>
      </c>
    </row>
    <row r="5616" spans="1:4" x14ac:dyDescent="0.2">
      <c r="A5616" s="10">
        <v>5555</v>
      </c>
      <c r="B5616" s="1825"/>
      <c r="D5616" s="2" t="str">
        <f t="shared" si="86"/>
        <v>OK</v>
      </c>
    </row>
    <row r="5617" spans="1:5" x14ac:dyDescent="0.2">
      <c r="A5617" s="5">
        <v>5556</v>
      </c>
      <c r="B5617" s="1825">
        <f>'Revenues 9-14'!F153</f>
        <v>0</v>
      </c>
      <c r="D5617" s="2" t="str">
        <f t="shared" si="86"/>
        <v>Error?</v>
      </c>
    </row>
    <row r="5618" spans="1:5" x14ac:dyDescent="0.2">
      <c r="A5618" s="5">
        <v>5557</v>
      </c>
      <c r="B5618" s="1825">
        <f>'Revenues 9-14'!F155</f>
        <v>0</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0</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0</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0</v>
      </c>
      <c r="C5720" s="2" t="s">
        <v>569</v>
      </c>
      <c r="D5720" s="2" t="str">
        <f t="shared" si="88"/>
        <v>Error?</v>
      </c>
    </row>
    <row r="5721" spans="1:4" x14ac:dyDescent="0.2">
      <c r="A5721" s="5">
        <v>5660</v>
      </c>
      <c r="B5721" s="1825">
        <f>'Revenues 9-14'!G5</f>
        <v>0</v>
      </c>
      <c r="D5721" s="2" t="str">
        <f t="shared" si="88"/>
        <v>Error?</v>
      </c>
    </row>
    <row r="5722" spans="1:4" x14ac:dyDescent="0.2">
      <c r="A5722" s="5">
        <v>5661</v>
      </c>
      <c r="B5722" s="1825">
        <f>'Revenues 9-14'!G7</f>
        <v>0</v>
      </c>
      <c r="D5722" s="2" t="str">
        <f t="shared" si="88"/>
        <v>Error?</v>
      </c>
    </row>
    <row r="5723" spans="1:4" x14ac:dyDescent="0.2">
      <c r="A5723" s="5">
        <v>5662</v>
      </c>
      <c r="B5723" s="1825">
        <f>'Revenues 9-14'!G8</f>
        <v>0</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0</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0</v>
      </c>
      <c r="C5730" s="2" t="s">
        <v>569</v>
      </c>
      <c r="D5730" s="2" t="str">
        <f t="shared" si="88"/>
        <v>Error?</v>
      </c>
    </row>
    <row r="5731" spans="1:4" x14ac:dyDescent="0.2">
      <c r="A5731" s="5">
        <v>5670</v>
      </c>
      <c r="B5731" s="1825">
        <f>'Revenues 9-14'!G65</f>
        <v>0</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0</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0</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0</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0</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0</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0</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0</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0</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0</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0</v>
      </c>
      <c r="C6023" s="2" t="s">
        <v>569</v>
      </c>
      <c r="D6023" s="2" t="str">
        <f t="shared" si="93"/>
        <v>Error?</v>
      </c>
    </row>
    <row r="6024" spans="1:5" x14ac:dyDescent="0.2">
      <c r="A6024" s="5">
        <v>5963</v>
      </c>
      <c r="B6024" s="1825">
        <f>'Revenues 9-14'!G109</f>
        <v>0</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0</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0</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0</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0</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0</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0</v>
      </c>
      <c r="D6216" s="2" t="str">
        <f t="shared" si="96"/>
        <v>Error?</v>
      </c>
      <c r="E6216" s="2" t="s">
        <v>189</v>
      </c>
    </row>
    <row r="6217" spans="1:5" x14ac:dyDescent="0.2">
      <c r="A6217">
        <v>6156</v>
      </c>
      <c r="B6217" s="1825">
        <f>'Assets-Liab 5-6'!J4</f>
        <v>0</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0</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0</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0</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0</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0</v>
      </c>
      <c r="D6229" s="2" t="str">
        <f t="shared" si="96"/>
        <v>Error?</v>
      </c>
      <c r="E6229" s="2" t="s">
        <v>189</v>
      </c>
    </row>
    <row r="6230" spans="1:5" x14ac:dyDescent="0.2">
      <c r="A6230">
        <v>6169</v>
      </c>
      <c r="B6230" s="1825">
        <f>'Acct Summary 7-8'!J20</f>
        <v>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0</v>
      </c>
      <c r="D6263" s="2" t="str">
        <f t="shared" si="96"/>
        <v>Error?</v>
      </c>
      <c r="E6263" s="2" t="s">
        <v>189</v>
      </c>
    </row>
    <row r="6264" spans="1:5" x14ac:dyDescent="0.2">
      <c r="A6264">
        <v>6203</v>
      </c>
      <c r="B6264" s="1825">
        <f>'Acct Summary 7-8'!J79</f>
        <v>0</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0</v>
      </c>
      <c r="D6266" s="2" t="str">
        <f t="shared" si="96"/>
        <v>Error?</v>
      </c>
      <c r="E6266" s="2" t="s">
        <v>189</v>
      </c>
    </row>
    <row r="6267" spans="1:5" x14ac:dyDescent="0.2">
      <c r="A6267">
        <v>6206</v>
      </c>
      <c r="B6267" s="1825">
        <f>'Acct Summary 7-8'!C82</f>
        <v>97444</v>
      </c>
      <c r="D6267" s="2" t="str">
        <f t="shared" si="96"/>
        <v>Error?</v>
      </c>
      <c r="E6267" s="2" t="s">
        <v>189</v>
      </c>
    </row>
    <row r="6268" spans="1:5" x14ac:dyDescent="0.2">
      <c r="A6268">
        <v>6207</v>
      </c>
      <c r="B6268" s="1825">
        <f>'Acct Summary 7-8'!D82</f>
        <v>0</v>
      </c>
      <c r="D6268" s="2" t="str">
        <f t="shared" si="96"/>
        <v>Error?</v>
      </c>
      <c r="E6268" s="2" t="s">
        <v>189</v>
      </c>
    </row>
    <row r="6269" spans="1:5" x14ac:dyDescent="0.2">
      <c r="A6269">
        <v>6208</v>
      </c>
      <c r="B6269" s="1825">
        <f>'Acct Summary 7-8'!E82</f>
        <v>0</v>
      </c>
      <c r="D6269" s="2" t="str">
        <f t="shared" si="96"/>
        <v>Error?</v>
      </c>
      <c r="E6269" s="2" t="s">
        <v>189</v>
      </c>
    </row>
    <row r="6270" spans="1:5" x14ac:dyDescent="0.2">
      <c r="A6270">
        <v>6209</v>
      </c>
      <c r="B6270" s="1825">
        <f>'Acct Summary 7-8'!F82</f>
        <v>0</v>
      </c>
      <c r="D6270" s="2" t="str">
        <f t="shared" si="96"/>
        <v>Error?</v>
      </c>
      <c r="E6270" s="2" t="s">
        <v>189</v>
      </c>
    </row>
    <row r="6271" spans="1:5" x14ac:dyDescent="0.2">
      <c r="A6271">
        <v>6210</v>
      </c>
      <c r="B6271" s="1825">
        <f>'Acct Summary 7-8'!G82</f>
        <v>0</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0</v>
      </c>
      <c r="D6273" s="2" t="str">
        <f t="shared" si="97"/>
        <v>Error?</v>
      </c>
      <c r="E6273" s="2" t="s">
        <v>189</v>
      </c>
    </row>
    <row r="6274" spans="1:5" x14ac:dyDescent="0.2">
      <c r="A6274">
        <v>6213</v>
      </c>
      <c r="B6274" s="1825">
        <f>'Acct Summary 7-8'!J82</f>
        <v>0</v>
      </c>
      <c r="D6274" s="2" t="str">
        <f t="shared" si="97"/>
        <v>Error?</v>
      </c>
      <c r="E6274" s="2" t="s">
        <v>189</v>
      </c>
    </row>
    <row r="6275" spans="1:5" x14ac:dyDescent="0.2">
      <c r="A6275">
        <v>6214</v>
      </c>
      <c r="B6275" s="1825">
        <f>'Acct Summary 7-8'!K82</f>
        <v>0</v>
      </c>
      <c r="D6275" s="2" t="str">
        <f t="shared" si="97"/>
        <v>Error?</v>
      </c>
      <c r="E6275" s="2" t="s">
        <v>189</v>
      </c>
    </row>
    <row r="6276" spans="1:5" x14ac:dyDescent="0.2">
      <c r="A6276">
        <v>6215</v>
      </c>
      <c r="B6276" s="1825">
        <f>'Acct Summary 7-8'!C83</f>
        <v>0.13117852551374126</v>
      </c>
      <c r="D6276" s="2" t="str">
        <f t="shared" si="97"/>
        <v>Error?</v>
      </c>
      <c r="E6276" s="2" t="s">
        <v>189</v>
      </c>
    </row>
    <row r="6277" spans="1:5" x14ac:dyDescent="0.2">
      <c r="A6277">
        <v>6216</v>
      </c>
      <c r="B6277" s="1825" t="e">
        <f>'Acct Summary 7-8'!D83</f>
        <v>#DIV/0!</v>
      </c>
      <c r="D6277" s="2" t="e">
        <f t="shared" si="97"/>
        <v>#DIV/0!</v>
      </c>
      <c r="E6277" s="2" t="s">
        <v>189</v>
      </c>
    </row>
    <row r="6278" spans="1:5" x14ac:dyDescent="0.2">
      <c r="A6278">
        <v>6217</v>
      </c>
      <c r="B6278" s="1825" t="e">
        <f>'Acct Summary 7-8'!E83</f>
        <v>#DIV/0!</v>
      </c>
      <c r="D6278" s="2" t="e">
        <f t="shared" si="97"/>
        <v>#DIV/0!</v>
      </c>
      <c r="E6278" s="2" t="s">
        <v>189</v>
      </c>
    </row>
    <row r="6279" spans="1:5" x14ac:dyDescent="0.2">
      <c r="A6279">
        <v>6218</v>
      </c>
      <c r="B6279" s="1825" t="e">
        <f>'Acct Summary 7-8'!F83</f>
        <v>#DIV/0!</v>
      </c>
      <c r="D6279" s="2" t="e">
        <f t="shared" si="97"/>
        <v>#DIV/0!</v>
      </c>
      <c r="E6279" s="2" t="s">
        <v>189</v>
      </c>
    </row>
    <row r="6280" spans="1:5" x14ac:dyDescent="0.2">
      <c r="A6280">
        <v>6219</v>
      </c>
      <c r="B6280" s="1825" t="e">
        <f>'Acct Summary 7-8'!G83</f>
        <v>#DIV/0!</v>
      </c>
      <c r="D6280" s="2" t="e">
        <f t="shared" si="97"/>
        <v>#DIV/0!</v>
      </c>
      <c r="E6280" s="2" t="s">
        <v>189</v>
      </c>
    </row>
    <row r="6281" spans="1:5" x14ac:dyDescent="0.2">
      <c r="A6281">
        <v>6220</v>
      </c>
      <c r="B6281" s="1825" t="e">
        <f>'Acct Summary 7-8'!H83</f>
        <v>#DIV/0!</v>
      </c>
      <c r="D6281" s="2" t="e">
        <f t="shared" si="97"/>
        <v>#DIV/0!</v>
      </c>
      <c r="E6281" s="2" t="s">
        <v>189</v>
      </c>
    </row>
    <row r="6282" spans="1:5" x14ac:dyDescent="0.2">
      <c r="A6282">
        <v>6221</v>
      </c>
      <c r="B6282" s="1825" t="e">
        <f>'Acct Summary 7-8'!I83</f>
        <v>#DIV/0!</v>
      </c>
      <c r="D6282" s="2" t="e">
        <f t="shared" si="97"/>
        <v>#DIV/0!</v>
      </c>
      <c r="E6282" s="2" t="s">
        <v>189</v>
      </c>
    </row>
    <row r="6283" spans="1:5" x14ac:dyDescent="0.2">
      <c r="A6283">
        <v>6222</v>
      </c>
      <c r="B6283" s="1825" t="e">
        <f>'Acct Summary 7-8'!J83</f>
        <v>#DIV/0!</v>
      </c>
      <c r="D6283" s="2" t="e">
        <f t="shared" si="97"/>
        <v>#DIV/0!</v>
      </c>
      <c r="E6283" s="2" t="s">
        <v>189</v>
      </c>
    </row>
    <row r="6284" spans="1:5" x14ac:dyDescent="0.2">
      <c r="A6284">
        <v>6223</v>
      </c>
      <c r="B6284" s="1825" t="e">
        <f>'Acct Summary 7-8'!K83</f>
        <v>#DIV/0!</v>
      </c>
      <c r="D6284" s="2" t="e">
        <f t="shared" si="97"/>
        <v>#DIV/0!</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0</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0</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0</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0</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0</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0</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0</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0</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0</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0</v>
      </c>
      <c r="D7073" s="2" t="str">
        <f t="shared" si="109"/>
        <v>Error?</v>
      </c>
    </row>
    <row r="7074" spans="1:4" x14ac:dyDescent="0.2">
      <c r="A7074">
        <v>7013</v>
      </c>
      <c r="B7074" s="1825">
        <f>'Expenditures 15-22'!K216</f>
        <v>0</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0</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0</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0</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0</v>
      </c>
      <c r="D7224" s="2" t="str">
        <f t="shared" si="111"/>
        <v>Error?</v>
      </c>
    </row>
    <row r="7225" spans="1:4" x14ac:dyDescent="0.2">
      <c r="A7225">
        <v>7164</v>
      </c>
      <c r="B7225" s="1825">
        <f>'Expenditures 15-22'!K343</f>
        <v>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0</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55223</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0</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0</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0</v>
      </c>
      <c r="D7817" s="2" t="str">
        <f t="shared" si="128"/>
        <v>Error?</v>
      </c>
      <c r="E7817" s="4" t="s">
        <v>1969</v>
      </c>
    </row>
    <row r="7818" spans="1:5" x14ac:dyDescent="0.2">
      <c r="A7818">
        <v>7757</v>
      </c>
      <c r="B7818" s="1825">
        <f>'PCTC-OEPP 27-28'!F172</f>
        <v>0</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696922</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0</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0</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60662</v>
      </c>
      <c r="D7834" s="2" t="str">
        <f t="shared" si="129"/>
        <v>Error?</v>
      </c>
      <c r="E7834" s="4" t="s">
        <v>2001</v>
      </c>
    </row>
    <row r="7835" spans="1:5" x14ac:dyDescent="0.2">
      <c r="A7835">
        <v>7774</v>
      </c>
      <c r="B7835" s="1825">
        <f>'PCTC-OEPP 27-28'!F78</f>
        <v>636260</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t="str">
        <f>'PCTC-OEPP 27-28'!F80</f>
        <v xml:space="preserve"> Complete Line 79</v>
      </c>
      <c r="D7837" s="2" t="e">
        <f t="shared" si="129"/>
        <v>#VALUE!</v>
      </c>
      <c r="E7837" s="4" t="s">
        <v>2001</v>
      </c>
    </row>
    <row r="7838" spans="1:5" x14ac:dyDescent="0.2">
      <c r="A7838">
        <v>7777</v>
      </c>
      <c r="B7838" s="1825">
        <f>'PCTC-OEPP 27-28'!F96</f>
        <v>0</v>
      </c>
      <c r="D7838" s="2" t="str">
        <f t="shared" si="129"/>
        <v>Error?</v>
      </c>
      <c r="E7838" s="4" t="s">
        <v>2001</v>
      </c>
    </row>
    <row r="7839" spans="1:5" x14ac:dyDescent="0.2">
      <c r="A7839">
        <v>7778</v>
      </c>
      <c r="B7839" s="1825">
        <f>'PCTC-OEPP 27-28'!F102</f>
        <v>0</v>
      </c>
      <c r="D7839" s="2" t="str">
        <f t="shared" si="129"/>
        <v>Error?</v>
      </c>
      <c r="E7839" s="4" t="s">
        <v>2001</v>
      </c>
    </row>
    <row r="7840" spans="1:5" x14ac:dyDescent="0.2">
      <c r="A7840">
        <v>7779</v>
      </c>
      <c r="B7840" s="1825">
        <f>'PCTC-OEPP 27-28'!F103</f>
        <v>0</v>
      </c>
      <c r="D7840" s="2" t="str">
        <f t="shared" si="129"/>
        <v>Error?</v>
      </c>
      <c r="E7840" s="4" t="s">
        <v>2001</v>
      </c>
    </row>
    <row r="7841" spans="1:5" x14ac:dyDescent="0.2">
      <c r="A7841">
        <v>7780</v>
      </c>
      <c r="B7841" s="1825">
        <f>'PCTC-OEPP 27-28'!F104</f>
        <v>0</v>
      </c>
      <c r="D7841" s="2" t="str">
        <f t="shared" si="129"/>
        <v>Error?</v>
      </c>
      <c r="E7841" s="4" t="s">
        <v>2001</v>
      </c>
    </row>
    <row r="7842" spans="1:5" x14ac:dyDescent="0.2">
      <c r="A7842">
        <v>7781</v>
      </c>
      <c r="B7842" s="1825">
        <f>'PCTC-OEPP 27-28'!F106</f>
        <v>0</v>
      </c>
      <c r="D7842" s="2" t="str">
        <f t="shared" si="129"/>
        <v>Error?</v>
      </c>
      <c r="E7842" s="4" t="s">
        <v>2001</v>
      </c>
    </row>
    <row r="7843" spans="1:5" x14ac:dyDescent="0.2">
      <c r="A7843">
        <v>7782</v>
      </c>
      <c r="B7843" s="1825">
        <f>'PCTC-OEPP 27-28'!F107</f>
        <v>331293</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0</v>
      </c>
      <c r="D7846" s="2" t="str">
        <f t="shared" si="129"/>
        <v>Error?</v>
      </c>
      <c r="E7846" s="4" t="s">
        <v>2001</v>
      </c>
    </row>
    <row r="7847" spans="1:5" x14ac:dyDescent="0.2">
      <c r="A7847">
        <v>7786</v>
      </c>
      <c r="B7847" s="1825">
        <f>'PCTC-OEPP 27-28'!F112</f>
        <v>0</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50000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0</v>
      </c>
      <c r="D7857" s="2" t="str">
        <f t="shared" si="129"/>
        <v>Error?</v>
      </c>
      <c r="E7857" s="4" t="s">
        <v>2001</v>
      </c>
    </row>
    <row r="7858" spans="1:5" x14ac:dyDescent="0.2">
      <c r="A7858">
        <v>7797</v>
      </c>
      <c r="B7858" s="1825">
        <f>'PCTC-OEPP 27-28'!F126</f>
        <v>0</v>
      </c>
      <c r="D7858" s="2" t="str">
        <f t="shared" si="129"/>
        <v>Error?</v>
      </c>
      <c r="E7858" s="4" t="s">
        <v>2001</v>
      </c>
    </row>
    <row r="7859" spans="1:5" x14ac:dyDescent="0.2">
      <c r="A7859">
        <v>7798</v>
      </c>
      <c r="B7859" s="1825">
        <f>'PCTC-OEPP 27-28'!F127</f>
        <v>0</v>
      </c>
      <c r="D7859" s="2" t="str">
        <f t="shared" si="129"/>
        <v>Error?</v>
      </c>
      <c r="E7859" s="4" t="s">
        <v>2001</v>
      </c>
    </row>
    <row r="7860" spans="1:5" x14ac:dyDescent="0.2">
      <c r="A7860">
        <v>7799</v>
      </c>
      <c r="B7860" s="1825">
        <f>'PCTC-OEPP 27-28'!F128</f>
        <v>0</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0</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118018</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0</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0</v>
      </c>
      <c r="D7874" s="2" t="str">
        <f t="shared" si="129"/>
        <v>Error?</v>
      </c>
      <c r="E7874" s="4" t="s">
        <v>2001</v>
      </c>
    </row>
    <row r="7875" spans="1:5" x14ac:dyDescent="0.2">
      <c r="A7875">
        <v>7814</v>
      </c>
      <c r="B7875" s="1825">
        <f>'PCTC-OEPP 27-28'!F170</f>
        <v>0</v>
      </c>
      <c r="D7875" s="2" t="str">
        <f t="shared" si="129"/>
        <v>Error?</v>
      </c>
      <c r="E7875" s="4" t="s">
        <v>2001</v>
      </c>
    </row>
    <row r="7876" spans="1:5" x14ac:dyDescent="0.2">
      <c r="A7876">
        <v>7815</v>
      </c>
      <c r="B7876" s="1825">
        <f>'PCTC-OEPP 27-28'!F171</f>
        <v>0</v>
      </c>
      <c r="D7876" s="2" t="str">
        <f t="shared" si="129"/>
        <v>Error?</v>
      </c>
      <c r="E7876" s="4" t="s">
        <v>2001</v>
      </c>
    </row>
    <row r="7877" spans="1:5" x14ac:dyDescent="0.2">
      <c r="A7877">
        <v>7816</v>
      </c>
      <c r="B7877" s="1825">
        <f>'PCTC-OEPP 27-28'!F175</f>
        <v>499311</v>
      </c>
      <c r="D7877" s="2" t="str">
        <f t="shared" si="129"/>
        <v>Error?</v>
      </c>
      <c r="E7877" s="4" t="s">
        <v>2001</v>
      </c>
    </row>
    <row r="7878" spans="1:5" x14ac:dyDescent="0.2">
      <c r="A7878">
        <v>7817</v>
      </c>
      <c r="B7878" s="1825">
        <f>'PCTC-OEPP 27-28'!F176</f>
        <v>136949</v>
      </c>
      <c r="D7878" s="2" t="str">
        <f t="shared" si="129"/>
        <v>Error?</v>
      </c>
      <c r="E7878" s="4" t="s">
        <v>2001</v>
      </c>
    </row>
    <row r="7879" spans="1:5" x14ac:dyDescent="0.2">
      <c r="A7879">
        <v>7818</v>
      </c>
      <c r="B7879" s="1825">
        <f>'PCTC-OEPP 27-28'!F178</f>
        <v>192172</v>
      </c>
      <c r="D7879" s="2" t="str">
        <f t="shared" si="129"/>
        <v>Error?</v>
      </c>
      <c r="E7879" s="4" t="s">
        <v>2001</v>
      </c>
    </row>
    <row r="7880" spans="1:5" x14ac:dyDescent="0.2">
      <c r="A7880">
        <v>7819</v>
      </c>
      <c r="B7880" s="1825"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15" t="s">
        <v>1183</v>
      </c>
      <c r="B2" s="2515"/>
      <c r="C2" s="2515"/>
      <c r="D2" s="2515"/>
      <c r="E2" s="2515"/>
      <c r="F2" s="2515"/>
      <c r="G2" s="2515"/>
      <c r="H2" s="2515"/>
      <c r="I2" s="2515"/>
      <c r="J2" s="2515"/>
      <c r="K2" s="2515"/>
      <c r="L2" s="2515"/>
    </row>
    <row r="3" spans="1:29" ht="13.5" customHeight="1" x14ac:dyDescent="0.2">
      <c r="A3" s="2547" t="s">
        <v>1182</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38" t="str">
        <f>COVER!A17</f>
        <v xml:space="preserve">  Five County Reg Voc System</v>
      </c>
      <c r="B7" s="2539"/>
      <c r="C7" s="2539"/>
      <c r="D7" s="2540"/>
      <c r="E7" s="2541">
        <f>COVER!A13</f>
        <v>30002748045</v>
      </c>
      <c r="F7" s="2542"/>
      <c r="G7" s="2548" t="str">
        <f>COVER!T23</f>
        <v>066-003889</v>
      </c>
      <c r="H7" s="2549"/>
      <c r="I7" s="2549"/>
      <c r="J7" s="2549"/>
      <c r="K7" s="2549"/>
      <c r="L7" s="2550"/>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51"/>
      <c r="B9" s="2552"/>
      <c r="C9" s="2552"/>
      <c r="D9" s="2552"/>
      <c r="E9" s="2552"/>
      <c r="F9" s="2553"/>
      <c r="G9" s="2521" t="str">
        <f>COVER!T13</f>
        <v>Beussink, Hey, Roe &amp; Stroder, LLC</v>
      </c>
      <c r="H9" s="2554"/>
      <c r="I9" s="2554"/>
      <c r="J9" s="2554"/>
      <c r="K9" s="2554"/>
      <c r="L9" s="2555"/>
    </row>
    <row r="10" spans="1:29" ht="13.5" customHeight="1" x14ac:dyDescent="0.2">
      <c r="A10" s="2527">
        <f>COVER!A38</f>
        <v>0</v>
      </c>
      <c r="B10" s="2528"/>
      <c r="C10" s="2528"/>
      <c r="D10" s="2528"/>
      <c r="E10" s="2528"/>
      <c r="F10" s="2529"/>
      <c r="G10" s="2521" t="str">
        <f>COVER!T17</f>
        <v>16 South Silver Springs Road</v>
      </c>
      <c r="H10" s="2522"/>
      <c r="I10" s="2522"/>
      <c r="J10" s="2522"/>
      <c r="K10" s="2522"/>
      <c r="L10" s="2523"/>
    </row>
    <row r="11" spans="1:29" ht="13.5" customHeight="1" x14ac:dyDescent="0.2">
      <c r="A11" s="956" t="s">
        <v>1505</v>
      </c>
      <c r="B11" s="957"/>
      <c r="C11" s="958"/>
      <c r="D11" s="963"/>
      <c r="E11" s="958"/>
      <c r="F11" s="962"/>
      <c r="G11" s="2521" t="str">
        <f>COVER!T19</f>
        <v>Cape Girardeau</v>
      </c>
      <c r="H11" s="2522"/>
      <c r="I11" s="2522"/>
      <c r="J11" s="2522"/>
      <c r="K11" s="2522"/>
      <c r="L11" s="2523"/>
    </row>
    <row r="12" spans="1:29" ht="13.5" customHeight="1" x14ac:dyDescent="0.2">
      <c r="A12" s="2530" t="s">
        <v>1504</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1506</v>
      </c>
      <c r="H13" s="2517"/>
      <c r="I13" s="2533" t="str">
        <f>COVER!T25</f>
        <v>jstroder@bhrcpas.com</v>
      </c>
      <c r="J13" s="2534"/>
      <c r="K13" s="2534"/>
      <c r="L13" s="2535"/>
    </row>
    <row r="14" spans="1:29" ht="13.5" customHeight="1" x14ac:dyDescent="0.2">
      <c r="A14" s="2521" t="str">
        <f>COVER!A19</f>
        <v>Second &amp; Washington Street</v>
      </c>
      <c r="B14" s="2522"/>
      <c r="C14" s="2522"/>
      <c r="D14" s="2522"/>
      <c r="E14" s="2522"/>
      <c r="F14" s="2523"/>
      <c r="G14" s="967" t="s">
        <v>1177</v>
      </c>
      <c r="H14" s="965"/>
      <c r="I14" s="965"/>
      <c r="J14" s="965"/>
      <c r="K14" s="965"/>
      <c r="L14" s="966"/>
    </row>
    <row r="15" spans="1:29" ht="13.5" customHeight="1" x14ac:dyDescent="0.2">
      <c r="A15" s="2521" t="str">
        <f>COVER!A21</f>
        <v>Tamms</v>
      </c>
      <c r="B15" s="2522"/>
      <c r="C15" s="2522"/>
      <c r="D15" s="2522"/>
      <c r="E15" s="2522"/>
      <c r="F15" s="2523"/>
      <c r="G15" s="2518" t="str">
        <f>COVER!T15</f>
        <v>Jeffrey C. Stroder, CPA</v>
      </c>
      <c r="H15" s="2519"/>
      <c r="I15" s="2519"/>
      <c r="J15" s="2519"/>
      <c r="K15" s="2519"/>
      <c r="L15" s="2520"/>
    </row>
    <row r="16" spans="1:29" ht="12.2" customHeight="1" x14ac:dyDescent="0.2">
      <c r="A16" s="2544">
        <f>COVER!A25</f>
        <v>62988</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67" t="s">
        <v>1176</v>
      </c>
      <c r="H17" s="965"/>
      <c r="I17" s="965"/>
      <c r="J17" s="965"/>
      <c r="K17" s="969" t="s">
        <v>1175</v>
      </c>
      <c r="L17" s="962"/>
      <c r="M17" s="955"/>
    </row>
    <row r="18" spans="1:13" ht="12.2" customHeight="1" x14ac:dyDescent="0.2">
      <c r="A18" s="2527"/>
      <c r="B18" s="2528"/>
      <c r="C18" s="2528"/>
      <c r="D18" s="2528"/>
      <c r="E18" s="2528"/>
      <c r="F18" s="2529"/>
      <c r="G18" s="2538" t="str">
        <f>COVER!T21</f>
        <v>573-334-7971</v>
      </c>
      <c r="H18" s="2539"/>
      <c r="I18" s="2539"/>
      <c r="J18" s="2539"/>
      <c r="K18" s="2538" t="str">
        <f>COVER!X21</f>
        <v>573-334-8875</v>
      </c>
      <c r="L18" s="2543"/>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0" t="str">
        <f>'Single Audit Cover'!A7</f>
        <v xml:space="preserve">  Five County Reg Voc System</v>
      </c>
      <c r="B1" s="2561"/>
      <c r="C1" s="2561"/>
      <c r="D1" s="2561"/>
    </row>
    <row r="2" spans="1:11" s="984" customFormat="1" ht="12.75" x14ac:dyDescent="0.2">
      <c r="A2" s="2562">
        <f>'Single Audit Cover'!E7</f>
        <v>30002748045</v>
      </c>
      <c r="B2" s="2563"/>
      <c r="C2" s="2563"/>
      <c r="D2" s="2563"/>
    </row>
    <row r="3" spans="1:11" s="984" customFormat="1" ht="12.75" x14ac:dyDescent="0.2">
      <c r="A3" s="2560" t="s">
        <v>1499</v>
      </c>
      <c r="B3" s="2561"/>
      <c r="C3" s="2561"/>
      <c r="D3" s="2561"/>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7"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5" t="str">
        <f>'Single Audit Cover'!A7</f>
        <v xml:space="preserve">  Five County Reg Voc System</v>
      </c>
      <c r="B1" s="2565"/>
      <c r="C1" s="2565"/>
      <c r="D1" s="2565"/>
      <c r="E1" s="2565"/>
    </row>
    <row r="2" spans="1:5" x14ac:dyDescent="0.2">
      <c r="A2" s="2566">
        <f>'Single Audit Cover'!E7</f>
        <v>30002748045</v>
      </c>
      <c r="B2" s="2566"/>
      <c r="C2" s="2566"/>
      <c r="D2" s="2566"/>
      <c r="E2" s="2566"/>
    </row>
    <row r="3" spans="1:5" ht="4.5" customHeight="1" x14ac:dyDescent="0.2"/>
    <row r="4" spans="1:5" x14ac:dyDescent="0.2">
      <c r="A4" s="2565" t="s">
        <v>1236</v>
      </c>
      <c r="B4" s="2565"/>
      <c r="C4" s="2565"/>
      <c r="D4" s="2565"/>
      <c r="E4" s="2565"/>
    </row>
    <row r="5" spans="1:5" x14ac:dyDescent="0.2">
      <c r="A5" s="2568" t="str">
        <f>'Single Audit Cover'!A4</f>
        <v>Year Ending June 30, 2020</v>
      </c>
      <c r="B5" s="2568"/>
      <c r="C5" s="2568"/>
      <c r="D5" s="2568"/>
      <c r="E5" s="2568"/>
    </row>
    <row r="6" spans="1:5" x14ac:dyDescent="0.2">
      <c r="A6" s="2565" t="s">
        <v>1235</v>
      </c>
      <c r="B6" s="2565"/>
      <c r="C6" s="2565"/>
      <c r="D6" s="2565"/>
      <c r="E6" s="2565"/>
    </row>
    <row r="8" spans="1:5" x14ac:dyDescent="0.2">
      <c r="A8" s="1029" t="s">
        <v>1234</v>
      </c>
    </row>
    <row r="10" spans="1:5" x14ac:dyDescent="0.2">
      <c r="A10" s="1030" t="s">
        <v>1233</v>
      </c>
      <c r="B10" s="1031" t="s">
        <v>1232</v>
      </c>
      <c r="C10" s="1031"/>
      <c r="D10" s="1032">
        <f>SUM('Acct Summary 7-8'!C7:K7)</f>
        <v>118018</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0</v>
      </c>
    </row>
    <row r="19" spans="1:4" ht="13.5" thickBot="1" x14ac:dyDescent="0.25">
      <c r="A19" s="1034" t="s">
        <v>1226</v>
      </c>
      <c r="D19" s="1035">
        <f>SUM(D10:D17)</f>
        <v>118018</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7"/>
      <c r="B24" s="2567"/>
      <c r="D24" s="1037"/>
    </row>
    <row r="25" spans="1:4" x14ac:dyDescent="0.2">
      <c r="A25" s="2564"/>
      <c r="B25" s="2564"/>
      <c r="D25" s="1037"/>
    </row>
    <row r="26" spans="1:4" x14ac:dyDescent="0.2">
      <c r="A26" s="2564"/>
      <c r="B26" s="2564"/>
      <c r="D26" s="1037"/>
    </row>
    <row r="27" spans="1:4" x14ac:dyDescent="0.2">
      <c r="A27" s="2564"/>
      <c r="B27" s="2564"/>
      <c r="D27" s="1037"/>
    </row>
    <row r="28" spans="1:4" x14ac:dyDescent="0.2">
      <c r="A28" s="2564"/>
      <c r="B28" s="2564"/>
      <c r="D28" s="1037"/>
    </row>
    <row r="29" spans="1:4" x14ac:dyDescent="0.2">
      <c r="A29" s="2564"/>
      <c r="B29" s="2564"/>
      <c r="D29" s="1037"/>
    </row>
    <row r="30" spans="1:4" x14ac:dyDescent="0.2">
      <c r="A30" s="2564"/>
      <c r="B30" s="2564"/>
      <c r="D30" s="1037"/>
    </row>
    <row r="32" spans="1:4" x14ac:dyDescent="0.2">
      <c r="A32" s="1029" t="s">
        <v>1224</v>
      </c>
      <c r="D32" s="1032">
        <f>SUM(D19:D30)</f>
        <v>118018</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64"/>
      <c r="B40" s="2564"/>
      <c r="D40" s="1037"/>
    </row>
    <row r="41" spans="1:4" x14ac:dyDescent="0.2">
      <c r="A41" s="2564"/>
      <c r="B41" s="2564"/>
      <c r="D41" s="1040"/>
    </row>
    <row r="42" spans="1:4" x14ac:dyDescent="0.2">
      <c r="A42" s="2564"/>
      <c r="B42" s="2564"/>
      <c r="D42" s="1040"/>
    </row>
    <row r="43" spans="1:4" x14ac:dyDescent="0.2">
      <c r="A43" s="2564"/>
      <c r="B43" s="2564"/>
      <c r="D43" s="1040"/>
    </row>
    <row r="44" spans="1:4" x14ac:dyDescent="0.2">
      <c r="A44" s="2564"/>
      <c r="B44" s="2564"/>
      <c r="D44" s="1040"/>
    </row>
    <row r="45" spans="1:4" x14ac:dyDescent="0.2">
      <c r="A45" s="2564"/>
      <c r="B45" s="2564"/>
      <c r="D45" s="1040"/>
    </row>
    <row r="47" spans="1:4" x14ac:dyDescent="0.2">
      <c r="B47" s="1041" t="s">
        <v>1218</v>
      </c>
      <c r="C47" s="1041"/>
      <c r="D47" s="1042">
        <f>SUM(D35:D45)</f>
        <v>0</v>
      </c>
    </row>
    <row r="49" spans="2:4" x14ac:dyDescent="0.2">
      <c r="B49" s="1041" t="s">
        <v>1217</v>
      </c>
      <c r="C49" s="1041"/>
      <c r="D49" s="1042">
        <f>D32-D47</f>
        <v>118018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Five County Reg Voc System</v>
      </c>
      <c r="C1" s="2569"/>
      <c r="D1" s="2569"/>
      <c r="E1" s="2569"/>
      <c r="F1" s="2569"/>
      <c r="G1" s="2569"/>
      <c r="H1" s="2569"/>
      <c r="I1" s="2569"/>
      <c r="J1" s="2569"/>
      <c r="K1" s="2569"/>
      <c r="L1" s="2569"/>
      <c r="M1" s="2569"/>
    </row>
    <row r="2" spans="2:14" ht="15" x14ac:dyDescent="0.2">
      <c r="B2" s="2570">
        <f>'Single Audit Cover'!E7</f>
        <v>30002748045</v>
      </c>
      <c r="C2" s="2570"/>
      <c r="D2" s="2570"/>
      <c r="E2" s="2570"/>
      <c r="F2" s="2570"/>
      <c r="G2" s="2570"/>
      <c r="H2" s="2570"/>
      <c r="I2" s="2570"/>
      <c r="J2" s="2570"/>
      <c r="K2" s="2570"/>
      <c r="L2" s="2570"/>
      <c r="M2" s="2570"/>
      <c r="N2" s="1071"/>
    </row>
    <row r="3" spans="2:14" ht="15" x14ac:dyDescent="0.2">
      <c r="B3" s="2571" t="s">
        <v>1210</v>
      </c>
      <c r="C3" s="2571"/>
      <c r="D3" s="2571"/>
      <c r="E3" s="2571"/>
      <c r="F3" s="2571"/>
      <c r="G3" s="2571"/>
      <c r="H3" s="2571"/>
      <c r="I3" s="2571"/>
      <c r="J3" s="2571"/>
      <c r="K3" s="2571"/>
      <c r="L3" s="2571"/>
      <c r="M3" s="2571"/>
      <c r="N3" s="1071"/>
    </row>
    <row r="4" spans="2:14" ht="15" x14ac:dyDescent="0.2">
      <c r="B4" s="2572" t="str">
        <f>'Single Audit Cover'!A4</f>
        <v>Year Ending June 30, 2020</v>
      </c>
      <c r="C4" s="2572"/>
      <c r="D4" s="2572"/>
      <c r="E4" s="2572"/>
      <c r="F4" s="2572"/>
      <c r="G4" s="2572"/>
      <c r="H4" s="2572"/>
      <c r="I4" s="2572"/>
      <c r="J4" s="2572"/>
      <c r="K4" s="2572"/>
      <c r="L4" s="2572"/>
      <c r="M4" s="2572"/>
      <c r="N4" s="1071"/>
    </row>
    <row r="5" spans="2:14" x14ac:dyDescent="0.2">
      <c r="H5" s="1906"/>
      <c r="J5" s="1906"/>
    </row>
    <row r="6" spans="2:14" x14ac:dyDescent="0.2">
      <c r="B6" s="1072"/>
      <c r="C6" s="1073"/>
      <c r="D6" s="1074" t="s">
        <v>1256</v>
      </c>
      <c r="E6" s="1075" t="s">
        <v>524</v>
      </c>
      <c r="F6" s="1076"/>
      <c r="G6" s="1077" t="s">
        <v>1714</v>
      </c>
      <c r="H6" s="1075"/>
      <c r="I6" s="1075"/>
      <c r="J6" s="1907"/>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5" t="str">
        <f>"7/1/"&amp;MID('AFR20'!$E$2,3,2)-2&amp;"-6/30/"&amp;MID('AFR20'!$E$2,3,2)-1</f>
        <v>7/1/18-6/30/19</v>
      </c>
      <c r="F9" s="1905" t="str">
        <f>"7/1/"&amp;MID('AFR20'!$E$2,3,2)-1&amp;"-6/30/"&amp;MID('AFR20'!$E$2,3,2)</f>
        <v>7/1/19-6/30/20</v>
      </c>
      <c r="G9" s="1905" t="str">
        <f>"7/1/"&amp;MID('AFR20'!$E$2,3,2)-2&amp;"-6/30/"&amp;MID('AFR20'!$E$2,3,2)-1</f>
        <v>7/1/18-6/30/19</v>
      </c>
      <c r="H9" s="1086" t="s">
        <v>1568</v>
      </c>
      <c r="I9" s="1905"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Five County Reg Voc System</v>
      </c>
      <c r="B1" s="2582"/>
      <c r="C1" s="2582"/>
      <c r="D1" s="2582"/>
      <c r="E1" s="2582"/>
      <c r="F1" s="2582"/>
    </row>
    <row r="2" spans="1:7" ht="13.5" customHeight="1" x14ac:dyDescent="0.2">
      <c r="A2" s="2570">
        <f>'Single Audit Cover'!E7</f>
        <v>30002748045</v>
      </c>
      <c r="B2" s="2570"/>
      <c r="C2" s="2570"/>
      <c r="D2" s="2570"/>
      <c r="E2" s="2570"/>
      <c r="F2" s="2570"/>
      <c r="G2" s="1044"/>
    </row>
    <row r="3" spans="1:7" ht="15.75" customHeight="1" x14ac:dyDescent="0.2">
      <c r="A3" s="2583" t="s">
        <v>1262</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45" t="s">
        <v>1708</v>
      </c>
      <c r="C6" s="295"/>
      <c r="D6" s="295"/>
    </row>
    <row r="7" spans="1:7" ht="60.95" customHeight="1" x14ac:dyDescent="0.2">
      <c r="A7" s="2581" t="s">
        <v>1709</v>
      </c>
      <c r="B7" s="2581"/>
      <c r="C7" s="2581"/>
      <c r="D7" s="2581"/>
      <c r="E7" s="2581"/>
      <c r="F7" s="2581"/>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81" t="s">
        <v>1711</v>
      </c>
      <c r="B13" s="2581"/>
      <c r="C13" s="2581"/>
      <c r="D13" s="2581"/>
      <c r="E13" s="2581"/>
      <c r="F13" s="2581"/>
    </row>
    <row r="14" spans="1:7" ht="9.75" customHeight="1" x14ac:dyDescent="0.2">
      <c r="C14" s="1029"/>
      <c r="D14" s="1029"/>
    </row>
    <row r="15" spans="1:7" ht="13.5" customHeight="1" x14ac:dyDescent="0.2">
      <c r="C15" s="1469" t="s">
        <v>1261</v>
      </c>
      <c r="D15" s="2579" t="s">
        <v>1260</v>
      </c>
      <c r="E15" s="2579"/>
      <c r="F15" s="2579"/>
    </row>
    <row r="16" spans="1:7" ht="13.5" customHeight="1" x14ac:dyDescent="0.2">
      <c r="A16" s="1051"/>
      <c r="B16" s="1045" t="s">
        <v>1259</v>
      </c>
      <c r="C16" s="1469" t="s">
        <v>1258</v>
      </c>
      <c r="D16" s="2580" t="s">
        <v>1574</v>
      </c>
      <c r="E16" s="2580"/>
      <c r="F16" s="2580"/>
    </row>
    <row r="17" spans="1:6" ht="20.45" customHeight="1" x14ac:dyDescent="0.2">
      <c r="A17" s="1052"/>
      <c r="B17" s="1053"/>
      <c r="C17" s="1054"/>
      <c r="D17" s="2574"/>
      <c r="E17" s="2574"/>
      <c r="F17" s="2574"/>
    </row>
    <row r="18" spans="1:6" ht="20.65" customHeight="1" x14ac:dyDescent="0.2">
      <c r="A18" s="1052"/>
      <c r="B18" s="1053"/>
      <c r="C18" s="1054"/>
      <c r="D18" s="2574"/>
      <c r="E18" s="2574"/>
      <c r="F18" s="2574"/>
    </row>
    <row r="19" spans="1:6" ht="20.65" customHeight="1" x14ac:dyDescent="0.2">
      <c r="A19" s="1052"/>
      <c r="B19" s="1053"/>
      <c r="C19" s="1054"/>
      <c r="D19" s="2574"/>
      <c r="E19" s="2574"/>
      <c r="F19" s="2574"/>
    </row>
    <row r="20" spans="1:6" ht="20.65" customHeight="1" x14ac:dyDescent="0.2">
      <c r="A20" s="1052"/>
      <c r="B20" s="1053"/>
      <c r="C20" s="1054"/>
      <c r="D20" s="2574"/>
      <c r="E20" s="2574"/>
      <c r="F20" s="2574"/>
    </row>
    <row r="21" spans="1:6" ht="20.65" customHeight="1" x14ac:dyDescent="0.2">
      <c r="A21" s="1052"/>
      <c r="B21" s="1053"/>
      <c r="C21" s="1054"/>
      <c r="D21" s="2574"/>
      <c r="E21" s="2574"/>
      <c r="F21" s="2574"/>
    </row>
    <row r="22" spans="1:6" ht="20.65" customHeight="1" x14ac:dyDescent="0.2">
      <c r="A22" s="1052"/>
      <c r="B22" s="1053"/>
      <c r="C22" s="1054"/>
      <c r="D22" s="2574"/>
      <c r="E22" s="2574"/>
      <c r="F22" s="2574"/>
    </row>
    <row r="23" spans="1:6" ht="20.65" customHeight="1" x14ac:dyDescent="0.2">
      <c r="A23" s="1052"/>
      <c r="B23" s="1053"/>
      <c r="C23" s="1054"/>
      <c r="D23" s="2574"/>
      <c r="E23" s="2574"/>
      <c r="F23" s="2574"/>
    </row>
    <row r="24" spans="1:6" ht="20.65" customHeight="1" x14ac:dyDescent="0.2">
      <c r="A24" s="1052"/>
      <c r="B24" s="1053"/>
      <c r="C24" s="1054"/>
      <c r="D24" s="2574"/>
      <c r="E24" s="2574"/>
      <c r="F24" s="2574"/>
    </row>
    <row r="25" spans="1:6" ht="20.65" customHeight="1" x14ac:dyDescent="0.2">
      <c r="A25" s="1052"/>
      <c r="B25" s="1053"/>
      <c r="C25" s="1054"/>
      <c r="D25" s="2574"/>
      <c r="E25" s="2574"/>
      <c r="F25" s="2574"/>
    </row>
    <row r="26" spans="1:6" ht="20.65" customHeight="1" x14ac:dyDescent="0.2">
      <c r="A26" s="1052"/>
      <c r="B26" s="1053"/>
      <c r="C26" s="1054"/>
      <c r="D26" s="2574"/>
      <c r="E26" s="2574"/>
      <c r="F26" s="2574"/>
    </row>
    <row r="27" spans="1:6" ht="20.65" customHeight="1" x14ac:dyDescent="0.2">
      <c r="A27" s="1052"/>
      <c r="B27" s="1053"/>
      <c r="C27" s="1054"/>
      <c r="D27" s="2574"/>
      <c r="E27" s="2574"/>
      <c r="F27" s="2574"/>
    </row>
    <row r="28" spans="1:6" ht="20.65" customHeight="1" x14ac:dyDescent="0.2">
      <c r="A28" s="1052"/>
      <c r="B28" s="1053"/>
      <c r="C28" s="1054"/>
      <c r="D28" s="2574"/>
      <c r="E28" s="2574"/>
      <c r="F28" s="2574"/>
    </row>
    <row r="29" spans="1:6" ht="20.65" customHeight="1" x14ac:dyDescent="0.2">
      <c r="A29" s="1052"/>
      <c r="B29" s="1053"/>
      <c r="C29" s="1054"/>
      <c r="D29" s="2574"/>
      <c r="E29" s="2574"/>
      <c r="F29" s="2574"/>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5" t="s">
        <v>1712</v>
      </c>
      <c r="B32" s="2575"/>
      <c r="C32" s="2575"/>
      <c r="D32" s="2575"/>
      <c r="E32" s="2575"/>
      <c r="F32" s="2575"/>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6">
        <f>+C33+C34</f>
        <v>0</v>
      </c>
      <c r="F34" s="2577"/>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8" t="s">
        <v>1576</v>
      </c>
      <c r="C49" s="2578"/>
      <c r="D49" s="2578"/>
      <c r="E49" s="1161"/>
    </row>
    <row r="50" spans="1:5" s="1069" customFormat="1" ht="3.75" customHeight="1" x14ac:dyDescent="0.2">
      <c r="A50" s="1068"/>
      <c r="B50" s="1468"/>
      <c r="C50" s="1468"/>
      <c r="D50" s="1468"/>
      <c r="E50" s="1161"/>
    </row>
    <row r="51" spans="1:5" s="1069" customFormat="1" ht="20.25" customHeight="1" x14ac:dyDescent="0.2">
      <c r="A51" s="1070">
        <v>6</v>
      </c>
      <c r="B51" s="2573" t="s">
        <v>1537</v>
      </c>
      <c r="C51" s="2573"/>
      <c r="D51" s="2573"/>
    </row>
    <row r="52" spans="1:5" ht="14.25" customHeight="1" x14ac:dyDescent="0.2">
      <c r="A52" s="1070"/>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Five County Reg Voc System</v>
      </c>
      <c r="C1" s="2597"/>
      <c r="D1" s="2597"/>
      <c r="E1" s="2597"/>
      <c r="F1" s="2597"/>
      <c r="G1" s="2597"/>
      <c r="H1" s="2597"/>
      <c r="I1" s="2597"/>
      <c r="J1" s="1171"/>
    </row>
    <row r="2" spans="2:10" s="295" customFormat="1" ht="12.75" customHeight="1" x14ac:dyDescent="0.2">
      <c r="B2" s="2598">
        <f>'Single Audit Cover'!E7</f>
        <v>30002748045</v>
      </c>
      <c r="C2" s="2599"/>
      <c r="D2" s="2599"/>
      <c r="E2" s="2599"/>
      <c r="F2" s="2599"/>
      <c r="G2" s="2599"/>
      <c r="H2" s="2599"/>
      <c r="I2" s="2599"/>
      <c r="J2" s="1171"/>
    </row>
    <row r="3" spans="2:10" s="295" customFormat="1" ht="12.75" customHeight="1" x14ac:dyDescent="0.2">
      <c r="B3" s="2600" t="s">
        <v>1276</v>
      </c>
      <c r="C3" s="2601"/>
      <c r="D3" s="2601"/>
      <c r="E3" s="2601"/>
      <c r="F3" s="2601"/>
      <c r="G3" s="2601"/>
      <c r="H3" s="2601"/>
      <c r="I3" s="2601"/>
      <c r="J3" s="1172"/>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0" t="s">
        <v>1275</v>
      </c>
      <c r="C7" s="2601"/>
      <c r="D7" s="2601"/>
      <c r="E7" s="2601"/>
      <c r="F7" s="2601"/>
      <c r="G7" s="2601"/>
      <c r="H7" s="2601"/>
      <c r="I7" s="2601"/>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02"/>
      <c r="D11" s="2602"/>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03"/>
      <c r="E29" s="2603"/>
      <c r="F29" s="2603"/>
      <c r="G29" s="2603"/>
      <c r="H29" s="2603"/>
      <c r="I29" s="2603"/>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604" t="s">
        <v>1731</v>
      </c>
      <c r="D37" s="2605"/>
      <c r="E37" s="2605"/>
      <c r="F37" s="2606"/>
      <c r="G37" s="2604" t="s">
        <v>1578</v>
      </c>
      <c r="H37" s="2605"/>
      <c r="I37" s="2606"/>
    </row>
    <row r="38" spans="2:9" ht="16.5" customHeight="1" x14ac:dyDescent="0.2">
      <c r="B38" s="1193"/>
      <c r="C38" s="2592"/>
      <c r="D38" s="2593"/>
      <c r="E38" s="2593"/>
      <c r="F38" s="2594"/>
      <c r="G38" s="2607"/>
      <c r="H38" s="2608"/>
      <c r="I38" s="2609"/>
    </row>
    <row r="39" spans="2:9" ht="16.5" customHeight="1" x14ac:dyDescent="0.2">
      <c r="B39" s="1193"/>
      <c r="C39" s="2592"/>
      <c r="D39" s="2593"/>
      <c r="E39" s="2593"/>
      <c r="F39" s="2594"/>
      <c r="G39" s="2595"/>
      <c r="H39" s="2595"/>
      <c r="I39" s="2595"/>
    </row>
    <row r="40" spans="2:9" ht="16.5" customHeight="1" x14ac:dyDescent="0.2">
      <c r="B40" s="1193"/>
      <c r="C40" s="2592"/>
      <c r="D40" s="2593"/>
      <c r="E40" s="2593"/>
      <c r="F40" s="2594"/>
      <c r="G40" s="2595"/>
      <c r="H40" s="2595"/>
      <c r="I40" s="2595"/>
    </row>
    <row r="41" spans="2:9" ht="16.5" customHeight="1" x14ac:dyDescent="0.2">
      <c r="B41" s="1193"/>
      <c r="C41" s="2592"/>
      <c r="D41" s="2593"/>
      <c r="E41" s="2593"/>
      <c r="F41" s="2594"/>
      <c r="G41" s="2595"/>
      <c r="H41" s="2595"/>
      <c r="I41" s="2595"/>
    </row>
    <row r="42" spans="2:9" ht="16.5" customHeight="1" x14ac:dyDescent="0.2">
      <c r="B42" s="1193"/>
      <c r="C42" s="2592"/>
      <c r="D42" s="2593"/>
      <c r="E42" s="2593"/>
      <c r="F42" s="2594"/>
      <c r="G42" s="2595"/>
      <c r="H42" s="2595"/>
      <c r="I42" s="2595"/>
    </row>
    <row r="43" spans="2:9" ht="16.5" customHeight="1" x14ac:dyDescent="0.2">
      <c r="B43" s="1193"/>
      <c r="C43" s="2585" t="s">
        <v>1579</v>
      </c>
      <c r="D43" s="2586"/>
      <c r="E43" s="2586"/>
      <c r="F43" s="2587"/>
      <c r="G43" s="2588">
        <f>SUM(G38:I42)</f>
        <v>0</v>
      </c>
      <c r="H43" s="2588"/>
      <c r="I43" s="2588"/>
    </row>
    <row r="44" spans="2:9" ht="12.75" customHeight="1" x14ac:dyDescent="0.2"/>
    <row r="45" spans="2:9" ht="12.75" customHeight="1" x14ac:dyDescent="0.2">
      <c r="B45" s="1908" t="str">
        <f>"Total Federal Expenditures for 7/1/"&amp;MID('AFR20'!E2,3,2)-1&amp;"-6/30/"&amp;MID('AFR20'!E2,3,2)</f>
        <v>Total Federal Expenditures for 7/1/19-6/30/20</v>
      </c>
      <c r="C45" s="1909"/>
      <c r="D45" s="2589">
        <v>0</v>
      </c>
      <c r="E45" s="2590"/>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591"/>
      <c r="F49" s="2591"/>
      <c r="G49" s="2591"/>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Five County Reg Voc System</v>
      </c>
      <c r="C1" s="2596"/>
      <c r="D1" s="2596"/>
      <c r="E1" s="2596"/>
      <c r="F1" s="2596"/>
      <c r="G1" s="2596"/>
      <c r="H1" s="2596"/>
      <c r="I1" s="2596"/>
      <c r="J1" s="2596"/>
      <c r="K1" s="2596"/>
      <c r="L1" s="1137"/>
      <c r="M1" s="1137"/>
    </row>
    <row r="2" spans="1:13" ht="12" customHeight="1" x14ac:dyDescent="0.2">
      <c r="B2" s="2598">
        <f>'Single Audit Cover'!E7</f>
        <v>30002748045</v>
      </c>
      <c r="C2" s="2598"/>
      <c r="D2" s="2598"/>
      <c r="E2" s="2598"/>
      <c r="F2" s="2598"/>
      <c r="G2" s="2598"/>
      <c r="H2" s="2598"/>
      <c r="I2" s="2598"/>
      <c r="J2" s="2598"/>
      <c r="K2" s="2598"/>
      <c r="L2" s="1138"/>
      <c r="M2" s="1139"/>
    </row>
    <row r="3" spans="1:13" ht="10.35" customHeight="1" x14ac:dyDescent="0.2">
      <c r="B3" s="2612" t="s">
        <v>1276</v>
      </c>
      <c r="C3" s="2612"/>
      <c r="D3" s="2612"/>
      <c r="E3" s="2612"/>
      <c r="F3" s="2612"/>
      <c r="G3" s="2612"/>
      <c r="H3" s="2612"/>
      <c r="I3" s="2612"/>
      <c r="J3" s="2612"/>
      <c r="K3" s="2612"/>
      <c r="L3" s="1140"/>
      <c r="M3" s="1140"/>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3" t="s">
        <v>1287</v>
      </c>
      <c r="C7" s="2613"/>
      <c r="D7" s="2614"/>
      <c r="E7" s="2614"/>
      <c r="F7" s="2614"/>
      <c r="G7" s="2614"/>
      <c r="H7" s="2614"/>
      <c r="I7" s="2614"/>
      <c r="J7" s="2614"/>
      <c r="K7" s="2614"/>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10" t="str">
        <f>'AFR20'!$E$2&amp;"-"</f>
        <v>2020-</v>
      </c>
      <c r="D10" s="1148">
        <v>1</v>
      </c>
      <c r="E10" s="300"/>
      <c r="F10" s="1149" t="s">
        <v>1286</v>
      </c>
      <c r="G10" s="1150" t="s">
        <v>2021</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1" t="s">
        <v>2090</v>
      </c>
      <c r="C14" s="2611"/>
      <c r="D14" s="2611"/>
      <c r="E14" s="2611"/>
      <c r="F14" s="2611"/>
      <c r="G14" s="2611"/>
      <c r="H14" s="2611"/>
      <c r="I14" s="2611"/>
      <c r="J14" s="2611"/>
      <c r="K14" s="2611"/>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1" t="s">
        <v>2091</v>
      </c>
      <c r="C17" s="2611"/>
      <c r="D17" s="2611"/>
      <c r="E17" s="2611"/>
      <c r="F17" s="2611"/>
      <c r="G17" s="2611"/>
      <c r="H17" s="2611"/>
      <c r="I17" s="2611"/>
      <c r="J17" s="2611"/>
      <c r="K17" s="2611"/>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5" t="s">
        <v>2092</v>
      </c>
      <c r="C20" s="2615"/>
      <c r="D20" s="2611"/>
      <c r="E20" s="2611"/>
      <c r="F20" s="2611"/>
      <c r="G20" s="2611"/>
      <c r="H20" s="2611"/>
      <c r="I20" s="2611"/>
      <c r="J20" s="2611"/>
      <c r="K20" s="2611"/>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1" t="s">
        <v>2093</v>
      </c>
      <c r="C23" s="2611"/>
      <c r="D23" s="2611"/>
      <c r="E23" s="2611"/>
      <c r="F23" s="2611"/>
      <c r="G23" s="2611"/>
      <c r="H23" s="2611"/>
      <c r="I23" s="2611"/>
      <c r="J23" s="2611"/>
      <c r="K23" s="2611"/>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1" t="s">
        <v>2094</v>
      </c>
      <c r="C26" s="2611"/>
      <c r="D26" s="2611"/>
      <c r="E26" s="2611"/>
      <c r="F26" s="2611"/>
      <c r="G26" s="2611"/>
      <c r="H26" s="2611"/>
      <c r="I26" s="2611"/>
      <c r="J26" s="2611"/>
      <c r="K26" s="2611"/>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0" t="s">
        <v>2095</v>
      </c>
      <c r="C29" s="2610"/>
      <c r="D29" s="2611"/>
      <c r="E29" s="2611"/>
      <c r="F29" s="2611"/>
      <c r="G29" s="2611"/>
      <c r="H29" s="2611"/>
      <c r="I29" s="2611"/>
      <c r="J29" s="2611"/>
      <c r="K29" s="2611"/>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10" t="s">
        <v>2096</v>
      </c>
      <c r="C32" s="2610"/>
      <c r="D32" s="2611"/>
      <c r="E32" s="2611"/>
      <c r="F32" s="2611"/>
      <c r="G32" s="2611"/>
      <c r="H32" s="2611"/>
      <c r="I32" s="2611"/>
      <c r="J32" s="2611"/>
      <c r="K32" s="2611"/>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Five County Reg Voc System</v>
      </c>
      <c r="C1" s="2619"/>
      <c r="D1" s="2619"/>
      <c r="E1" s="2619"/>
      <c r="F1" s="2619"/>
      <c r="G1" s="2619"/>
      <c r="H1" s="2619"/>
      <c r="I1" s="2619"/>
      <c r="J1" s="2619"/>
      <c r="K1" s="2619"/>
      <c r="L1" s="1214"/>
    </row>
    <row r="2" spans="1:12" ht="12.75" customHeight="1" x14ac:dyDescent="0.2">
      <c r="B2" s="2620">
        <f>'Single Audit Cover'!E7</f>
        <v>30002748045</v>
      </c>
      <c r="C2" s="2620"/>
      <c r="D2" s="2620"/>
      <c r="E2" s="2620"/>
      <c r="F2" s="2620"/>
      <c r="G2" s="2620"/>
      <c r="H2" s="2620"/>
      <c r="I2" s="2620"/>
      <c r="J2" s="2620"/>
      <c r="K2" s="2620"/>
      <c r="L2" s="1215"/>
    </row>
    <row r="3" spans="1:12" ht="12.75" customHeight="1" x14ac:dyDescent="0.2">
      <c r="B3" s="2612" t="s">
        <v>1276</v>
      </c>
      <c r="C3" s="2612"/>
      <c r="D3" s="2612"/>
      <c r="E3" s="2612"/>
      <c r="F3" s="2612"/>
      <c r="G3" s="2612"/>
      <c r="H3" s="2612"/>
      <c r="I3" s="2612"/>
      <c r="J3" s="2612"/>
      <c r="K3" s="2612"/>
      <c r="L3" s="1140"/>
    </row>
    <row r="4" spans="1:12" ht="12.75" customHeight="1" x14ac:dyDescent="0.2">
      <c r="B4" s="2612" t="str">
        <f>'Single Audit Cover'!A4</f>
        <v>Year Ending June 30, 2020</v>
      </c>
      <c r="C4" s="2612"/>
      <c r="D4" s="2612"/>
      <c r="E4" s="2612"/>
      <c r="F4" s="2612"/>
      <c r="G4" s="2612"/>
      <c r="H4" s="2612"/>
      <c r="I4" s="2612"/>
      <c r="J4" s="2612"/>
      <c r="K4" s="2612"/>
      <c r="L4" s="1140"/>
    </row>
    <row r="5" spans="1:12" ht="5.25" customHeight="1" x14ac:dyDescent="0.2">
      <c r="B5" s="1029" t="s">
        <v>1161</v>
      </c>
      <c r="C5" s="1029"/>
      <c r="L5" s="300"/>
    </row>
    <row r="6" spans="1:12" ht="30.75" customHeight="1" x14ac:dyDescent="0.2">
      <c r="A6" s="300"/>
      <c r="B6" s="2621" t="s">
        <v>1299</v>
      </c>
      <c r="C6" s="2621"/>
      <c r="D6" s="2621"/>
      <c r="E6" s="2621"/>
      <c r="F6" s="2621"/>
      <c r="G6" s="2621"/>
      <c r="H6" s="2621"/>
      <c r="I6" s="2621"/>
      <c r="J6" s="2621"/>
      <c r="K6" s="2621"/>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10"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03"/>
      <c r="G12" s="2603"/>
      <c r="H12" s="2603"/>
      <c r="I12" s="2603"/>
      <c r="J12" s="2603"/>
      <c r="K12" s="260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6"/>
      <c r="E14" s="2616"/>
      <c r="F14" s="2616"/>
      <c r="H14" s="1223" t="s">
        <v>1294</v>
      </c>
      <c r="I14" s="2617"/>
      <c r="J14" s="2617"/>
      <c r="K14" s="2617"/>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7"/>
      <c r="E16" s="2617"/>
      <c r="F16" s="2617"/>
      <c r="G16" s="2617"/>
      <c r="H16" s="2617"/>
      <c r="I16" s="2617"/>
      <c r="J16" s="2617"/>
      <c r="K16" s="2617"/>
      <c r="L16" s="300"/>
    </row>
    <row r="17" spans="2:12" ht="13.5" customHeight="1" x14ac:dyDescent="0.2">
      <c r="B17" s="1149" t="s">
        <v>1292</v>
      </c>
      <c r="C17" s="1149"/>
      <c r="D17" s="2618"/>
      <c r="E17" s="2618"/>
      <c r="F17" s="2618"/>
      <c r="G17" s="2618"/>
      <c r="H17" s="2618"/>
      <c r="I17" s="2618"/>
      <c r="J17" s="2618"/>
      <c r="K17" s="261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1"/>
      <c r="C20" s="2611"/>
      <c r="D20" s="2611"/>
      <c r="E20" s="2611"/>
      <c r="F20" s="2611"/>
      <c r="G20" s="2611"/>
      <c r="H20" s="2611"/>
      <c r="I20" s="2611"/>
      <c r="J20" s="2611"/>
      <c r="K20" s="2611"/>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6" t="str">
        <f>'Single Audit Cover'!A7</f>
        <v xml:space="preserve">  Five County Reg Voc System</v>
      </c>
      <c r="C1" s="2596"/>
      <c r="D1" s="2596"/>
      <c r="E1" s="1233"/>
    </row>
    <row r="2" spans="2:5" s="1051" customFormat="1" ht="12.75" customHeight="1" x14ac:dyDescent="0.2">
      <c r="B2" s="2598">
        <f>'Single Audit Cover'!E7</f>
        <v>30002748045</v>
      </c>
      <c r="C2" s="2598"/>
      <c r="D2" s="2598"/>
      <c r="E2" s="1234"/>
    </row>
    <row r="3" spans="2:5" ht="12.75" customHeight="1" x14ac:dyDescent="0.2">
      <c r="B3" s="2612" t="s">
        <v>1746</v>
      </c>
      <c r="C3" s="2612"/>
      <c r="D3" s="2612"/>
      <c r="E3" s="1043"/>
    </row>
    <row r="4" spans="2:5" s="1051" customFormat="1" ht="12.75" customHeight="1" x14ac:dyDescent="0.2">
      <c r="B4" s="2622" t="str">
        <f>'Single Audit Cover'!A4</f>
        <v>Year Ending June 30, 2020</v>
      </c>
      <c r="C4" s="2622"/>
      <c r="D4" s="2622"/>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t="s">
        <v>2052</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sharepoint/v3"/>
    <ds:schemaRef ds:uri="6ce3111e-7420-4802-b50a-75d4e9a0b980"/>
    <ds:schemaRef ds:uri="http://purl.org/dc/elements/1.1/"/>
    <ds:schemaRef ds:uri="http://schemas.microsoft.com/office/2006/documentManagement/types"/>
    <ds:schemaRef ds:uri="http://schemas.microsoft.com/office/infopath/2007/PartnerControls"/>
    <ds:schemaRef ds:uri="4d435f69-8686-490b-bd6d-b153bf22ab50"/>
    <ds:schemaRef ds:uri="http://schemas.microsoft.com/office/2006/metadata/properties"/>
    <ds:schemaRef ds:uri="http://schemas.openxmlformats.org/package/2006/metadata/core-properties"/>
    <ds:schemaRef ds:uri="d21dc803-237d-4c68-8692-8d731fd29118"/>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Shared Outsourced Services 31</vt:lpstr>
      <vt:lpstr>Itemization 33</vt:lpstr>
      <vt:lpstr>DeficitAFRSum Calc 36</vt:lpstr>
      <vt:lpstr>PCTC-OEPP 27-28</vt:lpstr>
      <vt:lpstr>Contracts Paid in CY 29</vt:lpstr>
      <vt:lpstr>ICR Computation 30</vt:lpstr>
      <vt:lpstr>AC Tort (v1) 32-33</vt:lpstr>
      <vt:lpstr>REF 34</vt:lpstr>
      <vt:lpstr>Opinion-Notes 35</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2020-11-09T14:49:36Z</cp:lastPrinted>
  <dcterms:created xsi:type="dcterms:W3CDTF">2003-10-29T19:06:34Z</dcterms:created>
  <dcterms:modified xsi:type="dcterms:W3CDTF">2020-11-12T00:57:19Z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