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13_ncr:1_{56600312-F456-442B-8374-8A3B56E2C4B0}"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20" sheetId="185"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goof">#REF!</definedName>
    <definedName name="oops">#REF!</definedName>
    <definedName name="_xlnm.Print_Area" localSheetId="27">' SEFA'!$B$1:$M$46</definedName>
    <definedName name="_xlnm.Print_Area" localSheetId="28">'SEFA 20'!$A$1:$S$65</definedName>
    <definedName name="_xlnm.Print_Area" localSheetId="29">'SEFA NOTES'!$A$1:$F$55</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Print_Area_MI" localSheetId="28">'SEFA 20'!$B$28:$S$64</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20'!$1:$14</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53" i="185" l="1"/>
  <c r="O55" i="185" s="1"/>
  <c r="M53" i="185"/>
  <c r="M55" i="185" s="1"/>
  <c r="K53" i="185"/>
  <c r="K55" i="185" s="1"/>
  <c r="I53" i="185"/>
  <c r="I55" i="185" s="1"/>
  <c r="G53" i="185"/>
  <c r="G55" i="185" s="1"/>
  <c r="Q50" i="185"/>
  <c r="Q49" i="185"/>
  <c r="Q42" i="185"/>
  <c r="O40" i="185"/>
  <c r="M40" i="185"/>
  <c r="K40" i="185"/>
  <c r="K44" i="185" s="1"/>
  <c r="I40" i="185"/>
  <c r="G40" i="185"/>
  <c r="Q36" i="185"/>
  <c r="Q35" i="185"/>
  <c r="Q34" i="185"/>
  <c r="Q31" i="185"/>
  <c r="Q30" i="185"/>
  <c r="O24" i="185"/>
  <c r="M24" i="185"/>
  <c r="K24" i="185"/>
  <c r="I24" i="185"/>
  <c r="G24" i="185"/>
  <c r="Q23" i="185"/>
  <c r="Q22" i="185"/>
  <c r="Q20" i="185"/>
  <c r="Q24" i="185" s="1"/>
  <c r="Q19" i="185"/>
  <c r="M12" i="185"/>
  <c r="K12" i="185"/>
  <c r="M11" i="185"/>
  <c r="M44" i="185" l="1"/>
  <c r="Q40" i="185"/>
  <c r="Q44" i="185" s="1"/>
  <c r="Q57" i="185" s="1"/>
  <c r="G44" i="185"/>
  <c r="G57" i="185" s="1"/>
  <c r="O44" i="185"/>
  <c r="O57" i="185" s="1"/>
  <c r="K57" i="185"/>
  <c r="M57" i="185"/>
  <c r="I44" i="185"/>
  <c r="I57" i="185" s="1"/>
  <c r="Q53" i="185"/>
  <c r="Q55" i="185" s="1"/>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8" i="183"/>
  <c r="E17" i="183"/>
  <c r="F17" i="183" s="1"/>
  <c r="F80" i="34" l="1"/>
  <c r="B7883" i="106" l="1"/>
  <c r="D7883" i="106"/>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12" i="12"/>
  <c r="K23" i="12"/>
  <c r="B7800" i="106" s="1"/>
  <c r="D7800" i="106" s="1"/>
  <c r="J12" i="12"/>
  <c r="B7718" i="106" s="1"/>
  <c r="D7718" i="106" s="1"/>
  <c r="J21" i="12"/>
  <c r="J23" i="12" s="1"/>
  <c r="B7729" i="106"/>
  <c r="D7729" i="106" s="1"/>
  <c r="B7734" i="106"/>
  <c r="B7726" i="106"/>
  <c r="D7726" i="106" s="1"/>
  <c r="B30" i="36"/>
  <c r="B33" i="36" s="1"/>
  <c r="B43" i="36" s="1"/>
  <c r="B56" i="36" s="1"/>
  <c r="B66" i="36" s="1"/>
  <c r="B70" i="36" s="1"/>
  <c r="B74" i="3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D6941" i="106"/>
  <c r="D7056" i="106"/>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B6" i="36"/>
  <c r="B7" i="36" s="1"/>
  <c r="B9" i="36" s="1"/>
  <c r="B10" i="36" s="1"/>
  <c r="B11" i="36" s="1"/>
  <c r="B12" i="36" s="1"/>
  <c r="B13" i="36" s="1"/>
  <c r="D23" i="36"/>
  <c r="B9" i="106" s="1"/>
  <c r="D25" i="36"/>
  <c r="D26" i="36"/>
  <c r="D27" i="36"/>
  <c r="D28" i="36"/>
  <c r="D3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I175" i="5"/>
  <c r="B4373" i="106" s="1"/>
  <c r="D4373" i="106" s="1"/>
  <c r="J252" i="5"/>
  <c r="J266" i="5" s="1"/>
  <c r="B7041" i="106" s="1"/>
  <c r="D7041" i="106" s="1"/>
  <c r="K252" i="5"/>
  <c r="D7" i="118"/>
  <c r="D8" i="118"/>
  <c r="D9" i="118"/>
  <c r="H33" i="118"/>
  <c r="D22" i="37"/>
  <c r="L22" i="37"/>
  <c r="D24" i="37"/>
  <c r="B4270" i="106" s="1"/>
  <c r="D4270" i="106" s="1"/>
  <c r="J22" i="37" l="1"/>
  <c r="F19" i="7"/>
  <c r="B1807" i="106" s="1"/>
  <c r="D1807" i="106" s="1"/>
  <c r="L13" i="11"/>
  <c r="B2060" i="106" s="1"/>
  <c r="D2060" i="106" s="1"/>
  <c r="L5" i="11"/>
  <c r="B2056" i="106" s="1"/>
  <c r="D2056" i="106" s="1"/>
  <c r="D11" i="37"/>
  <c r="H29" i="118"/>
  <c r="K28" i="118" s="1"/>
  <c r="O27" i="118" s="1"/>
  <c r="O29" i="118" s="1"/>
  <c r="N22" i="3"/>
  <c r="B283" i="106" s="1"/>
  <c r="D283" i="106" s="1"/>
  <c r="B7727" i="106"/>
  <c r="D7727" i="106" s="1"/>
  <c r="D31" i="36"/>
  <c r="L15" i="11"/>
  <c r="B3459" i="106" s="1"/>
  <c r="D3459" i="106" s="1"/>
  <c r="I24" i="12"/>
  <c r="F21" i="8"/>
  <c r="K24" i="12"/>
  <c r="I267" i="5"/>
  <c r="B4435" i="106" s="1"/>
  <c r="D4435" i="106" s="1"/>
  <c r="B79" i="36"/>
  <c r="B77" i="36"/>
  <c r="B6840" i="106"/>
  <c r="D6840" i="106" s="1"/>
  <c r="B6839" i="106"/>
  <c r="D6839" i="106" s="1"/>
  <c r="F16" i="11"/>
  <c r="B2031" i="106" s="1"/>
  <c r="D2031" i="106" s="1"/>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I49" i="8"/>
  <c r="B1977" i="106"/>
  <c r="D1977" i="106" s="1"/>
  <c r="H24" i="12"/>
  <c r="B1867" i="106"/>
  <c r="D1867" i="106" s="1"/>
  <c r="F15" i="8"/>
  <c r="L12" i="11"/>
  <c r="B2059" i="106" s="1"/>
  <c r="D2059" i="106" s="1"/>
  <c r="L8" i="11"/>
  <c r="B2057" i="106" s="1"/>
  <c r="D2057" i="106" s="1"/>
  <c r="G24" i="12"/>
  <c r="J24" i="12"/>
  <c r="B7730" i="106"/>
  <c r="D7730" i="106" s="1"/>
  <c r="L16" i="11" l="1"/>
  <c r="B2061" i="106" s="1"/>
  <c r="D2061" i="106" s="1"/>
  <c r="I7" i="4"/>
  <c r="B4444" i="106" s="1"/>
  <c r="D4444" i="106" s="1"/>
  <c r="I26" i="12"/>
  <c r="B7741" i="106" s="1"/>
  <c r="D7741" i="106" s="1"/>
  <c r="B1996" i="106"/>
  <c r="D1996" i="106" s="1"/>
  <c r="B7733" i="106"/>
  <c r="D7733" i="106" s="1"/>
  <c r="K26" i="12"/>
  <c r="B7743" i="106" s="1"/>
  <c r="D7743" i="106" s="1"/>
  <c r="B1879" i="106"/>
  <c r="D1879" i="106" s="1"/>
  <c r="H22" i="37"/>
  <c r="B7760" i="106"/>
  <c r="D7760" i="106" s="1"/>
  <c r="D24"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435" i="106" l="1"/>
  <c r="D3435" i="106" s="1"/>
  <c r="L13" i="3"/>
  <c r="B2895" i="106" s="1"/>
  <c r="D2895" i="106" s="1"/>
  <c r="B3071" i="106"/>
  <c r="D3071" i="106" s="1"/>
  <c r="L41" i="3"/>
  <c r="D53" i="36" l="1"/>
  <c r="B2917" i="106"/>
  <c r="D2917" i="106" s="1"/>
  <c r="B7811" i="106" l="1"/>
  <c r="D7811" i="106" s="1"/>
  <c r="B7815" i="106"/>
  <c r="D7815" i="106" s="1"/>
  <c r="B7810" i="106"/>
  <c r="D7810" i="106" s="1"/>
  <c r="B7812" i="106"/>
  <c r="D7812" i="106" s="1"/>
  <c r="B7814" i="106"/>
  <c r="D7814" i="106" s="1"/>
  <c r="B7816" i="106"/>
  <c r="D7816" i="106" s="1"/>
  <c r="F168" i="34" l="1"/>
  <c r="B7813" i="106"/>
  <c r="D7813" i="106" s="1"/>
  <c r="F167" i="34"/>
  <c r="B7809" i="106"/>
  <c r="D7809" i="106" s="1"/>
  <c r="L334" i="29" l="1"/>
  <c r="K355" i="29" l="1"/>
  <c r="B7794" i="106" s="1"/>
  <c r="D7794" i="106" s="1"/>
  <c r="B7793" i="106"/>
  <c r="D7793" i="106" s="1"/>
  <c r="K133" i="29"/>
  <c r="B7774" i="106"/>
  <c r="D7774" i="106" s="1"/>
  <c r="K282" i="29"/>
  <c r="B7783" i="106"/>
  <c r="D7783" i="106" s="1"/>
  <c r="B7775" i="106"/>
  <c r="D7775" i="106" s="1"/>
  <c r="B7785" i="106"/>
  <c r="D7785" i="106" s="1"/>
  <c r="K332" i="29"/>
  <c r="H334" i="29"/>
  <c r="B7789" i="106" s="1"/>
  <c r="D7789" i="106" s="1"/>
  <c r="B7787" i="106"/>
  <c r="D7787" i="106" s="1"/>
  <c r="K333" i="29"/>
  <c r="B7788" i="106" s="1"/>
  <c r="D7788" i="106" s="1"/>
  <c r="B7779" i="106"/>
  <c r="D7779" i="106" s="1"/>
  <c r="K158" i="29"/>
  <c r="B7780" i="106" s="1"/>
  <c r="D7780" i="106" s="1"/>
  <c r="K159" i="29"/>
  <c r="B7782" i="106" s="1"/>
  <c r="D7782" i="106" s="1"/>
  <c r="B7781" i="106"/>
  <c r="D7781" i="106" s="1"/>
  <c r="B7791" i="106"/>
  <c r="D7791" i="106" s="1"/>
  <c r="K354" i="29"/>
  <c r="B7784" i="106" l="1"/>
  <c r="D7784" i="106" s="1"/>
  <c r="B7786" i="106"/>
  <c r="D7786" i="106" s="1"/>
  <c r="K334" i="29"/>
  <c r="B7776" i="106"/>
  <c r="D7776" i="106" s="1"/>
  <c r="B7792" i="106"/>
  <c r="D7792" i="106" s="1"/>
  <c r="F74" i="34" l="1"/>
  <c r="B7790" i="106"/>
  <c r="D7790" i="106" s="1"/>
  <c r="J15" i="4"/>
  <c r="B7796" i="106" s="1"/>
  <c r="D7796" i="106" s="1"/>
  <c r="B177" i="106" l="1"/>
  <c r="D177" i="106" s="1"/>
  <c r="B7769" i="106" l="1"/>
  <c r="D7769" i="106" s="1"/>
  <c r="B7768" i="106"/>
  <c r="D7768" i="106" s="1"/>
  <c r="B7766" i="106"/>
  <c r="D7766" i="106" s="1"/>
  <c r="B6107" i="106" l="1"/>
  <c r="D6107" i="106" s="1"/>
  <c r="B6106" i="106"/>
  <c r="D6106" i="106" s="1"/>
  <c r="B6105" i="106"/>
  <c r="D6105" i="106" s="1"/>
  <c r="B6104" i="106"/>
  <c r="D6104" i="106" s="1"/>
  <c r="B6103" i="106"/>
  <c r="D6103" i="106" s="1"/>
  <c r="B6101" i="106"/>
  <c r="D6101" i="106" s="1"/>
  <c r="B5818" i="106"/>
  <c r="D5818" i="106" s="1"/>
  <c r="B5692" i="106"/>
  <c r="D5692" i="106" s="1"/>
  <c r="B5275" i="106"/>
  <c r="D5275" i="106" s="1"/>
  <c r="B5821" i="106"/>
  <c r="D5821" i="106" s="1"/>
  <c r="B5695" i="106"/>
  <c r="D5695" i="106" s="1"/>
  <c r="B5462" i="106"/>
  <c r="D5462" i="106" s="1"/>
  <c r="B5822" i="106"/>
  <c r="D5822" i="106" s="1"/>
  <c r="B5696" i="106"/>
  <c r="D5696" i="106" s="1"/>
  <c r="B5463" i="106"/>
  <c r="D5463" i="106" s="1"/>
  <c r="B5823" i="106"/>
  <c r="D5823" i="106" s="1"/>
  <c r="B5697" i="106"/>
  <c r="D5697" i="106" s="1"/>
  <c r="B5464" i="106"/>
  <c r="D5464" i="106" s="1"/>
  <c r="B4343" i="106"/>
  <c r="D4343" i="106" s="1"/>
  <c r="B4342" i="106"/>
  <c r="D4342" i="106" s="1"/>
  <c r="B4341" i="106"/>
  <c r="D4341"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351" i="106"/>
  <c r="D5351" i="106" s="1"/>
  <c r="B5584" i="106"/>
  <c r="D5584"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6349" i="106"/>
  <c r="D6349"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5" i="106"/>
  <c r="D6355" i="106" s="1"/>
  <c r="B7807" i="106"/>
  <c r="D7807" i="106" s="1"/>
  <c r="B6356" i="106"/>
  <c r="D6356" i="106" s="1"/>
  <c r="B6378" i="106"/>
  <c r="D6378" i="106" s="1"/>
  <c r="B6395" i="106"/>
  <c r="D6395"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0" i="106"/>
  <c r="D5330" i="106" s="1"/>
  <c r="B5331" i="106"/>
  <c r="D5331"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4" i="106"/>
  <c r="D5384"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6241" i="106"/>
  <c r="D6241" i="106" s="1"/>
  <c r="B7652" i="106"/>
  <c r="D7652" i="106" s="1"/>
  <c r="B7655" i="106"/>
  <c r="D7655" i="106" s="1"/>
  <c r="B7658" i="106"/>
  <c r="D7658" i="106" s="1"/>
  <c r="B6244" i="106"/>
  <c r="D6244" i="106" s="1"/>
  <c r="B7661" i="106"/>
  <c r="D7661" i="106" s="1"/>
  <c r="B7664" i="106"/>
  <c r="D7664" i="106" s="1"/>
  <c r="B7667" i="106"/>
  <c r="D7667" i="106" s="1"/>
  <c r="B6247" i="106"/>
  <c r="D6247" i="106" s="1"/>
  <c r="B7670" i="106"/>
  <c r="D7670" i="106" s="1"/>
  <c r="B7672" i="106"/>
  <c r="D7672" i="106" s="1"/>
  <c r="B7674" i="106"/>
  <c r="D7674" i="106" s="1"/>
  <c r="B6249" i="106"/>
  <c r="D6249" i="106" s="1"/>
  <c r="B7676" i="106"/>
  <c r="D7676" i="106" s="1"/>
  <c r="B7678" i="106"/>
  <c r="D7678" i="106" s="1"/>
  <c r="B7680" i="106"/>
  <c r="D7680" i="106" s="1"/>
  <c r="B6251" i="106"/>
  <c r="D6251" i="106" s="1"/>
  <c r="B7682" i="106"/>
  <c r="D7682" i="106" s="1"/>
  <c r="B7684" i="106"/>
  <c r="D7684" i="106" s="1"/>
  <c r="B7686" i="106"/>
  <c r="D7686" i="106" s="1"/>
  <c r="B6253" i="106"/>
  <c r="D6253" i="106" s="1"/>
  <c r="B3236" i="106"/>
  <c r="D3236"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6369" i="106"/>
  <c r="D6369" i="106" s="1"/>
  <c r="B4354" i="106"/>
  <c r="D4354" i="106" s="1"/>
  <c r="B5617" i="106"/>
  <c r="D5617" i="106" s="1"/>
  <c r="B4316" i="106"/>
  <c r="D4316" i="106" s="1"/>
  <c r="B5619" i="106"/>
  <c r="D5619" i="106" s="1"/>
  <c r="B5625" i="106"/>
  <c r="D5625" i="106" s="1"/>
  <c r="B5627" i="106"/>
  <c r="D5627" i="106" s="1"/>
  <c r="B4918" i="106"/>
  <c r="D4918" i="106" s="1"/>
  <c r="B6391" i="106"/>
  <c r="D6391" i="106" s="1"/>
  <c r="B4318" i="106"/>
  <c r="D4318" i="106" s="1"/>
  <c r="B4322" i="106"/>
  <c r="D4322"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54" i="106"/>
  <c r="D1354" i="106" s="1"/>
  <c r="B1366" i="106"/>
  <c r="D1366" i="106" s="1"/>
  <c r="B7059" i="106"/>
  <c r="D7059" i="106" s="1"/>
  <c r="B7060" i="106"/>
  <c r="D7060"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5014" i="106"/>
  <c r="D5014"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39" i="106"/>
  <c r="D573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4353" i="106"/>
  <c r="D4353" i="106" s="1"/>
  <c r="B6370" i="106"/>
  <c r="D6370" i="106" s="1"/>
  <c r="B4355" i="106"/>
  <c r="D4355" i="106" s="1"/>
  <c r="B6381" i="106"/>
  <c r="D6381" i="106" s="1"/>
  <c r="B4356" i="106"/>
  <c r="D4356" i="106" s="1"/>
  <c r="B5757" i="106"/>
  <c r="D5757" i="106" s="1"/>
  <c r="B5763" i="106"/>
  <c r="D5763" i="106" s="1"/>
  <c r="B5765" i="106"/>
  <c r="D5765" i="106" s="1"/>
  <c r="B4919" i="106"/>
  <c r="D4919" i="106" s="1"/>
  <c r="B6392" i="106"/>
  <c r="D6392" i="106" s="1"/>
  <c r="B4796" i="106"/>
  <c r="D4796" i="106" s="1"/>
  <c r="B4947" i="106"/>
  <c r="D4947" i="106" s="1"/>
  <c r="B4813" i="106"/>
  <c r="D4813" i="106" s="1"/>
  <c r="B4378" i="106"/>
  <c r="D4378" i="106" s="1"/>
  <c r="B4382" i="106"/>
  <c r="D4382" i="106" s="1"/>
  <c r="B4394" i="106"/>
  <c r="D4394" i="106" s="1"/>
  <c r="B5798" i="106"/>
  <c r="D5798" i="106" s="1"/>
  <c r="B4335" i="106"/>
  <c r="D4335" i="106" s="1"/>
  <c r="B4410" i="106"/>
  <c r="D4410" i="106" s="1"/>
  <c r="B4339" i="106"/>
  <c r="D4339" i="106" s="1"/>
  <c r="B4346" i="106"/>
  <c r="D4346" i="106" s="1"/>
  <c r="B5853" i="106"/>
  <c r="D5853" i="106" s="1"/>
  <c r="B6625" i="106"/>
  <c r="D6625" i="106" s="1"/>
  <c r="B6630" i="106"/>
  <c r="D6630" i="106" s="1"/>
  <c r="B6638" i="106"/>
  <c r="D6638" i="106" s="1"/>
  <c r="B6646" i="106"/>
  <c r="D6646" i="106" s="1"/>
  <c r="B6654" i="106"/>
  <c r="D6654" i="106" s="1"/>
  <c r="B6662" i="106"/>
  <c r="D6662" i="106" s="1"/>
  <c r="B6670" i="106"/>
  <c r="D6670" i="106" s="1"/>
  <c r="B6678" i="106"/>
  <c r="D6678" i="106" s="1"/>
  <c r="B6686" i="106"/>
  <c r="D6686" i="106" s="1"/>
  <c r="B6693" i="106"/>
  <c r="D6693" i="106" s="1"/>
  <c r="B6700" i="106"/>
  <c r="D6700" i="106" s="1"/>
  <c r="B6708" i="106"/>
  <c r="D6708" i="106" s="1"/>
  <c r="B6716" i="106"/>
  <c r="D6716" i="106" s="1"/>
  <c r="B6724" i="106"/>
  <c r="D6724" i="106" s="1"/>
  <c r="B6733" i="106"/>
  <c r="D6733" i="106" s="1"/>
  <c r="B6741" i="106"/>
  <c r="D6741" i="106" s="1"/>
  <c r="B6749" i="106"/>
  <c r="D6749" i="106" s="1"/>
  <c r="B6757" i="106"/>
  <c r="D6757" i="106" s="1"/>
  <c r="B6765" i="106"/>
  <c r="D6765" i="106" s="1"/>
  <c r="B6773" i="106"/>
  <c r="D6773" i="106" s="1"/>
  <c r="B6781" i="106"/>
  <c r="D6781" i="106" s="1"/>
  <c r="B6789" i="106"/>
  <c r="D6789" i="106" s="1"/>
  <c r="B6797" i="106"/>
  <c r="D6797" i="106" s="1"/>
  <c r="B6805" i="106"/>
  <c r="D6805" i="106" s="1"/>
  <c r="B6813" i="106"/>
  <c r="D6813" i="106" s="1"/>
  <c r="B6821" i="106"/>
  <c r="D6821" i="106" s="1"/>
  <c r="B6829" i="106"/>
  <c r="D6829" i="106" s="1"/>
  <c r="B5855" i="106"/>
  <c r="D5855" i="106" s="1"/>
  <c r="B4417" i="106"/>
  <c r="D4417" i="106" s="1"/>
  <c r="B5858" i="106"/>
  <c r="D5858" i="106" s="1"/>
  <c r="B5860" i="106"/>
  <c r="D5860" i="106" s="1"/>
  <c r="B4421" i="106"/>
  <c r="D4421" i="106" s="1"/>
  <c r="B4192" i="106"/>
  <c r="D4192" i="106" s="1"/>
  <c r="B4361" i="106"/>
  <c r="D4361" i="106" s="1"/>
  <c r="B4448" i="106"/>
  <c r="D4448" i="106" s="1"/>
  <c r="B4864" i="106"/>
  <c r="D4864"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77" i="106"/>
  <c r="D3577" i="106" s="1"/>
  <c r="B3578" i="106"/>
  <c r="D3578" i="106" s="1"/>
  <c r="B3579" i="106"/>
  <c r="D3579" i="106" s="1"/>
  <c r="B3580" i="106"/>
  <c r="D3580" i="106" s="1"/>
  <c r="B3581" i="106"/>
  <c r="D3581" i="106" s="1"/>
  <c r="B3582" i="106"/>
  <c r="D3582" i="106" s="1"/>
  <c r="B6296" i="106"/>
  <c r="D6296" i="106" s="1"/>
  <c r="B3583" i="106"/>
  <c r="D3583" i="106" s="1"/>
  <c r="B6257" i="106"/>
  <c r="D6257" i="106" s="1"/>
  <c r="B3585" i="106"/>
  <c r="D3585"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6309" i="106"/>
  <c r="D6309" i="106" s="1"/>
  <c r="B5081" i="106"/>
  <c r="D5081" i="106" s="1"/>
  <c r="B5082" i="106"/>
  <c r="D5082" i="106" s="1"/>
  <c r="B5083" i="106"/>
  <c r="D5083" i="106" s="1"/>
  <c r="B6310" i="106"/>
  <c r="D6310" i="106" s="1"/>
  <c r="B5084" i="106"/>
  <c r="D5084" i="106" s="1"/>
  <c r="B5085" i="106"/>
  <c r="D5085"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58" i="106"/>
  <c r="D6658" i="106" s="1"/>
  <c r="B6704" i="106"/>
  <c r="D6704"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4" i="106"/>
  <c r="D324" i="106" s="1"/>
  <c r="B325" i="106"/>
  <c r="D325" i="106" s="1"/>
  <c r="B3530" i="106"/>
  <c r="D3530" i="106" s="1"/>
  <c r="B3228" i="106"/>
  <c r="D3228" i="106" s="1"/>
  <c r="B2794" i="106"/>
  <c r="D2794" i="106" s="1"/>
  <c r="B7651" i="106"/>
  <c r="D7651" i="106" s="1"/>
  <c r="B7654" i="106"/>
  <c r="D7654" i="106" s="1"/>
  <c r="B7657" i="106"/>
  <c r="D7657" i="106" s="1"/>
  <c r="B7660" i="106"/>
  <c r="D7660" i="106" s="1"/>
  <c r="B7663" i="106"/>
  <c r="D7663" i="106" s="1"/>
  <c r="B7666" i="106"/>
  <c r="D7666" i="106" s="1"/>
  <c r="B7669" i="106"/>
  <c r="D7669" i="106" s="1"/>
  <c r="B7671" i="106"/>
  <c r="D7671" i="106" s="1"/>
  <c r="B7673" i="106"/>
  <c r="D7673" i="106" s="1"/>
  <c r="B7675" i="106"/>
  <c r="D7675" i="106" s="1"/>
  <c r="B7677" i="106"/>
  <c r="D7677" i="106" s="1"/>
  <c r="B7679" i="106"/>
  <c r="D7679" i="106" s="1"/>
  <c r="B7681" i="106"/>
  <c r="D7681" i="106" s="1"/>
  <c r="B7683" i="106"/>
  <c r="D7683" i="106" s="1"/>
  <c r="B7685" i="106"/>
  <c r="D7685" i="106" s="1"/>
  <c r="B6252" i="106"/>
  <c r="D6252" i="106" s="1"/>
  <c r="B3230" i="106"/>
  <c r="D3230" i="106" s="1"/>
  <c r="B7043" i="106"/>
  <c r="D7043" i="106" s="1"/>
  <c r="B5875" i="106"/>
  <c r="D5875" i="106" s="1"/>
  <c r="B5876" i="106"/>
  <c r="D5876" i="106" s="1"/>
  <c r="B5877" i="106"/>
  <c r="D5877" i="106" s="1"/>
  <c r="B7884" i="106"/>
  <c r="D7884" i="106" s="1"/>
  <c r="B7806" i="106"/>
  <c r="D7806" i="106" s="1"/>
  <c r="B7885" i="106"/>
  <c r="D7885"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6242" i="106"/>
  <c r="D6242" i="106" s="1"/>
  <c r="B7653" i="106"/>
  <c r="D7653" i="106" s="1"/>
  <c r="B7656" i="106"/>
  <c r="D7656" i="106" s="1"/>
  <c r="B7659" i="106"/>
  <c r="D7659" i="106" s="1"/>
  <c r="B6245" i="106"/>
  <c r="D6245"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37" i="106"/>
  <c r="D6137" i="106" s="1"/>
  <c r="B6146" i="106"/>
  <c r="D6146" i="106" s="1"/>
  <c r="B6155" i="106"/>
  <c r="D6155" i="106" s="1"/>
  <c r="B6164" i="106"/>
  <c r="D6164" i="106" s="1"/>
  <c r="B6173" i="106"/>
  <c r="D6173" i="106" s="1"/>
  <c r="B184" i="106"/>
  <c r="D184" i="106" s="1"/>
  <c r="B185" i="106"/>
  <c r="D185"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362" i="29"/>
  <c r="L285" i="29"/>
  <c r="L261" i="29"/>
  <c r="L160" i="29"/>
  <c r="B134" i="106"/>
  <c r="D134" i="106" s="1"/>
  <c r="B73" i="106"/>
  <c r="D73" i="106" s="1"/>
  <c r="B6153" i="106"/>
  <c r="D6153" i="106" s="1"/>
  <c r="B153" i="106"/>
  <c r="D153" i="106" s="1"/>
  <c r="B6218" i="106"/>
  <c r="D6218" i="106" s="1"/>
  <c r="B3550" i="106"/>
  <c r="D3550" i="106" s="1"/>
  <c r="B2885" i="106"/>
  <c r="D2885" i="106" s="1"/>
  <c r="B105" i="106"/>
  <c r="D105" i="106" s="1"/>
  <c r="B199" i="106"/>
  <c r="D199" i="106" s="1"/>
  <c r="L365" i="29" l="1"/>
  <c r="L277" i="29"/>
  <c r="L137" i="29"/>
  <c r="L139" i="29" s="1"/>
  <c r="B3417" i="106"/>
  <c r="D3417" i="106" s="1"/>
  <c r="D36" i="36"/>
  <c r="E13" i="3"/>
  <c r="L92" i="29"/>
  <c r="B1537" i="106"/>
  <c r="D1537" i="106" s="1"/>
  <c r="F303" i="29"/>
  <c r="B7016" i="106"/>
  <c r="D7016" i="106" s="1"/>
  <c r="K111" i="29"/>
  <c r="B7017" i="106" s="1"/>
  <c r="D7017" i="106" s="1"/>
  <c r="B6993" i="106"/>
  <c r="D6993" i="106" s="1"/>
  <c r="K91" i="29"/>
  <c r="B6994" i="106" s="1"/>
  <c r="D6994" i="106" s="1"/>
  <c r="K83" i="29"/>
  <c r="B2978" i="106" s="1"/>
  <c r="D2978" i="106" s="1"/>
  <c r="B2954" i="106"/>
  <c r="D2954" i="106" s="1"/>
  <c r="K79" i="29"/>
  <c r="B2974" i="106" s="1"/>
  <c r="D2974" i="106" s="1"/>
  <c r="B2950" i="106"/>
  <c r="D2950" i="106" s="1"/>
  <c r="E72" i="29"/>
  <c r="B869" i="106" s="1"/>
  <c r="D869" i="106" s="1"/>
  <c r="B862" i="106"/>
  <c r="D862" i="106" s="1"/>
  <c r="E65" i="29"/>
  <c r="B861" i="106" s="1"/>
  <c r="D861" i="106" s="1"/>
  <c r="B854" i="106"/>
  <c r="D854" i="106" s="1"/>
  <c r="B851" i="106"/>
  <c r="D851" i="106" s="1"/>
  <c r="E57" i="29"/>
  <c r="B853" i="106" s="1"/>
  <c r="D853" i="106" s="1"/>
  <c r="B848" i="106"/>
  <c r="D848" i="106" s="1"/>
  <c r="E53" i="29"/>
  <c r="B850" i="106" s="1"/>
  <c r="D850" i="106" s="1"/>
  <c r="B844" i="106"/>
  <c r="D844" i="106" s="1"/>
  <c r="E47" i="29"/>
  <c r="B847" i="106" s="1"/>
  <c r="D847" i="106" s="1"/>
  <c r="E42" i="29"/>
  <c r="B837" i="106"/>
  <c r="D837" i="106" s="1"/>
  <c r="K27" i="29"/>
  <c r="B6890" i="106"/>
  <c r="D6890" i="106" s="1"/>
  <c r="B6845" i="106"/>
  <c r="D6845" i="106" s="1"/>
  <c r="J33" i="29"/>
  <c r="D78" i="36"/>
  <c r="B4113" i="106"/>
  <c r="D4113" i="106" s="1"/>
  <c r="C18" i="4"/>
  <c r="B4131" i="106" s="1"/>
  <c r="D4131" i="106" s="1"/>
  <c r="B6720" i="106"/>
  <c r="D6720" i="106" s="1"/>
  <c r="F145" i="34"/>
  <c r="B6666" i="106"/>
  <c r="D6666" i="106" s="1"/>
  <c r="F140" i="34"/>
  <c r="K363" i="29"/>
  <c r="B7241" i="106" s="1"/>
  <c r="D7241" i="106" s="1"/>
  <c r="B7240" i="106"/>
  <c r="D7240" i="106" s="1"/>
  <c r="B3638" i="106"/>
  <c r="D3638" i="106" s="1"/>
  <c r="F350" i="29"/>
  <c r="B5988" i="106"/>
  <c r="D5988" i="106" s="1"/>
  <c r="K18" i="5"/>
  <c r="B5992" i="106" s="1"/>
  <c r="D5992" i="106" s="1"/>
  <c r="K283" i="29"/>
  <c r="B3721" i="106"/>
  <c r="D3721" i="106" s="1"/>
  <c r="D285" i="29"/>
  <c r="B3722" i="106" s="1"/>
  <c r="D3722" i="106" s="1"/>
  <c r="B1434" i="106"/>
  <c r="D1434" i="106" s="1"/>
  <c r="K269" i="29"/>
  <c r="B1498" i="106" s="1"/>
  <c r="D1498" i="106" s="1"/>
  <c r="B1425" i="106"/>
  <c r="D1425" i="106" s="1"/>
  <c r="D261" i="29"/>
  <c r="B1427" i="106" s="1"/>
  <c r="D1427" i="106" s="1"/>
  <c r="K259" i="29"/>
  <c r="K249" i="29"/>
  <c r="B7084" i="106" s="1"/>
  <c r="D7084" i="106" s="1"/>
  <c r="B7083" i="106"/>
  <c r="D7083" i="106" s="1"/>
  <c r="B1416" i="106"/>
  <c r="D1416" i="106" s="1"/>
  <c r="K237" i="29"/>
  <c r="B1480" i="106" s="1"/>
  <c r="D1480" i="106" s="1"/>
  <c r="K226" i="29"/>
  <c r="B7080" i="106" s="1"/>
  <c r="D7080" i="106" s="1"/>
  <c r="B7079" i="106"/>
  <c r="D7079" i="106" s="1"/>
  <c r="K218" i="29"/>
  <c r="B7075" i="106"/>
  <c r="D7075" i="106" s="1"/>
  <c r="B6618" i="106"/>
  <c r="D6618" i="106" s="1"/>
  <c r="G252" i="5"/>
  <c r="B6837" i="106" s="1"/>
  <c r="D6837" i="106" s="1"/>
  <c r="B4810" i="106"/>
  <c r="D4810" i="106" s="1"/>
  <c r="G181" i="5"/>
  <c r="B5784" i="106" s="1"/>
  <c r="D5784" i="106" s="1"/>
  <c r="B5754" i="106"/>
  <c r="D5754" i="106" s="1"/>
  <c r="G145" i="5"/>
  <c r="B5756" i="106" s="1"/>
  <c r="D5756" i="106" s="1"/>
  <c r="B5731" i="106"/>
  <c r="D5731" i="106" s="1"/>
  <c r="B7751" i="106"/>
  <c r="D7751" i="106" s="1"/>
  <c r="K199" i="29"/>
  <c r="H204" i="29"/>
  <c r="B1371" i="106"/>
  <c r="D1371" i="106" s="1"/>
  <c r="K191" i="29"/>
  <c r="B3010" i="106" s="1"/>
  <c r="D3010" i="106" s="1"/>
  <c r="B2992" i="106"/>
  <c r="D2992" i="106" s="1"/>
  <c r="I184" i="29"/>
  <c r="B7057" i="106"/>
  <c r="D7057" i="106" s="1"/>
  <c r="B4804" i="106"/>
  <c r="D4804" i="106" s="1"/>
  <c r="F181" i="5"/>
  <c r="B5658" i="106" s="1"/>
  <c r="D5658" i="106" s="1"/>
  <c r="B6315" i="106"/>
  <c r="D6315" i="106" s="1"/>
  <c r="F28" i="34"/>
  <c r="B6314" i="106"/>
  <c r="D6314" i="106" s="1"/>
  <c r="F91" i="34"/>
  <c r="B5558" i="106"/>
  <c r="D5558" i="106" s="1"/>
  <c r="F18" i="5"/>
  <c r="B5562" i="106" s="1"/>
  <c r="D5562" i="106" s="1"/>
  <c r="K53" i="4"/>
  <c r="B3703" i="106" s="1"/>
  <c r="D3703" i="106" s="1"/>
  <c r="B3699" i="106"/>
  <c r="D3699" i="106" s="1"/>
  <c r="K167" i="29"/>
  <c r="B1327" i="106" s="1"/>
  <c r="D1327" i="106" s="1"/>
  <c r="B1313" i="106"/>
  <c r="D1313" i="106" s="1"/>
  <c r="B6368" i="106"/>
  <c r="D6368" i="106" s="1"/>
  <c r="E169" i="5"/>
  <c r="B5537" i="106" s="1"/>
  <c r="D5537" i="106" s="1"/>
  <c r="B1268" i="106"/>
  <c r="D1268" i="106" s="1"/>
  <c r="K142" i="29"/>
  <c r="H147" i="29"/>
  <c r="B1227" i="106"/>
  <c r="D1227" i="106" s="1"/>
  <c r="D127" i="29"/>
  <c r="B1231" i="106" s="1"/>
  <c r="D1231" i="106" s="1"/>
  <c r="B4075" i="106"/>
  <c r="D4075" i="106" s="1"/>
  <c r="B5422" i="106"/>
  <c r="D5422" i="106" s="1"/>
  <c r="D175" i="5"/>
  <c r="B7125" i="106"/>
  <c r="D7125" i="106" s="1"/>
  <c r="J330" i="29"/>
  <c r="B6353" i="106"/>
  <c r="D6353" i="106" s="1"/>
  <c r="J122" i="5"/>
  <c r="B5110" i="106"/>
  <c r="D5110" i="106" s="1"/>
  <c r="F100" i="34"/>
  <c r="B5118" i="106"/>
  <c r="D5118" i="106" s="1"/>
  <c r="F105" i="34"/>
  <c r="B280" i="106"/>
  <c r="D280" i="106" s="1"/>
  <c r="M41" i="3"/>
  <c r="L238" i="29"/>
  <c r="B6139" i="106"/>
  <c r="D6139" i="106" s="1"/>
  <c r="I34" i="3"/>
  <c r="B6131" i="106"/>
  <c r="D6131" i="106" s="1"/>
  <c r="J34" i="3"/>
  <c r="B2848" i="106"/>
  <c r="D2848" i="106" s="1"/>
  <c r="K307" i="29"/>
  <c r="B4099" i="106" s="1"/>
  <c r="D4099" i="106" s="1"/>
  <c r="B7108" i="106"/>
  <c r="D7108" i="106" s="1"/>
  <c r="E303" i="29"/>
  <c r="B1531" i="106"/>
  <c r="D1531" i="106" s="1"/>
  <c r="B5872" i="106"/>
  <c r="D5872" i="106" s="1"/>
  <c r="B1051" i="106"/>
  <c r="D1051" i="106" s="1"/>
  <c r="K109" i="29"/>
  <c r="B1149" i="106" s="1"/>
  <c r="D1149" i="106" s="1"/>
  <c r="K99" i="29"/>
  <c r="B7010" i="106" s="1"/>
  <c r="D7010" i="106" s="1"/>
  <c r="E100" i="29"/>
  <c r="B7011" i="106" s="1"/>
  <c r="D7011" i="106" s="1"/>
  <c r="B7008" i="106"/>
  <c r="D7008" i="106" s="1"/>
  <c r="B6991" i="106"/>
  <c r="D6991" i="106" s="1"/>
  <c r="K90" i="29"/>
  <c r="B6992" i="106" s="1"/>
  <c r="D6992" i="106" s="1"/>
  <c r="H84" i="29"/>
  <c r="B2955" i="106"/>
  <c r="D2955" i="106" s="1"/>
  <c r="D72" i="29"/>
  <c r="B811" i="106" s="1"/>
  <c r="D811" i="106" s="1"/>
  <c r="B804" i="106"/>
  <c r="D804" i="106" s="1"/>
  <c r="D65" i="29"/>
  <c r="B803" i="106" s="1"/>
  <c r="D803" i="106" s="1"/>
  <c r="B796" i="106"/>
  <c r="D796" i="106" s="1"/>
  <c r="B794" i="106"/>
  <c r="D794" i="106" s="1"/>
  <c r="B793" i="106"/>
  <c r="D793" i="106" s="1"/>
  <c r="B786" i="106"/>
  <c r="D786" i="106" s="1"/>
  <c r="D47" i="29"/>
  <c r="B789" i="106" s="1"/>
  <c r="D789" i="106" s="1"/>
  <c r="B784" i="106"/>
  <c r="D784" i="106" s="1"/>
  <c r="B779" i="106"/>
  <c r="D779" i="106" s="1"/>
  <c r="B6888" i="106"/>
  <c r="D6888" i="106" s="1"/>
  <c r="K26" i="29"/>
  <c r="B6867" i="106"/>
  <c r="D6867" i="106" s="1"/>
  <c r="B6859" i="106"/>
  <c r="D6859" i="106" s="1"/>
  <c r="B6851" i="106"/>
  <c r="D6851" i="106" s="1"/>
  <c r="B6844" i="106"/>
  <c r="D6844" i="106" s="1"/>
  <c r="B6712" i="106"/>
  <c r="D6712" i="106" s="1"/>
  <c r="F144" i="34"/>
  <c r="B5088" i="106"/>
  <c r="D5088" i="106" s="1"/>
  <c r="B5067" i="106"/>
  <c r="D5067" i="106" s="1"/>
  <c r="C18" i="5"/>
  <c r="B5071" i="106" s="1"/>
  <c r="D5071" i="106" s="1"/>
  <c r="K361" i="29"/>
  <c r="B7239" i="106" s="1"/>
  <c r="D7239" i="106" s="1"/>
  <c r="B7238" i="106"/>
  <c r="D7238" i="106" s="1"/>
  <c r="E350" i="29"/>
  <c r="B3631" i="106"/>
  <c r="D3631" i="106" s="1"/>
  <c r="B6000" i="106"/>
  <c r="D6000" i="106" s="1"/>
  <c r="K122" i="5"/>
  <c r="G44" i="4"/>
  <c r="B7752" i="106"/>
  <c r="D7752" i="106" s="1"/>
  <c r="B1447" i="106"/>
  <c r="D1447" i="106" s="1"/>
  <c r="K280" i="29"/>
  <c r="B1433" i="106"/>
  <c r="D1433" i="106" s="1"/>
  <c r="K268" i="29"/>
  <c r="B1497" i="106" s="1"/>
  <c r="D1497" i="106" s="1"/>
  <c r="K256" i="29"/>
  <c r="B7098" i="106" s="1"/>
  <c r="D7098" i="106" s="1"/>
  <c r="B7097" i="106"/>
  <c r="D7097" i="106" s="1"/>
  <c r="K248" i="29"/>
  <c r="B7082" i="106" s="1"/>
  <c r="D7082" i="106" s="1"/>
  <c r="B7081" i="106"/>
  <c r="D7081" i="106" s="1"/>
  <c r="B1415" i="106"/>
  <c r="D1415" i="106" s="1"/>
  <c r="K236" i="29"/>
  <c r="B1479" i="106" s="1"/>
  <c r="D1479" i="106" s="1"/>
  <c r="K225" i="29"/>
  <c r="B1460" i="106" s="1"/>
  <c r="D1460" i="106" s="1"/>
  <c r="B1396" i="106"/>
  <c r="D1396" i="106" s="1"/>
  <c r="K217" i="29"/>
  <c r="B3391" i="106" s="1"/>
  <c r="D3391" i="106" s="1"/>
  <c r="B3388" i="106"/>
  <c r="D3388" i="106" s="1"/>
  <c r="B5791" i="106"/>
  <c r="D5791" i="106" s="1"/>
  <c r="K207" i="29"/>
  <c r="B7070" i="106" s="1"/>
  <c r="D7070" i="106" s="1"/>
  <c r="B7069" i="106"/>
  <c r="D7069" i="106" s="1"/>
  <c r="B1369" i="106"/>
  <c r="D1369" i="106" s="1"/>
  <c r="B4086" i="106"/>
  <c r="D4086" i="106" s="1"/>
  <c r="B5578" i="106"/>
  <c r="D5578" i="106" s="1"/>
  <c r="F27" i="34"/>
  <c r="B5572" i="106"/>
  <c r="D5572" i="106" s="1"/>
  <c r="F90" i="34"/>
  <c r="B5566" i="106"/>
  <c r="D5566" i="106" s="1"/>
  <c r="F87" i="34"/>
  <c r="K166" i="29"/>
  <c r="B2819" i="106" s="1"/>
  <c r="D2819" i="106" s="1"/>
  <c r="B2813" i="106"/>
  <c r="D2813" i="106" s="1"/>
  <c r="B6714" i="106"/>
  <c r="D6714" i="106" s="1"/>
  <c r="E252" i="5"/>
  <c r="B5511" i="106"/>
  <c r="D5511" i="106" s="1"/>
  <c r="B2092" i="106"/>
  <c r="D2092" i="106" s="1"/>
  <c r="K138" i="29"/>
  <c r="B2094" i="106" s="1"/>
  <c r="D2094" i="106" s="1"/>
  <c r="B1254" i="106"/>
  <c r="D1254" i="106" s="1"/>
  <c r="K126" i="29"/>
  <c r="B1277" i="106" s="1"/>
  <c r="D1277" i="106" s="1"/>
  <c r="K125" i="29"/>
  <c r="B3488" i="106" s="1"/>
  <c r="D3488" i="106" s="1"/>
  <c r="B3482" i="106"/>
  <c r="D3482" i="106" s="1"/>
  <c r="B1221" i="106"/>
  <c r="D1221" i="106" s="1"/>
  <c r="K124" i="29"/>
  <c r="B1276" i="106" s="1"/>
  <c r="D1276" i="106" s="1"/>
  <c r="B1220" i="106"/>
  <c r="D1220" i="106" s="1"/>
  <c r="K123" i="29"/>
  <c r="B1275" i="106" s="1"/>
  <c r="D1275" i="106" s="1"/>
  <c r="B1219" i="106"/>
  <c r="D1219" i="106" s="1"/>
  <c r="C127" i="29"/>
  <c r="B1223" i="106" s="1"/>
  <c r="D1223" i="106" s="1"/>
  <c r="K120" i="29"/>
  <c r="B4074" i="106"/>
  <c r="D4074" i="106" s="1"/>
  <c r="B5335" i="106"/>
  <c r="D5335" i="106" s="1"/>
  <c r="D18" i="5"/>
  <c r="B5339" i="106" s="1"/>
  <c r="D5339" i="106" s="1"/>
  <c r="I330" i="29"/>
  <c r="B7124" i="106"/>
  <c r="D7124" i="106" s="1"/>
  <c r="B6398" i="106"/>
  <c r="D6398" i="106" s="1"/>
  <c r="J175" i="5"/>
  <c r="B5919" i="106"/>
  <c r="D5919" i="106" s="1"/>
  <c r="I18" i="5"/>
  <c r="B5923" i="106" s="1"/>
  <c r="D5923" i="106" s="1"/>
  <c r="B5996" i="106"/>
  <c r="D5996" i="106" s="1"/>
  <c r="K108" i="5"/>
  <c r="B5999" i="106" s="1"/>
  <c r="D5999" i="106" s="1"/>
  <c r="L257" i="29"/>
  <c r="E34" i="3"/>
  <c r="B6127" i="106"/>
  <c r="D6127" i="106" s="1"/>
  <c r="D34" i="36"/>
  <c r="B3411" i="106"/>
  <c r="D3411" i="106" s="1"/>
  <c r="H310" i="29"/>
  <c r="B7115" i="106" s="1"/>
  <c r="D7115" i="106" s="1"/>
  <c r="B7106" i="106"/>
  <c r="D7106" i="106" s="1"/>
  <c r="D303" i="29"/>
  <c r="B1525" i="106"/>
  <c r="D1525" i="106" s="1"/>
  <c r="B5907" i="106"/>
  <c r="D5907" i="106" s="1"/>
  <c r="H181" i="5"/>
  <c r="B5908" i="106" s="1"/>
  <c r="D5908" i="106" s="1"/>
  <c r="B5879" i="106"/>
  <c r="D5879" i="106" s="1"/>
  <c r="B5871" i="106"/>
  <c r="D5871" i="106" s="1"/>
  <c r="B9" i="7"/>
  <c r="H41" i="4"/>
  <c r="B6289" i="106" s="1"/>
  <c r="D6289" i="106" s="1"/>
  <c r="B6250" i="106"/>
  <c r="D6250" i="106" s="1"/>
  <c r="E39" i="4"/>
  <c r="B6287" i="106" s="1"/>
  <c r="D6287" i="106" s="1"/>
  <c r="B6246" i="106"/>
  <c r="D6246" i="106" s="1"/>
  <c r="B6240" i="106"/>
  <c r="D6240" i="106" s="1"/>
  <c r="H14" i="118"/>
  <c r="H19" i="118"/>
  <c r="E37" i="4"/>
  <c r="B6285" i="106" s="1"/>
  <c r="D6285" i="106" s="1"/>
  <c r="B323" i="106"/>
  <c r="D323" i="106" s="1"/>
  <c r="D68" i="36"/>
  <c r="K108" i="29"/>
  <c r="B2796" i="106" s="1"/>
  <c r="D2796" i="106" s="1"/>
  <c r="B2792" i="106"/>
  <c r="D2792" i="106" s="1"/>
  <c r="K98" i="29"/>
  <c r="B7007" i="106" s="1"/>
  <c r="D7007" i="106" s="1"/>
  <c r="B7006" i="106"/>
  <c r="D7006" i="106" s="1"/>
  <c r="B6989" i="106"/>
  <c r="D6989" i="106" s="1"/>
  <c r="K89" i="29"/>
  <c r="B6990" i="106" s="1"/>
  <c r="D6990" i="106" s="1"/>
  <c r="K82" i="29"/>
  <c r="B2977" i="106" s="1"/>
  <c r="D2977" i="106" s="1"/>
  <c r="B2953" i="106"/>
  <c r="D2953" i="106" s="1"/>
  <c r="K78" i="29"/>
  <c r="E84" i="29"/>
  <c r="B2949" i="106"/>
  <c r="D2949" i="106" s="1"/>
  <c r="B756" i="106"/>
  <c r="D756" i="106" s="1"/>
  <c r="K75" i="29"/>
  <c r="K73" i="29"/>
  <c r="B754" i="106"/>
  <c r="D754" i="106" s="1"/>
  <c r="B751" i="106"/>
  <c r="D751" i="106" s="1"/>
  <c r="B749" i="106"/>
  <c r="D749" i="106" s="1"/>
  <c r="K70" i="29"/>
  <c r="B748" i="106"/>
  <c r="D748" i="106" s="1"/>
  <c r="K69" i="29"/>
  <c r="B747" i="106"/>
  <c r="D747" i="106" s="1"/>
  <c r="K68" i="29"/>
  <c r="C72" i="29"/>
  <c r="B753" i="106" s="1"/>
  <c r="D753" i="106" s="1"/>
  <c r="B746" i="106"/>
  <c r="D746" i="106" s="1"/>
  <c r="B743" i="106"/>
  <c r="D743" i="106" s="1"/>
  <c r="B742" i="106"/>
  <c r="D742" i="106" s="1"/>
  <c r="K63" i="29"/>
  <c r="B741" i="106"/>
  <c r="D741" i="106" s="1"/>
  <c r="B740" i="106"/>
  <c r="D740" i="106" s="1"/>
  <c r="K60" i="29"/>
  <c r="B739" i="106"/>
  <c r="D739" i="106" s="1"/>
  <c r="C65" i="29"/>
  <c r="B745" i="106" s="1"/>
  <c r="D745" i="106" s="1"/>
  <c r="B738" i="106"/>
  <c r="D738" i="106" s="1"/>
  <c r="B736" i="106"/>
  <c r="D736" i="106" s="1"/>
  <c r="B735" i="106"/>
  <c r="D735" i="106" s="1"/>
  <c r="C57" i="29"/>
  <c r="B737" i="106" s="1"/>
  <c r="D737" i="106" s="1"/>
  <c r="K55" i="29"/>
  <c r="K52" i="29"/>
  <c r="B6940" i="106" s="1"/>
  <c r="D6940" i="106" s="1"/>
  <c r="B6932" i="106"/>
  <c r="D6932" i="106" s="1"/>
  <c r="B2718" i="106"/>
  <c r="D2718" i="106" s="1"/>
  <c r="K51" i="29"/>
  <c r="B733" i="106"/>
  <c r="D733" i="106" s="1"/>
  <c r="K50" i="29"/>
  <c r="K49" i="29"/>
  <c r="B732" i="106"/>
  <c r="D732" i="106" s="1"/>
  <c r="C53" i="29"/>
  <c r="B734" i="106" s="1"/>
  <c r="D734" i="106" s="1"/>
  <c r="K46" i="29"/>
  <c r="B1118" i="106" s="1"/>
  <c r="D1118" i="106" s="1"/>
  <c r="B730" i="106"/>
  <c r="D730" i="106" s="1"/>
  <c r="B729" i="106"/>
  <c r="D729" i="106" s="1"/>
  <c r="K45" i="29"/>
  <c r="B1117" i="106" s="1"/>
  <c r="D1117" i="106" s="1"/>
  <c r="B728" i="106"/>
  <c r="D728" i="106" s="1"/>
  <c r="C47" i="29"/>
  <c r="B731" i="106" s="1"/>
  <c r="D731" i="106" s="1"/>
  <c r="K44" i="29"/>
  <c r="B726" i="106"/>
  <c r="D726" i="106" s="1"/>
  <c r="K41" i="29"/>
  <c r="B1114" i="106" s="1"/>
  <c r="D1114" i="106" s="1"/>
  <c r="B725" i="106"/>
  <c r="D725" i="106" s="1"/>
  <c r="K40" i="29"/>
  <c r="B1113" i="106" s="1"/>
  <c r="D1113" i="106" s="1"/>
  <c r="B724" i="106"/>
  <c r="D724" i="106" s="1"/>
  <c r="K39" i="29"/>
  <c r="B1112" i="106" s="1"/>
  <c r="D1112" i="106" s="1"/>
  <c r="K38" i="29"/>
  <c r="B1111" i="106" s="1"/>
  <c r="D1111" i="106" s="1"/>
  <c r="B723" i="106"/>
  <c r="D723" i="106" s="1"/>
  <c r="K37" i="29"/>
  <c r="B1110" i="106" s="1"/>
  <c r="D1110" i="106" s="1"/>
  <c r="B722" i="106"/>
  <c r="D722" i="106" s="1"/>
  <c r="C42" i="29"/>
  <c r="B721" i="106"/>
  <c r="D721" i="106" s="1"/>
  <c r="K36" i="29"/>
  <c r="K25" i="29"/>
  <c r="B6886" i="106"/>
  <c r="D6886" i="106" s="1"/>
  <c r="B995" i="106"/>
  <c r="D995" i="106" s="1"/>
  <c r="H33" i="29"/>
  <c r="D17" i="171"/>
  <c r="B4362" i="106"/>
  <c r="D4362" i="106" s="1"/>
  <c r="F170" i="34"/>
  <c r="B7875" i="106" s="1"/>
  <c r="D7875" i="106" s="1"/>
  <c r="F159" i="34"/>
  <c r="B7761" i="106"/>
  <c r="D7761" i="106" s="1"/>
  <c r="B6650" i="106"/>
  <c r="D6650" i="106" s="1"/>
  <c r="F138" i="34"/>
  <c r="B5168" i="106"/>
  <c r="D5168" i="106" s="1"/>
  <c r="F111" i="34"/>
  <c r="B7846" i="106" s="1"/>
  <c r="D7846" i="106" s="1"/>
  <c r="B5063" i="106"/>
  <c r="D5063" i="106" s="1"/>
  <c r="B3657" i="106"/>
  <c r="D3657" i="106" s="1"/>
  <c r="H362" i="29"/>
  <c r="K360" i="29"/>
  <c r="B3624" i="106"/>
  <c r="D3624" i="106" s="1"/>
  <c r="D350" i="29"/>
  <c r="B1451" i="106"/>
  <c r="D1451" i="106" s="1"/>
  <c r="K292" i="29"/>
  <c r="B1514" i="106" s="1"/>
  <c r="D1514" i="106" s="1"/>
  <c r="B1445" i="106"/>
  <c r="D1445" i="106" s="1"/>
  <c r="K278" i="29"/>
  <c r="B1509" i="106" s="1"/>
  <c r="D1509" i="106" s="1"/>
  <c r="B1432" i="106"/>
  <c r="D1432" i="106" s="1"/>
  <c r="K267" i="29"/>
  <c r="B1496" i="106" s="1"/>
  <c r="D1496" i="106" s="1"/>
  <c r="K255" i="29"/>
  <c r="B7096" i="106" s="1"/>
  <c r="D7096" i="106" s="1"/>
  <c r="B7095" i="106"/>
  <c r="D7095" i="106" s="1"/>
  <c r="K247" i="29"/>
  <c r="B2726" i="106" s="1"/>
  <c r="D2726" i="106" s="1"/>
  <c r="B2725" i="106"/>
  <c r="D2725" i="106" s="1"/>
  <c r="B1414" i="106"/>
  <c r="D1414" i="106" s="1"/>
  <c r="K235" i="29"/>
  <c r="B1478" i="106" s="1"/>
  <c r="D1478" i="106" s="1"/>
  <c r="K224" i="29"/>
  <c r="B1409" i="106"/>
  <c r="D1409" i="106" s="1"/>
  <c r="K216" i="29"/>
  <c r="B7073" i="106"/>
  <c r="D7073" i="106" s="1"/>
  <c r="B5790" i="106"/>
  <c r="D5790" i="106" s="1"/>
  <c r="B5779" i="106"/>
  <c r="D5779" i="106" s="1"/>
  <c r="G175" i="5"/>
  <c r="K206" i="29"/>
  <c r="B4210" i="106"/>
  <c r="D4210" i="106" s="1"/>
  <c r="K195" i="29"/>
  <c r="B2839" i="106" s="1"/>
  <c r="D2839" i="106" s="1"/>
  <c r="B2824" i="106"/>
  <c r="D2824" i="106" s="1"/>
  <c r="K190" i="29"/>
  <c r="B3009" i="106" s="1"/>
  <c r="D3009" i="106" s="1"/>
  <c r="B2991" i="106"/>
  <c r="D2991" i="106" s="1"/>
  <c r="B4085" i="106"/>
  <c r="D4085" i="106" s="1"/>
  <c r="B5664" i="106"/>
  <c r="D5664" i="106" s="1"/>
  <c r="F204" i="5"/>
  <c r="B5677" i="106" s="1"/>
  <c r="D5677" i="106" s="1"/>
  <c r="B5654" i="106"/>
  <c r="D5654" i="106" s="1"/>
  <c r="F175" i="5"/>
  <c r="B5593" i="106"/>
  <c r="D5593" i="106" s="1"/>
  <c r="F122" i="5"/>
  <c r="B5577" i="106"/>
  <c r="D5577" i="106" s="1"/>
  <c r="F26" i="34"/>
  <c r="B5571" i="106"/>
  <c r="D5571" i="106" s="1"/>
  <c r="F23" i="34"/>
  <c r="B5565" i="106"/>
  <c r="D5565" i="106" s="1"/>
  <c r="F86" i="34"/>
  <c r="K165" i="29"/>
  <c r="B2818" i="106" s="1"/>
  <c r="D2818" i="106" s="1"/>
  <c r="B2812" i="106"/>
  <c r="D2812" i="106" s="1"/>
  <c r="D44" i="4"/>
  <c r="B7749" i="106"/>
  <c r="D7749" i="106" s="1"/>
  <c r="J127" i="29"/>
  <c r="B7034" i="106" s="1"/>
  <c r="D7034" i="106" s="1"/>
  <c r="B7025" i="106"/>
  <c r="D7025" i="106" s="1"/>
  <c r="B7023" i="106"/>
  <c r="D7023" i="106" s="1"/>
  <c r="B4329" i="106"/>
  <c r="D4329" i="106" s="1"/>
  <c r="F121" i="34"/>
  <c r="B5391" i="106"/>
  <c r="D5391" i="106" s="1"/>
  <c r="D155" i="5"/>
  <c r="B5394" i="106" s="1"/>
  <c r="D5394" i="106" s="1"/>
  <c r="B7123" i="106"/>
  <c r="D7123" i="106" s="1"/>
  <c r="H330" i="29"/>
  <c r="B6300" i="106"/>
  <c r="D6300" i="106" s="1"/>
  <c r="B4215" i="106"/>
  <c r="D4215" i="106" s="1"/>
  <c r="I169" i="5"/>
  <c r="B6319" i="106"/>
  <c r="D6319" i="106" s="1"/>
  <c r="J108" i="5"/>
  <c r="B6351" i="106" s="1"/>
  <c r="D6351" i="106" s="1"/>
  <c r="B5349" i="106"/>
  <c r="D5349" i="106" s="1"/>
  <c r="D108" i="5"/>
  <c r="B5355" i="106" s="1"/>
  <c r="D5355" i="106" s="1"/>
  <c r="B5278" i="106"/>
  <c r="D5278" i="106" s="1"/>
  <c r="F129" i="34"/>
  <c r="B7861" i="106" s="1"/>
  <c r="D7861" i="106" s="1"/>
  <c r="L149" i="29"/>
  <c r="L147" i="29"/>
  <c r="L340" i="29"/>
  <c r="H34" i="3"/>
  <c r="B6130" i="106"/>
  <c r="D6130" i="106" s="1"/>
  <c r="B6132" i="106"/>
  <c r="D6132" i="106" s="1"/>
  <c r="B6219" i="106"/>
  <c r="D6219" i="106" s="1"/>
  <c r="L100" i="29"/>
  <c r="B7753" i="106"/>
  <c r="D7753" i="106" s="1"/>
  <c r="H44" i="4"/>
  <c r="E310" i="29"/>
  <c r="B7114" i="106" s="1"/>
  <c r="D7114" i="106" s="1"/>
  <c r="K306" i="29"/>
  <c r="B7105" i="106"/>
  <c r="D7105" i="106" s="1"/>
  <c r="B1522" i="106"/>
  <c r="D1522" i="106" s="1"/>
  <c r="K302" i="29"/>
  <c r="B1558" i="106" s="1"/>
  <c r="D1558" i="106" s="1"/>
  <c r="B1519" i="106"/>
  <c r="D1519" i="106" s="1"/>
  <c r="K301" i="29"/>
  <c r="C303" i="29"/>
  <c r="B6371" i="106"/>
  <c r="D6371" i="106" s="1"/>
  <c r="H169" i="5"/>
  <c r="B5899" i="106" s="1"/>
  <c r="D5899" i="106" s="1"/>
  <c r="B2791" i="106"/>
  <c r="D2791" i="106" s="1"/>
  <c r="K107" i="29"/>
  <c r="B2795" i="106" s="1"/>
  <c r="D2795" i="106" s="1"/>
  <c r="K97" i="29"/>
  <c r="B7005" i="106" s="1"/>
  <c r="D7005" i="106" s="1"/>
  <c r="B7004" i="106"/>
  <c r="D7004" i="106" s="1"/>
  <c r="B6987" i="106"/>
  <c r="D6987" i="106" s="1"/>
  <c r="K88" i="29"/>
  <c r="B6988" i="106" s="1"/>
  <c r="D6988" i="106" s="1"/>
  <c r="J72" i="29"/>
  <c r="B6974" i="106" s="1"/>
  <c r="D6974" i="106" s="1"/>
  <c r="B6964" i="106"/>
  <c r="D6964" i="106" s="1"/>
  <c r="B6951" i="106"/>
  <c r="D6951" i="106" s="1"/>
  <c r="J65" i="29"/>
  <c r="B6962" i="106" s="1"/>
  <c r="D6962" i="106" s="1"/>
  <c r="B6945" i="106"/>
  <c r="D6945" i="106" s="1"/>
  <c r="J57" i="29"/>
  <c r="B6949" i="106" s="1"/>
  <c r="D6949" i="106" s="1"/>
  <c r="B6927" i="106"/>
  <c r="D6927" i="106" s="1"/>
  <c r="J53" i="29"/>
  <c r="B6943" i="106" s="1"/>
  <c r="D6943" i="106" s="1"/>
  <c r="J47" i="29"/>
  <c r="B6925" i="106" s="1"/>
  <c r="D6925" i="106" s="1"/>
  <c r="B6919" i="106"/>
  <c r="D6919" i="106" s="1"/>
  <c r="B6905" i="106"/>
  <c r="D6905" i="106" s="1"/>
  <c r="J42" i="29"/>
  <c r="B6900" i="106"/>
  <c r="D6900" i="106" s="1"/>
  <c r="K32" i="29"/>
  <c r="B6884" i="106"/>
  <c r="D6884" i="106" s="1"/>
  <c r="K24" i="29"/>
  <c r="B4358" i="106"/>
  <c r="D4358" i="106" s="1"/>
  <c r="F169" i="34"/>
  <c r="B7874" i="106" s="1"/>
  <c r="D7874" i="106" s="1"/>
  <c r="B4351" i="106"/>
  <c r="D4351" i="106" s="1"/>
  <c r="F110" i="34"/>
  <c r="B7845" i="106" s="1"/>
  <c r="D7845" i="106" s="1"/>
  <c r="B5086" i="106"/>
  <c r="D5086" i="106" s="1"/>
  <c r="B5080" i="106"/>
  <c r="D5080" i="106" s="1"/>
  <c r="B7236" i="106"/>
  <c r="D7236" i="106" s="1"/>
  <c r="K356" i="29"/>
  <c r="H357" i="29"/>
  <c r="B7237" i="106" s="1"/>
  <c r="D7237" i="106" s="1"/>
  <c r="K351" i="29"/>
  <c r="B3671" i="106" s="1"/>
  <c r="D3671" i="106" s="1"/>
  <c r="B3620" i="106"/>
  <c r="D3620" i="106" s="1"/>
  <c r="K349" i="29"/>
  <c r="B3669" i="106" s="1"/>
  <c r="D3669" i="106" s="1"/>
  <c r="B3618" i="106"/>
  <c r="D3618" i="106" s="1"/>
  <c r="K348" i="29"/>
  <c r="B3617" i="106"/>
  <c r="D3617" i="106" s="1"/>
  <c r="C350" i="29"/>
  <c r="B5986" i="106"/>
  <c r="D5986" i="106" s="1"/>
  <c r="B3259" i="106"/>
  <c r="D3259" i="106" s="1"/>
  <c r="G76" i="4"/>
  <c r="B3260" i="106" s="1"/>
  <c r="D3260" i="106" s="1"/>
  <c r="K291" i="29"/>
  <c r="B2846" i="106" s="1"/>
  <c r="D2846" i="106" s="1"/>
  <c r="B2844" i="106"/>
  <c r="D2844" i="106" s="1"/>
  <c r="B1431" i="106"/>
  <c r="D1431" i="106" s="1"/>
  <c r="K266" i="29"/>
  <c r="B1495" i="106" s="1"/>
  <c r="D1495" i="106" s="1"/>
  <c r="K254" i="29"/>
  <c r="B7094" i="106" s="1"/>
  <c r="D7094" i="106" s="1"/>
  <c r="B7093" i="106"/>
  <c r="D7093" i="106" s="1"/>
  <c r="B1423" i="106"/>
  <c r="D1423" i="106" s="1"/>
  <c r="K246" i="29"/>
  <c r="B1487" i="106" s="1"/>
  <c r="D1487" i="106" s="1"/>
  <c r="B1413" i="106"/>
  <c r="D1413" i="106" s="1"/>
  <c r="K234" i="29"/>
  <c r="B1477" i="106" s="1"/>
  <c r="D1477" i="106" s="1"/>
  <c r="K223" i="29"/>
  <c r="B1472" i="106" s="1"/>
  <c r="D1472" i="106" s="1"/>
  <c r="B1408" i="106"/>
  <c r="D1408" i="106" s="1"/>
  <c r="K215" i="29"/>
  <c r="D229" i="29"/>
  <c r="B1410" i="106" s="1"/>
  <c r="D1410" i="106" s="1"/>
  <c r="B3387" i="106"/>
  <c r="D3387" i="106" s="1"/>
  <c r="B5844" i="106"/>
  <c r="D5844" i="106" s="1"/>
  <c r="G221" i="5"/>
  <c r="B5847" i="106" s="1"/>
  <c r="D5847" i="106" s="1"/>
  <c r="B6380" i="106"/>
  <c r="D6380" i="106" s="1"/>
  <c r="G155" i="5"/>
  <c r="B4357" i="106" s="1"/>
  <c r="D4357" i="106" s="1"/>
  <c r="B5742" i="106"/>
  <c r="D5742" i="106" s="1"/>
  <c r="G122" i="5"/>
  <c r="B5748" i="106" s="1"/>
  <c r="D5748" i="106" s="1"/>
  <c r="K205" i="29"/>
  <c r="B7068" i="106" s="1"/>
  <c r="D7068" i="106" s="1"/>
  <c r="B7067" i="106"/>
  <c r="D7067" i="106" s="1"/>
  <c r="F184" i="29"/>
  <c r="B4084" i="106"/>
  <c r="D4084" i="106" s="1"/>
  <c r="B6617" i="106"/>
  <c r="D6617" i="106" s="1"/>
  <c r="F252" i="5"/>
  <c r="B6836" i="106" s="1"/>
  <c r="D6836" i="106" s="1"/>
  <c r="B4795" i="106"/>
  <c r="D4795" i="106" s="1"/>
  <c r="B5576" i="106"/>
  <c r="D5576" i="106" s="1"/>
  <c r="F25" i="34"/>
  <c r="B5570" i="106"/>
  <c r="D5570" i="106" s="1"/>
  <c r="F89" i="34"/>
  <c r="B5564" i="106"/>
  <c r="D5564" i="106" s="1"/>
  <c r="F18" i="34"/>
  <c r="B5556" i="106"/>
  <c r="D5556" i="106" s="1"/>
  <c r="B7750" i="106"/>
  <c r="D7750" i="106" s="1"/>
  <c r="B1311" i="106"/>
  <c r="D1311" i="106" s="1"/>
  <c r="K164" i="29"/>
  <c r="B1325" i="106" s="1"/>
  <c r="D1325" i="106" s="1"/>
  <c r="B4364" i="106"/>
  <c r="D4364" i="106" s="1"/>
  <c r="E175" i="5"/>
  <c r="B5514" i="106"/>
  <c r="D5514" i="106" s="1"/>
  <c r="E18" i="5"/>
  <c r="B5518" i="106" s="1"/>
  <c r="D5518" i="106" s="1"/>
  <c r="K148" i="29"/>
  <c r="B7050" i="106" s="1"/>
  <c r="D7050" i="106" s="1"/>
  <c r="B7049" i="106"/>
  <c r="D7049" i="106" s="1"/>
  <c r="K136" i="29"/>
  <c r="B2988" i="106" s="1"/>
  <c r="D2988" i="106" s="1"/>
  <c r="B4201" i="106"/>
  <c r="D4201" i="106" s="1"/>
  <c r="I127" i="29"/>
  <c r="B7033" i="106" s="1"/>
  <c r="D7033" i="106" s="1"/>
  <c r="B7024" i="106"/>
  <c r="D7024" i="106" s="1"/>
  <c r="B7022" i="106"/>
  <c r="D7022" i="106" s="1"/>
  <c r="B5440" i="106"/>
  <c r="D5440" i="106" s="1"/>
  <c r="D209" i="5"/>
  <c r="B4412" i="106" s="1"/>
  <c r="D4412" i="106" s="1"/>
  <c r="B5426" i="106"/>
  <c r="D5426" i="106" s="1"/>
  <c r="D188" i="5"/>
  <c r="B4313" i="106"/>
  <c r="D4313" i="106" s="1"/>
  <c r="F30" i="34"/>
  <c r="B7823" i="106" s="1"/>
  <c r="B5361" i="106"/>
  <c r="D5361" i="106" s="1"/>
  <c r="D122" i="5"/>
  <c r="B5343" i="106"/>
  <c r="D5343" i="106" s="1"/>
  <c r="D82" i="5"/>
  <c r="B5348" i="106" s="1"/>
  <c r="D5348" i="106" s="1"/>
  <c r="B7122" i="106"/>
  <c r="D7122" i="106" s="1"/>
  <c r="G330" i="29"/>
  <c r="B6316" i="106"/>
  <c r="D6316" i="106" s="1"/>
  <c r="B5107" i="106"/>
  <c r="D5107" i="106" s="1"/>
  <c r="F99" i="34"/>
  <c r="B5927" i="106"/>
  <c r="D5927" i="106" s="1"/>
  <c r="I108" i="5"/>
  <c r="B5930" i="106" s="1"/>
  <c r="D5930" i="106" s="1"/>
  <c r="B5458" i="106"/>
  <c r="D5458" i="106" s="1"/>
  <c r="F31" i="34"/>
  <c r="B7824" i="106" s="1"/>
  <c r="D217" i="5"/>
  <c r="B5470" i="106" s="1"/>
  <c r="D5470" i="106" s="1"/>
  <c r="L303" i="29"/>
  <c r="B3422" i="106"/>
  <c r="D3422" i="106" s="1"/>
  <c r="D38" i="36"/>
  <c r="L72" i="29"/>
  <c r="L65" i="29"/>
  <c r="L57" i="29"/>
  <c r="L53" i="29"/>
  <c r="L47" i="29"/>
  <c r="L42" i="29"/>
  <c r="B7100" i="106"/>
  <c r="D7100" i="106" s="1"/>
  <c r="J303" i="29"/>
  <c r="B4365" i="106"/>
  <c r="D4365" i="106" s="1"/>
  <c r="H175" i="5"/>
  <c r="C76" i="4"/>
  <c r="B3231" i="106" s="1"/>
  <c r="D3231" i="106" s="1"/>
  <c r="B5022" i="106"/>
  <c r="D5022" i="106" s="1"/>
  <c r="B5012" i="106"/>
  <c r="D5012" i="106" s="1"/>
  <c r="D71" i="36"/>
  <c r="B1049" i="106"/>
  <c r="D1049" i="106" s="1"/>
  <c r="K106" i="29"/>
  <c r="B1147" i="106" s="1"/>
  <c r="D1147" i="106" s="1"/>
  <c r="K96" i="29"/>
  <c r="B7003" i="106" s="1"/>
  <c r="D7003" i="106" s="1"/>
  <c r="B7002" i="106"/>
  <c r="D7002" i="106" s="1"/>
  <c r="B6985" i="106"/>
  <c r="D6985" i="106" s="1"/>
  <c r="K87" i="29"/>
  <c r="B6986" i="106" s="1"/>
  <c r="D6986" i="106" s="1"/>
  <c r="K81" i="29"/>
  <c r="B2976" i="106" s="1"/>
  <c r="D2976" i="106" s="1"/>
  <c r="B2952" i="106"/>
  <c r="D2952" i="106" s="1"/>
  <c r="I72" i="29"/>
  <c r="B6973" i="106" s="1"/>
  <c r="D6973" i="106" s="1"/>
  <c r="B6963" i="106"/>
  <c r="D6963" i="106" s="1"/>
  <c r="I65" i="29"/>
  <c r="B6961" i="106" s="1"/>
  <c r="D6961" i="106" s="1"/>
  <c r="B6950" i="106"/>
  <c r="D6950" i="106" s="1"/>
  <c r="I57" i="29"/>
  <c r="B6948" i="106" s="1"/>
  <c r="D6948" i="106" s="1"/>
  <c r="B6944" i="106"/>
  <c r="D6944" i="106" s="1"/>
  <c r="I53" i="29"/>
  <c r="B6942" i="106" s="1"/>
  <c r="D6942" i="106" s="1"/>
  <c r="B6926" i="106"/>
  <c r="D6926" i="106" s="1"/>
  <c r="B6918" i="106"/>
  <c r="D6918" i="106" s="1"/>
  <c r="I47" i="29"/>
  <c r="B6924" i="106" s="1"/>
  <c r="D6924" i="106" s="1"/>
  <c r="I42" i="29"/>
  <c r="B6904" i="106"/>
  <c r="D6904" i="106" s="1"/>
  <c r="K31" i="29"/>
  <c r="B6898" i="106"/>
  <c r="D6898" i="106" s="1"/>
  <c r="K23" i="29"/>
  <c r="B6882" i="106"/>
  <c r="D6882" i="106" s="1"/>
  <c r="B879" i="106"/>
  <c r="D879" i="106" s="1"/>
  <c r="F33" i="29"/>
  <c r="B6817" i="106"/>
  <c r="D6817" i="106" s="1"/>
  <c r="F156" i="34"/>
  <c r="B6753" i="106"/>
  <c r="D6753" i="106" s="1"/>
  <c r="F148" i="34"/>
  <c r="B7227" i="106"/>
  <c r="D7227" i="106" s="1"/>
  <c r="J350" i="29"/>
  <c r="B4868" i="106"/>
  <c r="D4868" i="106" s="1"/>
  <c r="K266" i="5"/>
  <c r="B4442" i="106" s="1"/>
  <c r="D4442" i="106" s="1"/>
  <c r="B5993" i="106"/>
  <c r="D5993" i="106" s="1"/>
  <c r="K290" i="29"/>
  <c r="B2845" i="106" s="1"/>
  <c r="D2845" i="106" s="1"/>
  <c r="B2843" i="106"/>
  <c r="D2843" i="106" s="1"/>
  <c r="B1440" i="106"/>
  <c r="D1440" i="106" s="1"/>
  <c r="K275" i="29"/>
  <c r="B1504" i="106" s="1"/>
  <c r="D1504" i="106" s="1"/>
  <c r="B1430" i="106"/>
  <c r="D1430" i="106" s="1"/>
  <c r="K265" i="29"/>
  <c r="B1494" i="106" s="1"/>
  <c r="D1494" i="106" s="1"/>
  <c r="K253" i="29"/>
  <c r="B7092" i="106" s="1"/>
  <c r="D7092" i="106" s="1"/>
  <c r="B7091" i="106"/>
  <c r="D7091" i="106" s="1"/>
  <c r="B1422" i="106"/>
  <c r="D1422" i="106" s="1"/>
  <c r="D257" i="29"/>
  <c r="B1424" i="106" s="1"/>
  <c r="D1424" i="106" s="1"/>
  <c r="K245" i="29"/>
  <c r="K233" i="29"/>
  <c r="B1476" i="106" s="1"/>
  <c r="D1476" i="106" s="1"/>
  <c r="B1412" i="106"/>
  <c r="D1412" i="106" s="1"/>
  <c r="B1407" i="106"/>
  <c r="D1407" i="106" s="1"/>
  <c r="K222" i="29"/>
  <c r="B1471" i="106" s="1"/>
  <c r="D1471" i="106" s="1"/>
  <c r="B5726" i="106"/>
  <c r="D5726" i="106" s="1"/>
  <c r="G18" i="5"/>
  <c r="B5730" i="106" s="1"/>
  <c r="D5730" i="106" s="1"/>
  <c r="B1373" i="106"/>
  <c r="D1373" i="106" s="1"/>
  <c r="K203" i="29"/>
  <c r="B1385" i="106" s="1"/>
  <c r="D1385" i="106" s="1"/>
  <c r="K193" i="29"/>
  <c r="B3012" i="106" s="1"/>
  <c r="D3012" i="106" s="1"/>
  <c r="B2994" i="106"/>
  <c r="D2994" i="106" s="1"/>
  <c r="K189" i="29"/>
  <c r="B3008" i="106" s="1"/>
  <c r="D3008" i="106" s="1"/>
  <c r="B2990" i="106"/>
  <c r="D2990" i="106" s="1"/>
  <c r="E184" i="29"/>
  <c r="B4083" i="106"/>
  <c r="D4083" i="106" s="1"/>
  <c r="B7764" i="106"/>
  <c r="D7764" i="106" s="1"/>
  <c r="F94" i="34"/>
  <c r="B6313" i="106"/>
  <c r="D6313" i="106" s="1"/>
  <c r="F22" i="34"/>
  <c r="B5563" i="106"/>
  <c r="D5563" i="106" s="1"/>
  <c r="F63" i="5"/>
  <c r="B5579" i="106" s="1"/>
  <c r="D5579" i="106" s="1"/>
  <c r="F85" i="34"/>
  <c r="B1310" i="106"/>
  <c r="D1310" i="106" s="1"/>
  <c r="H168" i="29"/>
  <c r="K163" i="29"/>
  <c r="B5528" i="106"/>
  <c r="D5528" i="106" s="1"/>
  <c r="E122" i="5"/>
  <c r="B1270" i="106"/>
  <c r="D1270" i="106" s="1"/>
  <c r="K146" i="29"/>
  <c r="B1285" i="106" s="1"/>
  <c r="D1285" i="106" s="1"/>
  <c r="B1260" i="106"/>
  <c r="D1260" i="106" s="1"/>
  <c r="H127" i="29"/>
  <c r="B1264" i="106" s="1"/>
  <c r="D1264" i="106" s="1"/>
  <c r="B4079" i="106"/>
  <c r="D4079" i="106" s="1"/>
  <c r="F29" i="34"/>
  <c r="B7881" i="106" s="1"/>
  <c r="D7881" i="106" s="1"/>
  <c r="B5387" i="106"/>
  <c r="D5387" i="106" s="1"/>
  <c r="B5333" i="106"/>
  <c r="D5333" i="106" s="1"/>
  <c r="B6239" i="106"/>
  <c r="D6239" i="106" s="1"/>
  <c r="J76" i="4"/>
  <c r="B6261" i="106" s="1"/>
  <c r="D6261" i="106" s="1"/>
  <c r="J44" i="4"/>
  <c r="B7754" i="106"/>
  <c r="D7754" i="106" s="1"/>
  <c r="B7121" i="106"/>
  <c r="D7121" i="106" s="1"/>
  <c r="F330" i="29"/>
  <c r="B6373" i="106"/>
  <c r="D6373" i="106" s="1"/>
  <c r="J169" i="5"/>
  <c r="B6396" i="106" s="1"/>
  <c r="D6396" i="106" s="1"/>
  <c r="B5917" i="106"/>
  <c r="D5917" i="106" s="1"/>
  <c r="B5882" i="106"/>
  <c r="D5882" i="106" s="1"/>
  <c r="H108" i="5"/>
  <c r="B5886" i="106" s="1"/>
  <c r="D5886" i="106" s="1"/>
  <c r="B5691" i="106"/>
  <c r="D5691" i="106" s="1"/>
  <c r="F217" i="5"/>
  <c r="B5703" i="106" s="1"/>
  <c r="D5703" i="106" s="1"/>
  <c r="F160" i="34"/>
  <c r="B7867" i="106" s="1"/>
  <c r="D7867" i="106" s="1"/>
  <c r="B7765" i="106"/>
  <c r="D7765" i="106" s="1"/>
  <c r="L310" i="29"/>
  <c r="D13" i="3"/>
  <c r="D35" i="36"/>
  <c r="B3414" i="106"/>
  <c r="D3414" i="106" s="1"/>
  <c r="G34" i="3"/>
  <c r="B6129" i="106"/>
  <c r="D6129" i="106" s="1"/>
  <c r="L204" i="29"/>
  <c r="L208" i="29" s="1"/>
  <c r="L184" i="29"/>
  <c r="L110" i="29"/>
  <c r="L112" i="29" s="1"/>
  <c r="K309" i="29"/>
  <c r="B3717" i="106" s="1"/>
  <c r="D3717" i="106" s="1"/>
  <c r="B7112" i="106"/>
  <c r="D7112" i="106" s="1"/>
  <c r="B7099" i="106"/>
  <c r="D7099" i="106" s="1"/>
  <c r="I303" i="29"/>
  <c r="I48" i="4"/>
  <c r="B2106" i="106" s="1"/>
  <c r="D2106" i="106" s="1"/>
  <c r="B321" i="106"/>
  <c r="D321" i="106" s="1"/>
  <c r="K105" i="29"/>
  <c r="H110" i="29"/>
  <c r="B1048" i="106"/>
  <c r="D1048" i="106" s="1"/>
  <c r="K95" i="29"/>
  <c r="B7001" i="106" s="1"/>
  <c r="D7001" i="106" s="1"/>
  <c r="B7000" i="106"/>
  <c r="D7000" i="106" s="1"/>
  <c r="B6983" i="106"/>
  <c r="D6983" i="106" s="1"/>
  <c r="K86" i="29"/>
  <c r="B6984" i="106" s="1"/>
  <c r="D6984" i="106" s="1"/>
  <c r="B1033" i="106"/>
  <c r="D1033" i="106" s="1"/>
  <c r="B1031" i="106"/>
  <c r="D1031" i="106" s="1"/>
  <c r="B1030" i="106"/>
  <c r="D1030" i="106" s="1"/>
  <c r="K59" i="29"/>
  <c r="H57" i="29"/>
  <c r="B1027" i="106" s="1"/>
  <c r="D1027" i="106" s="1"/>
  <c r="B1025" i="106"/>
  <c r="D1025" i="106" s="1"/>
  <c r="B1022" i="106"/>
  <c r="D1022" i="106" s="1"/>
  <c r="H53" i="29"/>
  <c r="B1024" i="106" s="1"/>
  <c r="D1024" i="106" s="1"/>
  <c r="B1018" i="106"/>
  <c r="D1018" i="106" s="1"/>
  <c r="H47" i="29"/>
  <c r="B1021" i="106" s="1"/>
  <c r="D1021" i="106" s="1"/>
  <c r="B1011" i="106"/>
  <c r="D1011" i="106" s="1"/>
  <c r="H42" i="29"/>
  <c r="B6896" i="106"/>
  <c r="D6896" i="106" s="1"/>
  <c r="K30" i="29"/>
  <c r="B6880" i="106"/>
  <c r="D6880" i="106" s="1"/>
  <c r="K22" i="29"/>
  <c r="B7253" i="106"/>
  <c r="D7253" i="106" s="1"/>
  <c r="B821" i="106"/>
  <c r="D821" i="106" s="1"/>
  <c r="B6809" i="106"/>
  <c r="D6809" i="106" s="1"/>
  <c r="F155" i="34"/>
  <c r="B5072" i="106"/>
  <c r="D5072" i="106" s="1"/>
  <c r="B5026" i="106"/>
  <c r="D5026" i="106" s="1"/>
  <c r="B13" i="7"/>
  <c r="I350" i="29"/>
  <c r="B7226" i="106"/>
  <c r="D7226" i="106" s="1"/>
  <c r="B4816" i="106"/>
  <c r="D4816" i="106" s="1"/>
  <c r="K181" i="5"/>
  <c r="B6016" i="106" s="1"/>
  <c r="D6016" i="106" s="1"/>
  <c r="B6374" i="106"/>
  <c r="D6374" i="106" s="1"/>
  <c r="K169" i="5"/>
  <c r="B5000" i="106" s="1"/>
  <c r="D5000" i="106" s="1"/>
  <c r="B1450" i="106"/>
  <c r="D1450" i="106" s="1"/>
  <c r="K289" i="29"/>
  <c r="B1513" i="106" s="1"/>
  <c r="D1513" i="106" s="1"/>
  <c r="B1439" i="106"/>
  <c r="D1439" i="106" s="1"/>
  <c r="K274" i="29"/>
  <c r="B1503" i="106" s="1"/>
  <c r="D1503" i="106" s="1"/>
  <c r="B1429" i="106"/>
  <c r="D1429" i="106" s="1"/>
  <c r="K264" i="29"/>
  <c r="B1493" i="106" s="1"/>
  <c r="D1493" i="106" s="1"/>
  <c r="K252" i="29"/>
  <c r="B7090" i="106" s="1"/>
  <c r="D7090" i="106" s="1"/>
  <c r="B7089" i="106"/>
  <c r="D7089" i="106" s="1"/>
  <c r="K242" i="29"/>
  <c r="B1484" i="106" s="1"/>
  <c r="D1484" i="106" s="1"/>
  <c r="B1420" i="106"/>
  <c r="D1420" i="106" s="1"/>
  <c r="K232" i="29"/>
  <c r="D238" i="29"/>
  <c r="B1411" i="106"/>
  <c r="D1411" i="106" s="1"/>
  <c r="B1406" i="106"/>
  <c r="D1406" i="106" s="1"/>
  <c r="K221" i="29"/>
  <c r="K202" i="29"/>
  <c r="B2842" i="106" s="1"/>
  <c r="D2842" i="106" s="1"/>
  <c r="B2832" i="106"/>
  <c r="D2832" i="106" s="1"/>
  <c r="H194" i="29"/>
  <c r="B2995" i="106"/>
  <c r="D2995" i="106" s="1"/>
  <c r="D184" i="29"/>
  <c r="B4082" i="106"/>
  <c r="D4082" i="106" s="1"/>
  <c r="B5615" i="106"/>
  <c r="D5615" i="106" s="1"/>
  <c r="F155" i="5"/>
  <c r="B5618" i="106" s="1"/>
  <c r="D5618" i="106" s="1"/>
  <c r="B5589" i="106"/>
  <c r="D5589" i="106" s="1"/>
  <c r="F114" i="5"/>
  <c r="B5575" i="106"/>
  <c r="D5575" i="106" s="1"/>
  <c r="F93" i="34"/>
  <c r="B5569" i="106"/>
  <c r="D5569" i="106" s="1"/>
  <c r="F21" i="34"/>
  <c r="E76" i="4"/>
  <c r="B3276" i="106" s="1"/>
  <c r="D3276" i="106" s="1"/>
  <c r="B2817" i="106"/>
  <c r="D2817" i="106" s="1"/>
  <c r="B1307" i="106"/>
  <c r="D1307" i="106" s="1"/>
  <c r="E172" i="29"/>
  <c r="K171" i="29"/>
  <c r="B1330" i="106" s="1"/>
  <c r="D1330" i="106" s="1"/>
  <c r="H160" i="29"/>
  <c r="B7053" i="106" s="1"/>
  <c r="D7053" i="106" s="1"/>
  <c r="B7777" i="106"/>
  <c r="D7777" i="106" s="1"/>
  <c r="K157" i="29"/>
  <c r="K52" i="4"/>
  <c r="B3698" i="106"/>
  <c r="D3698" i="106" s="1"/>
  <c r="K145" i="29"/>
  <c r="B2811" i="106" s="1"/>
  <c r="D2811" i="106" s="1"/>
  <c r="B2808" i="106"/>
  <c r="D2808" i="106" s="1"/>
  <c r="K135" i="29"/>
  <c r="B2987" i="106" s="1"/>
  <c r="D2987" i="106" s="1"/>
  <c r="B4200" i="106"/>
  <c r="D4200" i="106" s="1"/>
  <c r="B1251" i="106"/>
  <c r="D1251" i="106" s="1"/>
  <c r="G127" i="29"/>
  <c r="B1256" i="106" s="1"/>
  <c r="D1256" i="106" s="1"/>
  <c r="B4078" i="106"/>
  <c r="D4078" i="106" s="1"/>
  <c r="B6615" i="106"/>
  <c r="D6615" i="106" s="1"/>
  <c r="D252" i="5"/>
  <c r="B6834" i="106" s="1"/>
  <c r="D6834" i="106" s="1"/>
  <c r="B5370" i="106"/>
  <c r="D5370" i="106" s="1"/>
  <c r="D141" i="5"/>
  <c r="B5383" i="106" s="1"/>
  <c r="D5383" i="106" s="1"/>
  <c r="B5340" i="106"/>
  <c r="D5340" i="106" s="1"/>
  <c r="B7212" i="106"/>
  <c r="D7212" i="106" s="1"/>
  <c r="K339" i="29"/>
  <c r="B7213" i="106" s="1"/>
  <c r="D7213" i="106" s="1"/>
  <c r="E330" i="29"/>
  <c r="B7120" i="106"/>
  <c r="D7120" i="106" s="1"/>
  <c r="B11" i="7"/>
  <c r="B6298" i="106"/>
  <c r="D6298" i="106" s="1"/>
  <c r="J12" i="5"/>
  <c r="B5924" i="106"/>
  <c r="D5924" i="106" s="1"/>
  <c r="B5734" i="106"/>
  <c r="D5734" i="106" s="1"/>
  <c r="G108" i="5"/>
  <c r="B5737" i="106" s="1"/>
  <c r="D5737" i="106" s="1"/>
  <c r="B6402" i="106"/>
  <c r="D6402" i="106" s="1"/>
  <c r="G198" i="5"/>
  <c r="B6409" i="106" s="1"/>
  <c r="D6409" i="106" s="1"/>
  <c r="B5817" i="106"/>
  <c r="D5817" i="106" s="1"/>
  <c r="G217" i="5"/>
  <c r="B5829" i="106" s="1"/>
  <c r="D5829" i="106" s="1"/>
  <c r="L194" i="29"/>
  <c r="L293" i="29"/>
  <c r="B179" i="106"/>
  <c r="D179" i="106" s="1"/>
  <c r="L84" i="29"/>
  <c r="L102" i="29" s="1"/>
  <c r="H303" i="29"/>
  <c r="B1549" i="106"/>
  <c r="D1549" i="106" s="1"/>
  <c r="B5874" i="106"/>
  <c r="D5874" i="106" s="1"/>
  <c r="H18" i="5"/>
  <c r="B5878" i="106" s="1"/>
  <c r="D5878" i="106" s="1"/>
  <c r="B6248" i="106"/>
  <c r="D6248" i="106" s="1"/>
  <c r="E40" i="4"/>
  <c r="B6288" i="106" s="1"/>
  <c r="D6288" i="106" s="1"/>
  <c r="B6243" i="106"/>
  <c r="D6243" i="106" s="1"/>
  <c r="E38" i="4"/>
  <c r="B6286" i="106" s="1"/>
  <c r="D6286" i="106" s="1"/>
  <c r="B6290" i="106"/>
  <c r="D6290" i="106" s="1"/>
  <c r="D73" i="36"/>
  <c r="I47" i="4"/>
  <c r="B7748" i="106"/>
  <c r="D7748" i="106" s="1"/>
  <c r="K94" i="29"/>
  <c r="B6999" i="106" s="1"/>
  <c r="D6999" i="106" s="1"/>
  <c r="B6998" i="106"/>
  <c r="D6998" i="106" s="1"/>
  <c r="H92" i="29"/>
  <c r="B6981" i="106"/>
  <c r="D6981" i="106" s="1"/>
  <c r="K85" i="29"/>
  <c r="B6982" i="106" s="1"/>
  <c r="D6982" i="106" s="1"/>
  <c r="K80" i="29"/>
  <c r="B2975" i="106" s="1"/>
  <c r="D2975" i="106" s="1"/>
  <c r="B2951" i="106"/>
  <c r="D2951" i="106" s="1"/>
  <c r="B983" i="106"/>
  <c r="D983" i="106" s="1"/>
  <c r="B978" i="106"/>
  <c r="D978" i="106" s="1"/>
  <c r="B973" i="106"/>
  <c r="D973" i="106" s="1"/>
  <c r="B970" i="106"/>
  <c r="D970" i="106" s="1"/>
  <c r="B967" i="106"/>
  <c r="D967" i="106" s="1"/>
  <c r="G57" i="29"/>
  <c r="B969" i="106" s="1"/>
  <c r="D969" i="106" s="1"/>
  <c r="B964" i="106"/>
  <c r="D964" i="106" s="1"/>
  <c r="G53" i="29"/>
  <c r="B966" i="106" s="1"/>
  <c r="D966" i="106" s="1"/>
  <c r="B960" i="106"/>
  <c r="D960" i="106" s="1"/>
  <c r="G47" i="29"/>
  <c r="B963" i="106" s="1"/>
  <c r="D963" i="106" s="1"/>
  <c r="G42" i="29"/>
  <c r="B953" i="106"/>
  <c r="D953" i="106" s="1"/>
  <c r="K29" i="29"/>
  <c r="B6894" i="106"/>
  <c r="D6894" i="106" s="1"/>
  <c r="K21" i="29"/>
  <c r="B6878" i="106"/>
  <c r="D6878" i="106" s="1"/>
  <c r="B763" i="106"/>
  <c r="D763" i="106" s="1"/>
  <c r="D33" i="29"/>
  <c r="B6622" i="106"/>
  <c r="D6622" i="106" s="1"/>
  <c r="F134" i="34"/>
  <c r="B5163" i="106"/>
  <c r="D5163" i="106" s="1"/>
  <c r="B3652" i="106"/>
  <c r="D3652" i="106" s="1"/>
  <c r="H350" i="29"/>
  <c r="B1449" i="106"/>
  <c r="D1449" i="106" s="1"/>
  <c r="K288" i="29"/>
  <c r="H293" i="29"/>
  <c r="B1438" i="106"/>
  <c r="D1438" i="106" s="1"/>
  <c r="K273" i="29"/>
  <c r="B1502" i="106" s="1"/>
  <c r="D1502" i="106" s="1"/>
  <c r="K263" i="29"/>
  <c r="B1428" i="106"/>
  <c r="D1428" i="106" s="1"/>
  <c r="D270" i="29"/>
  <c r="B1436" i="106" s="1"/>
  <c r="D1436" i="106" s="1"/>
  <c r="K251" i="29"/>
  <c r="B7088" i="106" s="1"/>
  <c r="D7088" i="106" s="1"/>
  <c r="B7087" i="106"/>
  <c r="D7087" i="106" s="1"/>
  <c r="K241" i="29"/>
  <c r="B1483" i="106" s="1"/>
  <c r="D1483" i="106" s="1"/>
  <c r="B1419" i="106"/>
  <c r="D1419" i="106" s="1"/>
  <c r="K228" i="29"/>
  <c r="B3392" i="106" s="1"/>
  <c r="D3392" i="106" s="1"/>
  <c r="B3389" i="106"/>
  <c r="D3389" i="106" s="1"/>
  <c r="K220" i="29"/>
  <c r="B7077" i="106"/>
  <c r="D7077" i="106" s="1"/>
  <c r="B5799" i="106"/>
  <c r="D5799" i="106" s="1"/>
  <c r="G209" i="5"/>
  <c r="B4414" i="106" s="1"/>
  <c r="D4414" i="106" s="1"/>
  <c r="B5785" i="106"/>
  <c r="D5785" i="106" s="1"/>
  <c r="G188" i="5"/>
  <c r="B5738" i="106"/>
  <c r="D5738" i="106" s="1"/>
  <c r="G114" i="5"/>
  <c r="B5024" i="106"/>
  <c r="D5024" i="106" s="1"/>
  <c r="K201" i="29"/>
  <c r="B2841" i="106" s="1"/>
  <c r="D2841" i="106" s="1"/>
  <c r="B2831" i="106"/>
  <c r="D2831" i="106" s="1"/>
  <c r="K192" i="29"/>
  <c r="B3011" i="106" s="1"/>
  <c r="D3011" i="106" s="1"/>
  <c r="B2993" i="106"/>
  <c r="D2993" i="106" s="1"/>
  <c r="K188" i="29"/>
  <c r="E194" i="29"/>
  <c r="B2989" i="106"/>
  <c r="D2989" i="106" s="1"/>
  <c r="K185" i="29"/>
  <c r="B2820" i="106"/>
  <c r="D2820" i="106" s="1"/>
  <c r="B1338" i="106"/>
  <c r="D1338" i="106" s="1"/>
  <c r="K183" i="29"/>
  <c r="B1380" i="106" s="1"/>
  <c r="D1380" i="106" s="1"/>
  <c r="B1335" i="106"/>
  <c r="D1335" i="106" s="1"/>
  <c r="B5673" i="106"/>
  <c r="D5673" i="106" s="1"/>
  <c r="F209" i="5"/>
  <c r="B4413" i="106" s="1"/>
  <c r="D4413" i="106" s="1"/>
  <c r="B5659" i="106"/>
  <c r="D5659" i="106" s="1"/>
  <c r="F188" i="5"/>
  <c r="B5600" i="106"/>
  <c r="D5600" i="106" s="1"/>
  <c r="F132" i="5"/>
  <c r="B5574" i="106"/>
  <c r="D5574" i="106" s="1"/>
  <c r="F24" i="34"/>
  <c r="B5568" i="106"/>
  <c r="D5568" i="106" s="1"/>
  <c r="F20" i="34"/>
  <c r="B5555" i="106"/>
  <c r="D5555" i="106" s="1"/>
  <c r="K170" i="29"/>
  <c r="B1315" i="106"/>
  <c r="D1315" i="106" s="1"/>
  <c r="D69" i="36"/>
  <c r="B5512" i="106"/>
  <c r="D5512" i="106" s="1"/>
  <c r="D76" i="4"/>
  <c r="B3237" i="106" s="1"/>
  <c r="D3237" i="106" s="1"/>
  <c r="B5023" i="106"/>
  <c r="D5023" i="106" s="1"/>
  <c r="B3161" i="106"/>
  <c r="D3161" i="106" s="1"/>
  <c r="H51" i="4"/>
  <c r="B3170" i="106" s="1"/>
  <c r="D3170" i="106" s="1"/>
  <c r="K144" i="29"/>
  <c r="B2810" i="106" s="1"/>
  <c r="D2810" i="106" s="1"/>
  <c r="B2807" i="106"/>
  <c r="D2807" i="106" s="1"/>
  <c r="B2979" i="106"/>
  <c r="D2979" i="106" s="1"/>
  <c r="H137" i="29"/>
  <c r="F127" i="29"/>
  <c r="B1247" i="106" s="1"/>
  <c r="D1247" i="106" s="1"/>
  <c r="B1243" i="106"/>
  <c r="D1243" i="106" s="1"/>
  <c r="B4077" i="106"/>
  <c r="D4077" i="106" s="1"/>
  <c r="B5494" i="106"/>
  <c r="D5494" i="106" s="1"/>
  <c r="F33" i="34"/>
  <c r="B5424" i="106"/>
  <c r="D5424" i="106" s="1"/>
  <c r="D181" i="5"/>
  <c r="B5425" i="106" s="1"/>
  <c r="D5425" i="106" s="1"/>
  <c r="B5357" i="106"/>
  <c r="D5357" i="106" s="1"/>
  <c r="D114" i="5"/>
  <c r="B7210" i="106"/>
  <c r="D7210" i="106" s="1"/>
  <c r="K338" i="29"/>
  <c r="B7211" i="106" s="1"/>
  <c r="D7211" i="106" s="1"/>
  <c r="D330" i="29"/>
  <c r="B7119" i="106"/>
  <c r="D7119" i="106" s="1"/>
  <c r="B5583" i="106"/>
  <c r="D5583" i="106" s="1"/>
  <c r="F108" i="5"/>
  <c r="B5587" i="106" s="1"/>
  <c r="D5587" i="106" s="1"/>
  <c r="B4340" i="106"/>
  <c r="D4340" i="106" s="1"/>
  <c r="F132" i="34"/>
  <c r="B7864" i="106" s="1"/>
  <c r="D7864" i="106" s="1"/>
  <c r="B5279" i="106"/>
  <c r="D5279" i="106" s="1"/>
  <c r="F130" i="34"/>
  <c r="B7862" i="106" s="1"/>
  <c r="D7862" i="106" s="1"/>
  <c r="L168" i="29"/>
  <c r="L172" i="29" s="1"/>
  <c r="L174" i="29" s="1"/>
  <c r="L243" i="29"/>
  <c r="L270" i="29"/>
  <c r="C34" i="3"/>
  <c r="B6125" i="106"/>
  <c r="D6125" i="106" s="1"/>
  <c r="B6117" i="106"/>
  <c r="D6117" i="106" s="1"/>
  <c r="K308" i="29"/>
  <c r="B4100" i="106" s="1"/>
  <c r="D4100" i="106" s="1"/>
  <c r="B7110" i="106"/>
  <c r="D7110" i="106" s="1"/>
  <c r="G303" i="29"/>
  <c r="B1543" i="106"/>
  <c r="D1543" i="106" s="1"/>
  <c r="B6619" i="106"/>
  <c r="D6619" i="106" s="1"/>
  <c r="H252" i="5"/>
  <c r="B7882" i="106"/>
  <c r="D7882" i="106" s="1"/>
  <c r="H122" i="5"/>
  <c r="B6299" i="106"/>
  <c r="D6299" i="106" s="1"/>
  <c r="K101" i="29"/>
  <c r="B7015" i="106" s="1"/>
  <c r="D7015" i="106" s="1"/>
  <c r="B2947" i="106"/>
  <c r="D2947" i="106" s="1"/>
  <c r="K93" i="29"/>
  <c r="H100" i="29"/>
  <c r="B7012" i="106" s="1"/>
  <c r="D7012" i="106" s="1"/>
  <c r="B6996" i="106"/>
  <c r="D6996" i="106" s="1"/>
  <c r="F72" i="29"/>
  <c r="B927" i="106" s="1"/>
  <c r="D927" i="106" s="1"/>
  <c r="B920" i="106"/>
  <c r="D920" i="106" s="1"/>
  <c r="F65" i="29"/>
  <c r="B919" i="106" s="1"/>
  <c r="D919" i="106" s="1"/>
  <c r="B912" i="106"/>
  <c r="D912" i="106" s="1"/>
  <c r="B909" i="106"/>
  <c r="D909" i="106" s="1"/>
  <c r="F57" i="29"/>
  <c r="B911" i="106" s="1"/>
  <c r="D911" i="106" s="1"/>
  <c r="F53" i="29"/>
  <c r="B908" i="106" s="1"/>
  <c r="D908" i="106" s="1"/>
  <c r="B906" i="106"/>
  <c r="D906" i="106" s="1"/>
  <c r="B902" i="106"/>
  <c r="D902" i="106" s="1"/>
  <c r="F47" i="29"/>
  <c r="B905" i="106" s="1"/>
  <c r="D905" i="106" s="1"/>
  <c r="F42" i="29"/>
  <c r="B895" i="106"/>
  <c r="D895" i="106" s="1"/>
  <c r="K28" i="29"/>
  <c r="B6892" i="106"/>
  <c r="D6892" i="106" s="1"/>
  <c r="B6876" i="106"/>
  <c r="D6876" i="106" s="1"/>
  <c r="K20" i="29"/>
  <c r="K19" i="29"/>
  <c r="B3381" i="106" s="1"/>
  <c r="D3381" i="106" s="1"/>
  <c r="B3367" i="106"/>
  <c r="D3367" i="106" s="1"/>
  <c r="K18" i="29"/>
  <c r="B1100" i="106" s="1"/>
  <c r="D1100" i="106" s="1"/>
  <c r="B712" i="106"/>
  <c r="D712" i="106" s="1"/>
  <c r="K17" i="29"/>
  <c r="B6871" i="106" s="1"/>
  <c r="D6871" i="106" s="1"/>
  <c r="B7263" i="106"/>
  <c r="D7263" i="106" s="1"/>
  <c r="K16" i="29"/>
  <c r="B1094" i="106" s="1"/>
  <c r="D1094" i="106" s="1"/>
  <c r="B706" i="106"/>
  <c r="D706" i="106" s="1"/>
  <c r="B719" i="106"/>
  <c r="D719" i="106" s="1"/>
  <c r="K15" i="29"/>
  <c r="B718" i="106"/>
  <c r="D718" i="106" s="1"/>
  <c r="K14" i="29"/>
  <c r="B1106" i="106" s="1"/>
  <c r="D1106" i="106" s="1"/>
  <c r="B717" i="106"/>
  <c r="D717" i="106" s="1"/>
  <c r="K13" i="29"/>
  <c r="B1105" i="106" s="1"/>
  <c r="D1105" i="106" s="1"/>
  <c r="B716" i="106"/>
  <c r="D716" i="106" s="1"/>
  <c r="K12" i="29"/>
  <c r="B7257" i="106"/>
  <c r="D7257" i="106" s="1"/>
  <c r="K11" i="29"/>
  <c r="B3055" i="106"/>
  <c r="D3055" i="106" s="1"/>
  <c r="K10" i="29"/>
  <c r="B3062" i="106" s="1"/>
  <c r="D3062" i="106" s="1"/>
  <c r="B7251" i="106"/>
  <c r="D7251" i="106" s="1"/>
  <c r="K8" i="29"/>
  <c r="B3380" i="106" s="1"/>
  <c r="D3380" i="106" s="1"/>
  <c r="B3366" i="106"/>
  <c r="D3366" i="106" s="1"/>
  <c r="B6727" i="106"/>
  <c r="D6727" i="106" s="1"/>
  <c r="K7" i="29"/>
  <c r="B705" i="106"/>
  <c r="D705" i="106" s="1"/>
  <c r="C33" i="29"/>
  <c r="B5315" i="106"/>
  <c r="D5315" i="106" s="1"/>
  <c r="F163" i="34"/>
  <c r="B7870" i="106" s="1"/>
  <c r="D7870" i="106" s="1"/>
  <c r="B6793" i="106"/>
  <c r="D6793" i="106" s="1"/>
  <c r="F153" i="34"/>
  <c r="B6031" i="106"/>
  <c r="D6031" i="106" s="1"/>
  <c r="K44" i="4"/>
  <c r="B7755" i="106"/>
  <c r="D7755" i="106" s="1"/>
  <c r="B3645" i="106"/>
  <c r="D3645" i="106" s="1"/>
  <c r="G350" i="29"/>
  <c r="B4368" i="106"/>
  <c r="D4368" i="106" s="1"/>
  <c r="K175" i="5"/>
  <c r="K284" i="29"/>
  <c r="B4166" i="106" s="1"/>
  <c r="D4166" i="106" s="1"/>
  <c r="B4165" i="106"/>
  <c r="D4165" i="106" s="1"/>
  <c r="B1437" i="106"/>
  <c r="D1437" i="106" s="1"/>
  <c r="K272" i="29"/>
  <c r="D277" i="29"/>
  <c r="B1444" i="106" s="1"/>
  <c r="D1444" i="106" s="1"/>
  <c r="K260" i="29"/>
  <c r="B1490" i="106" s="1"/>
  <c r="D1490" i="106" s="1"/>
  <c r="B1426" i="106"/>
  <c r="D1426" i="106" s="1"/>
  <c r="K250" i="29"/>
  <c r="B7086" i="106" s="1"/>
  <c r="D7086" i="106" s="1"/>
  <c r="B7085" i="106"/>
  <c r="D7085" i="106" s="1"/>
  <c r="D243" i="29"/>
  <c r="B1421" i="106" s="1"/>
  <c r="D1421" i="106" s="1"/>
  <c r="K240" i="29"/>
  <c r="B1418" i="106"/>
  <c r="D1418" i="106" s="1"/>
  <c r="K227" i="29"/>
  <c r="B1466" i="106" s="1"/>
  <c r="D1466" i="106" s="1"/>
  <c r="B1402" i="106"/>
  <c r="D1402" i="106" s="1"/>
  <c r="K219" i="29"/>
  <c r="B3065" i="106" s="1"/>
  <c r="D3065" i="106" s="1"/>
  <c r="B3064" i="106"/>
  <c r="D3064" i="106" s="1"/>
  <c r="B5749" i="106"/>
  <c r="D5749" i="106" s="1"/>
  <c r="G141" i="5"/>
  <c r="B5724" i="106"/>
  <c r="D5724" i="106" s="1"/>
  <c r="K200" i="29"/>
  <c r="B1384" i="106" s="1"/>
  <c r="D1384" i="106" s="1"/>
  <c r="B1372" i="106"/>
  <c r="D1372" i="106" s="1"/>
  <c r="J184" i="29"/>
  <c r="B7058" i="106"/>
  <c r="D7058" i="106" s="1"/>
  <c r="B5580" i="106"/>
  <c r="D5580" i="106" s="1"/>
  <c r="B5573" i="106"/>
  <c r="D5573" i="106" s="1"/>
  <c r="F92" i="34"/>
  <c r="B5567" i="106"/>
  <c r="D5567" i="106" s="1"/>
  <c r="F19" i="34"/>
  <c r="K169" i="29"/>
  <c r="B1326" i="106" s="1"/>
  <c r="D1326" i="106" s="1"/>
  <c r="B1312" i="106"/>
  <c r="D1312" i="106" s="1"/>
  <c r="B1269" i="106"/>
  <c r="D1269" i="106" s="1"/>
  <c r="K143" i="29"/>
  <c r="B1284" i="106" s="1"/>
  <c r="D1284" i="106" s="1"/>
  <c r="K134" i="29"/>
  <c r="B4199" i="106"/>
  <c r="D4199" i="106" s="1"/>
  <c r="E137" i="29"/>
  <c r="B2797" i="106"/>
  <c r="D2797" i="106" s="1"/>
  <c r="K130" i="29"/>
  <c r="K128" i="29"/>
  <c r="B1280" i="106" s="1"/>
  <c r="D1280" i="106" s="1"/>
  <c r="B1224" i="106"/>
  <c r="D1224" i="106" s="1"/>
  <c r="B4076" i="106"/>
  <c r="D4076" i="106" s="1"/>
  <c r="B5431" i="106"/>
  <c r="D5431" i="106" s="1"/>
  <c r="D204" i="5"/>
  <c r="B5444" i="106" s="1"/>
  <c r="D5444" i="106" s="1"/>
  <c r="B5368" i="106"/>
  <c r="D5368" i="106" s="1"/>
  <c r="D132" i="5"/>
  <c r="B7208" i="106"/>
  <c r="D7208" i="106" s="1"/>
  <c r="K337" i="29"/>
  <c r="H340" i="29"/>
  <c r="B7214" i="106" s="1"/>
  <c r="D7214" i="106" s="1"/>
  <c r="K329" i="29"/>
  <c r="B7697" i="106"/>
  <c r="D7697" i="106" s="1"/>
  <c r="K328" i="29"/>
  <c r="B7688" i="106"/>
  <c r="D7688" i="106" s="1"/>
  <c r="K327" i="29"/>
  <c r="B7190" i="106"/>
  <c r="D7190" i="106" s="1"/>
  <c r="B7181" i="106"/>
  <c r="D7181" i="106" s="1"/>
  <c r="K326" i="29"/>
  <c r="K325" i="29"/>
  <c r="B7172" i="106"/>
  <c r="D7172" i="106" s="1"/>
  <c r="K324" i="29"/>
  <c r="B7163" i="106"/>
  <c r="D7163" i="106" s="1"/>
  <c r="B7154" i="106"/>
  <c r="D7154" i="106" s="1"/>
  <c r="K323" i="29"/>
  <c r="B7145" i="106"/>
  <c r="D7145" i="106" s="1"/>
  <c r="K322" i="29"/>
  <c r="K321" i="29"/>
  <c r="B7136" i="106"/>
  <c r="D7136" i="106" s="1"/>
  <c r="K320" i="29"/>
  <c r="B7127" i="106"/>
  <c r="D7127" i="106" s="1"/>
  <c r="C330" i="29"/>
  <c r="K319" i="29"/>
  <c r="B7118" i="106"/>
  <c r="D7118" i="106" s="1"/>
  <c r="B6302" i="106"/>
  <c r="D6302" i="106" s="1"/>
  <c r="J18" i="5"/>
  <c r="B6306" i="106" s="1"/>
  <c r="D6306" i="106" s="1"/>
  <c r="B2772" i="106"/>
  <c r="D2772" i="106" s="1"/>
  <c r="I44" i="4"/>
  <c r="B5115" i="106"/>
  <c r="D5115" i="106" s="1"/>
  <c r="F103" i="34"/>
  <c r="B7840" i="106" s="1"/>
  <c r="D7840" i="106" s="1"/>
  <c r="B5522" i="106"/>
  <c r="D5522" i="106" s="1"/>
  <c r="E108" i="5"/>
  <c r="B5526" i="106" s="1"/>
  <c r="D5526" i="106" s="1"/>
  <c r="B5459" i="106"/>
  <c r="D5459" i="106" s="1"/>
  <c r="F32" i="34"/>
  <c r="B7825" i="106" s="1"/>
  <c r="D7825" i="106" s="1"/>
  <c r="B5581" i="106"/>
  <c r="D5581" i="106" s="1"/>
  <c r="B5520" i="106"/>
  <c r="D5520" i="106" s="1"/>
  <c r="B6317" i="106"/>
  <c r="D6317" i="106" s="1"/>
  <c r="B5994" i="106"/>
  <c r="D5994" i="106" s="1"/>
  <c r="B5341" i="106"/>
  <c r="D5341" i="106" s="1"/>
  <c r="B5925" i="106"/>
  <c r="D5925" i="106" s="1"/>
  <c r="B5880" i="106"/>
  <c r="D5880" i="106" s="1"/>
  <c r="B6785" i="106"/>
  <c r="D6785" i="106" s="1"/>
  <c r="B4375" i="106"/>
  <c r="D4375" i="106" s="1"/>
  <c r="B4312" i="106"/>
  <c r="D4312" i="106" s="1"/>
  <c r="B6365" i="106"/>
  <c r="D6365" i="106" s="1"/>
  <c r="B5139" i="106"/>
  <c r="D5139" i="106" s="1"/>
  <c r="B5098" i="106"/>
  <c r="D5098" i="106" s="1"/>
  <c r="B5089" i="106"/>
  <c r="D5089" i="106" s="1"/>
  <c r="B5095" i="106"/>
  <c r="D5095" i="106" s="1"/>
  <c r="B6696" i="106"/>
  <c r="D6696" i="106" s="1"/>
  <c r="B4336" i="106"/>
  <c r="D4336" i="106" s="1"/>
  <c r="B4801" i="106"/>
  <c r="D4801" i="106" s="1"/>
  <c r="B5153" i="106"/>
  <c r="D5153" i="106" s="1"/>
  <c r="B5094" i="106"/>
  <c r="D5094" i="106" s="1"/>
  <c r="B6694" i="106"/>
  <c r="D6694" i="106" s="1"/>
  <c r="B4407" i="106"/>
  <c r="D4407" i="106" s="1"/>
  <c r="B5152" i="106"/>
  <c r="D5152" i="106" s="1"/>
  <c r="B5093" i="106"/>
  <c r="D5093" i="106" s="1"/>
  <c r="B5116" i="106"/>
  <c r="D5116" i="106" s="1"/>
  <c r="B5242" i="106"/>
  <c r="D5242" i="106" s="1"/>
  <c r="B6745" i="106"/>
  <c r="D6745" i="106" s="1"/>
  <c r="B4314" i="106"/>
  <c r="D4314" i="106" s="1"/>
  <c r="B5164" i="106"/>
  <c r="D5164" i="106" s="1"/>
  <c r="B4882" i="106"/>
  <c r="D4882" i="106" s="1"/>
  <c r="B5101" i="106"/>
  <c r="D5101" i="106" s="1"/>
  <c r="B5092" i="106"/>
  <c r="D5092" i="106" s="1"/>
  <c r="B5105" i="106"/>
  <c r="D5105" i="106" s="1"/>
  <c r="B4332" i="106"/>
  <c r="D4332" i="106" s="1"/>
  <c r="B4944" i="106"/>
  <c r="D4944" i="106" s="1"/>
  <c r="B7801" i="106"/>
  <c r="D7801" i="106" s="1"/>
  <c r="B5255" i="106"/>
  <c r="D5255" i="106" s="1"/>
  <c r="B4379" i="106"/>
  <c r="D4379" i="106" s="1"/>
  <c r="B4227" i="106"/>
  <c r="D4227" i="106" s="1"/>
  <c r="B5142" i="106"/>
  <c r="D5142" i="106" s="1"/>
  <c r="B5127" i="106"/>
  <c r="D5127" i="106" s="1"/>
  <c r="B7687" i="106"/>
  <c r="D7687" i="106" s="1"/>
  <c r="B5119" i="106"/>
  <c r="D5119" i="106" s="1"/>
  <c r="B6113" i="106"/>
  <c r="D6113"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K5" i="29"/>
  <c r="K56" i="29" l="1"/>
  <c r="G65" i="29"/>
  <c r="B977" i="106" s="1"/>
  <c r="D977" i="106" s="1"/>
  <c r="G204" i="5"/>
  <c r="B5803" i="106" s="1"/>
  <c r="D5803" i="106" s="1"/>
  <c r="K9" i="29"/>
  <c r="F35" i="34" s="1"/>
  <c r="B7827" i="106" s="1"/>
  <c r="D7827" i="106" s="1"/>
  <c r="C40" i="5"/>
  <c r="B5087" i="106" s="1"/>
  <c r="D5087" i="106" s="1"/>
  <c r="G129" i="29"/>
  <c r="G151" i="29" s="1"/>
  <c r="F129" i="29"/>
  <c r="B1249" i="106" s="1"/>
  <c r="D1249" i="106" s="1"/>
  <c r="C129" i="29"/>
  <c r="L196" i="29"/>
  <c r="H129" i="29"/>
  <c r="I129" i="29"/>
  <c r="L229" i="29"/>
  <c r="E33" i="29"/>
  <c r="L33" i="29"/>
  <c r="K61" i="29"/>
  <c r="B1128" i="106" s="1"/>
  <c r="D1128" i="106" s="1"/>
  <c r="B1093" i="106"/>
  <c r="D1093" i="106" s="1"/>
  <c r="J13" i="3"/>
  <c r="B6124" i="106" s="1"/>
  <c r="D6124" i="106" s="1"/>
  <c r="B6217" i="106"/>
  <c r="D6217" i="106" s="1"/>
  <c r="D41" i="36"/>
  <c r="E15" i="184"/>
  <c r="B1126" i="106"/>
  <c r="D1126" i="106" s="1"/>
  <c r="F26" i="108"/>
  <c r="D26" i="108"/>
  <c r="B5175" i="106"/>
  <c r="D5175" i="106" s="1"/>
  <c r="C155" i="5"/>
  <c r="B5111" i="106"/>
  <c r="D5111" i="106" s="1"/>
  <c r="F101" i="34"/>
  <c r="D12" i="171"/>
  <c r="B5123" i="106"/>
  <c r="D5123" i="106" s="1"/>
  <c r="B7209" i="106"/>
  <c r="D7209" i="106" s="1"/>
  <c r="K340" i="29"/>
  <c r="B1482" i="106"/>
  <c r="D1482" i="106" s="1"/>
  <c r="K243" i="29"/>
  <c r="B1485" i="106" s="1"/>
  <c r="D1485" i="106" s="1"/>
  <c r="B3584" i="106"/>
  <c r="D3584" i="106" s="1"/>
  <c r="B720" i="106"/>
  <c r="D720" i="106" s="1"/>
  <c r="B6853" i="106"/>
  <c r="D6853" i="106" s="1"/>
  <c r="B6893" i="106"/>
  <c r="D6893" i="106" s="1"/>
  <c r="F47" i="34"/>
  <c r="B1547" i="106"/>
  <c r="D1547" i="106" s="1"/>
  <c r="G312" i="29"/>
  <c r="B1548" i="106" s="1"/>
  <c r="D1548" i="106" s="1"/>
  <c r="B91" i="106"/>
  <c r="D91" i="106" s="1"/>
  <c r="F69" i="34"/>
  <c r="B7078" i="106"/>
  <c r="D7078" i="106" s="1"/>
  <c r="B3654" i="106"/>
  <c r="D3654" i="106" s="1"/>
  <c r="H352" i="29"/>
  <c r="K92" i="29"/>
  <c r="B2089" i="106" s="1"/>
  <c r="D2089" i="106" s="1"/>
  <c r="B6995" i="106"/>
  <c r="D6995" i="106" s="1"/>
  <c r="E342" i="29"/>
  <c r="B7218" i="106" s="1"/>
  <c r="D7218" i="106" s="1"/>
  <c r="B7201" i="106"/>
  <c r="D7201" i="106" s="1"/>
  <c r="B6881" i="106"/>
  <c r="D6881" i="106" s="1"/>
  <c r="F41" i="34"/>
  <c r="B109" i="106"/>
  <c r="D109" i="106" s="1"/>
  <c r="B1324" i="106"/>
  <c r="D1324" i="106" s="1"/>
  <c r="K168" i="29"/>
  <c r="B1486" i="106"/>
  <c r="D1486" i="106" s="1"/>
  <c r="K257" i="29"/>
  <c r="B1488" i="106" s="1"/>
  <c r="D1488" i="106" s="1"/>
  <c r="J67" i="5"/>
  <c r="B6318" i="106" s="1"/>
  <c r="D6318" i="106" s="1"/>
  <c r="B4372" i="106"/>
  <c r="D4372" i="106" s="1"/>
  <c r="B1442" i="106"/>
  <c r="D1442" i="106" s="1"/>
  <c r="K276" i="29"/>
  <c r="B1506" i="106" s="1"/>
  <c r="D1506" i="106" s="1"/>
  <c r="B1130" i="106"/>
  <c r="D1130" i="106" s="1"/>
  <c r="G30" i="108"/>
  <c r="E30" i="108"/>
  <c r="B1142" i="106"/>
  <c r="D1142" i="106" s="1"/>
  <c r="E38" i="108"/>
  <c r="G38" i="108"/>
  <c r="H12" i="5"/>
  <c r="B1529" i="106"/>
  <c r="D1529" i="106" s="1"/>
  <c r="D312" i="29"/>
  <c r="B1530" i="106" s="1"/>
  <c r="D1530" i="106" s="1"/>
  <c r="C13" i="3"/>
  <c r="B6400" i="106"/>
  <c r="D6400" i="106" s="1"/>
  <c r="J267" i="5"/>
  <c r="B4080" i="106"/>
  <c r="D4080" i="106" s="1"/>
  <c r="D57" i="29"/>
  <c r="B795" i="106" s="1"/>
  <c r="D795" i="106" s="1"/>
  <c r="B5485" i="106"/>
  <c r="D5485" i="106" s="1"/>
  <c r="D221" i="5"/>
  <c r="B5488" i="106" s="1"/>
  <c r="D5488" i="106" s="1"/>
  <c r="B2757" i="106"/>
  <c r="D2757" i="106" s="1"/>
  <c r="D72" i="36"/>
  <c r="D34" i="3"/>
  <c r="B6126" i="106"/>
  <c r="D6126" i="106" s="1"/>
  <c r="B5224" i="106"/>
  <c r="D5224" i="106" s="1"/>
  <c r="C175" i="5"/>
  <c r="B5230" i="106"/>
  <c r="D5230" i="106" s="1"/>
  <c r="F123" i="34"/>
  <c r="C181" i="5"/>
  <c r="B5133" i="106"/>
  <c r="D5133" i="106" s="1"/>
  <c r="C132" i="5"/>
  <c r="B5317" i="106"/>
  <c r="D5317" i="106" s="1"/>
  <c r="F164" i="34"/>
  <c r="B7871" i="106" s="1"/>
  <c r="D7871" i="106" s="1"/>
  <c r="B5113" i="106"/>
  <c r="D5113" i="106" s="1"/>
  <c r="C108" i="5"/>
  <c r="B5120" i="106" s="1"/>
  <c r="D5120" i="106" s="1"/>
  <c r="F102" i="34"/>
  <c r="B7839" i="106" s="1"/>
  <c r="D7839" i="106" s="1"/>
  <c r="B6642" i="106"/>
  <c r="D6642" i="106" s="1"/>
  <c r="F137" i="34"/>
  <c r="B5194" i="106"/>
  <c r="D5194" i="106" s="1"/>
  <c r="F115" i="34"/>
  <c r="B7849" i="106" s="1"/>
  <c r="D7849" i="106" s="1"/>
  <c r="B7126" i="106"/>
  <c r="D7126" i="106" s="1"/>
  <c r="E57" i="184"/>
  <c r="K330" i="29"/>
  <c r="B7162" i="106"/>
  <c r="D7162" i="106" s="1"/>
  <c r="E61" i="184"/>
  <c r="N61" i="184" s="1"/>
  <c r="E127" i="29"/>
  <c r="B1235" i="106"/>
  <c r="D1235" i="106" s="1"/>
  <c r="B2986" i="106"/>
  <c r="D2986" i="106" s="1"/>
  <c r="K137" i="29"/>
  <c r="B5752" i="106"/>
  <c r="D5752" i="106" s="1"/>
  <c r="G169" i="5"/>
  <c r="B5064" i="106"/>
  <c r="D5064" i="106" s="1"/>
  <c r="B17" i="7"/>
  <c r="B5360" i="106"/>
  <c r="D5360" i="106" s="1"/>
  <c r="D5" i="4"/>
  <c r="B3406" i="106" s="1"/>
  <c r="D3406" i="106" s="1"/>
  <c r="E196" i="29"/>
  <c r="B1352" i="106" s="1"/>
  <c r="D1352" i="106" s="1"/>
  <c r="B2823" i="106"/>
  <c r="D2823" i="106" s="1"/>
  <c r="B5741" i="106"/>
  <c r="D5741" i="106" s="1"/>
  <c r="G5" i="4"/>
  <c r="B3409" i="106" s="1"/>
  <c r="D3409" i="106" s="1"/>
  <c r="K270" i="29"/>
  <c r="B1500" i="106" s="1"/>
  <c r="D1500" i="106" s="1"/>
  <c r="B1492" i="106"/>
  <c r="D1492" i="106" s="1"/>
  <c r="B6879" i="106"/>
  <c r="D6879" i="106" s="1"/>
  <c r="F40" i="34"/>
  <c r="G72" i="29"/>
  <c r="B985" i="106" s="1"/>
  <c r="D985" i="106" s="1"/>
  <c r="B1258" i="106"/>
  <c r="D1258" i="106" s="1"/>
  <c r="B1470" i="106"/>
  <c r="D1470" i="106" s="1"/>
  <c r="F70" i="34"/>
  <c r="B6238" i="106"/>
  <c r="D6238" i="106" s="1"/>
  <c r="J77" i="4"/>
  <c r="B6262" i="106" s="1"/>
  <c r="D6262" i="106" s="1"/>
  <c r="B1314" i="106"/>
  <c r="D1314" i="106" s="1"/>
  <c r="H172" i="29"/>
  <c r="B5065" i="106"/>
  <c r="D5065" i="106" s="1"/>
  <c r="B18" i="7"/>
  <c r="L74" i="29"/>
  <c r="B3668" i="106"/>
  <c r="D3668" i="106" s="1"/>
  <c r="K350" i="29"/>
  <c r="B7107" i="106"/>
  <c r="D7107" i="106" s="1"/>
  <c r="K310" i="29"/>
  <c r="B7204" i="106"/>
  <c r="D7204" i="106" s="1"/>
  <c r="H342" i="29"/>
  <c r="B7221" i="106" s="1"/>
  <c r="D7221" i="106" s="1"/>
  <c r="B3626" i="106"/>
  <c r="D3626" i="106" s="1"/>
  <c r="D352" i="29"/>
  <c r="B1010" i="106"/>
  <c r="D1010" i="106" s="1"/>
  <c r="B1136" i="106"/>
  <c r="D1136" i="106" s="1"/>
  <c r="G35" i="108"/>
  <c r="E35" i="108"/>
  <c r="C14" i="4"/>
  <c r="B2558" i="106" s="1"/>
  <c r="D2558" i="106" s="1"/>
  <c r="E39" i="108"/>
  <c r="B1144" i="106"/>
  <c r="D1144" i="106" s="1"/>
  <c r="F52" i="34"/>
  <c r="B7831" i="106" s="1"/>
  <c r="D7831" i="106" s="1"/>
  <c r="G39" i="108"/>
  <c r="B1751" i="106"/>
  <c r="D1751" i="106" s="1"/>
  <c r="D9" i="7"/>
  <c r="B1767" i="106" s="1"/>
  <c r="D1767" i="106" s="1"/>
  <c r="B3258" i="106"/>
  <c r="D3258" i="106" s="1"/>
  <c r="G77" i="4"/>
  <c r="B3261" i="106" s="1"/>
  <c r="D3261" i="106" s="1"/>
  <c r="D42" i="29"/>
  <c r="B2081" i="106"/>
  <c r="D2081" i="106" s="1"/>
  <c r="H102" i="29"/>
  <c r="B1047" i="106" s="1"/>
  <c r="D1047" i="106" s="1"/>
  <c r="B6191" i="106"/>
  <c r="D6191" i="106" s="1"/>
  <c r="L279" i="29"/>
  <c r="L295" i="29" s="1"/>
  <c r="B6357" i="106"/>
  <c r="D6357" i="106" s="1"/>
  <c r="J170" i="5"/>
  <c r="B6312" i="106"/>
  <c r="D6312" i="106" s="1"/>
  <c r="F88" i="34"/>
  <c r="F44" i="4"/>
  <c r="B5061" i="106"/>
  <c r="D5061" i="106" s="1"/>
  <c r="C12" i="5"/>
  <c r="B4" i="7"/>
  <c r="B6903" i="106"/>
  <c r="D6903" i="106" s="1"/>
  <c r="B1541" i="106"/>
  <c r="D1541" i="106" s="1"/>
  <c r="F312" i="29"/>
  <c r="B1542" i="106" s="1"/>
  <c r="D1542" i="106" s="1"/>
  <c r="B937" i="106"/>
  <c r="D937" i="106" s="1"/>
  <c r="G33" i="29"/>
  <c r="C204" i="5"/>
  <c r="B5247" i="106"/>
  <c r="D5247" i="106" s="1"/>
  <c r="B5097" i="106"/>
  <c r="D5097" i="106" s="1"/>
  <c r="C82" i="5"/>
  <c r="B4317" i="106"/>
  <c r="D4317" i="106" s="1"/>
  <c r="F120" i="34"/>
  <c r="B7854" i="106" s="1"/>
  <c r="D7854" i="106" s="1"/>
  <c r="B7199" i="106"/>
  <c r="D7199" i="106" s="1"/>
  <c r="C342" i="29"/>
  <c r="B7216" i="106" s="1"/>
  <c r="D7216" i="106" s="1"/>
  <c r="B7198" i="106"/>
  <c r="D7198" i="106" s="1"/>
  <c r="E65" i="184"/>
  <c r="N65" i="184" s="1"/>
  <c r="B15" i="7"/>
  <c r="B5332" i="106"/>
  <c r="D5332" i="106" s="1"/>
  <c r="F67" i="5"/>
  <c r="B5582" i="106" s="1"/>
  <c r="D5582" i="106" s="1"/>
  <c r="C75" i="5"/>
  <c r="B901" i="106"/>
  <c r="D901" i="106" s="1"/>
  <c r="F74" i="29"/>
  <c r="B929" i="106" s="1"/>
  <c r="D929" i="106" s="1"/>
  <c r="B3007" i="106"/>
  <c r="D3007" i="106" s="1"/>
  <c r="K194" i="29"/>
  <c r="C145" i="5"/>
  <c r="I67" i="5"/>
  <c r="B5926" i="106" s="1"/>
  <c r="D5926" i="106" s="1"/>
  <c r="B3702" i="106"/>
  <c r="D3702" i="106" s="1"/>
  <c r="K76" i="4"/>
  <c r="B3586" i="106" s="1"/>
  <c r="D3586" i="106" s="1"/>
  <c r="B6897" i="106"/>
  <c r="D6897" i="106" s="1"/>
  <c r="F49" i="34"/>
  <c r="B6883" i="106"/>
  <c r="D6883" i="106" s="1"/>
  <c r="F42" i="34"/>
  <c r="B7203" i="106"/>
  <c r="D7203" i="106" s="1"/>
  <c r="G342" i="29"/>
  <c r="D266" i="5"/>
  <c r="B5501" i="106" s="1"/>
  <c r="D5501" i="106" s="1"/>
  <c r="B4396" i="106"/>
  <c r="D4396" i="106" s="1"/>
  <c r="B1358" i="106"/>
  <c r="D1358" i="106" s="1"/>
  <c r="F210" i="29"/>
  <c r="B1359" i="106" s="1"/>
  <c r="D1359" i="106" s="1"/>
  <c r="B211" i="106"/>
  <c r="D211" i="106" s="1"/>
  <c r="B4211" i="106"/>
  <c r="D4211" i="106" s="1"/>
  <c r="F64" i="34"/>
  <c r="F67" i="34"/>
  <c r="B7074" i="106"/>
  <c r="D7074" i="106" s="1"/>
  <c r="B1116" i="106"/>
  <c r="D1116" i="106" s="1"/>
  <c r="K47" i="29"/>
  <c r="K57" i="29"/>
  <c r="B1123" i="106"/>
  <c r="D1123" i="106" s="1"/>
  <c r="K64" i="29"/>
  <c r="B6006" i="106"/>
  <c r="D6006" i="106" s="1"/>
  <c r="K170" i="5"/>
  <c r="C67" i="5"/>
  <c r="B5090" i="106" s="1"/>
  <c r="D5090" i="106" s="1"/>
  <c r="D129" i="29"/>
  <c r="B7063" i="106"/>
  <c r="D7063" i="106" s="1"/>
  <c r="I210" i="29"/>
  <c r="B5721" i="106"/>
  <c r="D5721" i="106" s="1"/>
  <c r="B8" i="7"/>
  <c r="G12" i="5"/>
  <c r="B3723" i="106"/>
  <c r="D3723" i="106" s="1"/>
  <c r="K285" i="29"/>
  <c r="B4761" i="106"/>
  <c r="D4761" i="106" s="1"/>
  <c r="F104" i="34"/>
  <c r="B7841" i="106" s="1"/>
  <c r="D7841" i="106" s="1"/>
  <c r="C209" i="5"/>
  <c r="B5256" i="106"/>
  <c r="D5256" i="106" s="1"/>
  <c r="C198" i="5"/>
  <c r="B6401" i="106"/>
  <c r="D6401" i="106" s="1"/>
  <c r="B5167" i="106"/>
  <c r="D5167" i="106" s="1"/>
  <c r="F109" i="34"/>
  <c r="B5122" i="106"/>
  <c r="D5122" i="106" s="1"/>
  <c r="C114" i="5"/>
  <c r="B6761" i="106"/>
  <c r="D6761" i="106" s="1"/>
  <c r="F149" i="34"/>
  <c r="C188" i="5"/>
  <c r="B5233" i="106"/>
  <c r="D5233" i="106" s="1"/>
  <c r="C221" i="5"/>
  <c r="B5301" i="106"/>
  <c r="D5301" i="106" s="1"/>
  <c r="B4792" i="106"/>
  <c r="D4792" i="106" s="1"/>
  <c r="F122" i="34"/>
  <c r="B7855" i="106" s="1"/>
  <c r="D7855" i="106" s="1"/>
  <c r="B5916" i="106"/>
  <c r="D5916" i="106" s="1"/>
  <c r="I12" i="5"/>
  <c r="B10" i="7"/>
  <c r="B5369" i="106"/>
  <c r="D5369" i="106" s="1"/>
  <c r="D169" i="5"/>
  <c r="B5412" i="106" s="1"/>
  <c r="D5412" i="106" s="1"/>
  <c r="B4951" i="106"/>
  <c r="D4951" i="106" s="1"/>
  <c r="K267" i="5"/>
  <c r="B6848" i="106"/>
  <c r="D6848" i="106" s="1"/>
  <c r="F34" i="34"/>
  <c r="B7826" i="106" s="1"/>
  <c r="D7826" i="106" s="1"/>
  <c r="B6858" i="106"/>
  <c r="D6858" i="106" s="1"/>
  <c r="F36" i="34"/>
  <c r="B7828" i="106" s="1"/>
  <c r="D7828" i="106" s="1"/>
  <c r="B1107" i="106"/>
  <c r="D1107" i="106" s="1"/>
  <c r="F38" i="34"/>
  <c r="B7830" i="106" s="1"/>
  <c r="D7830" i="106" s="1"/>
  <c r="B5893" i="106"/>
  <c r="D5893" i="106" s="1"/>
  <c r="H170" i="5"/>
  <c r="H139" i="29"/>
  <c r="B1267" i="106" s="1"/>
  <c r="D1267" i="106" s="1"/>
  <c r="B2091" i="106"/>
  <c r="D2091" i="106" s="1"/>
  <c r="K182" i="29"/>
  <c r="B1377" i="106" s="1"/>
  <c r="D1377" i="106" s="1"/>
  <c r="B4398" i="106"/>
  <c r="D4398" i="106" s="1"/>
  <c r="G266" i="5"/>
  <c r="B5863" i="106" s="1"/>
  <c r="D5863" i="106" s="1"/>
  <c r="B6895" i="106"/>
  <c r="D6895" i="106" s="1"/>
  <c r="F48" i="34"/>
  <c r="D67" i="5"/>
  <c r="B5342" i="106" s="1"/>
  <c r="D5342" i="106" s="1"/>
  <c r="B7778" i="106"/>
  <c r="D7778" i="106" s="1"/>
  <c r="K160" i="29"/>
  <c r="B1053" i="106"/>
  <c r="D1053" i="106" s="1"/>
  <c r="H112" i="29"/>
  <c r="B7018" i="106" s="1"/>
  <c r="D7018" i="106" s="1"/>
  <c r="B7762" i="106"/>
  <c r="D7762" i="106" s="1"/>
  <c r="K6" i="29"/>
  <c r="B7763" i="106" s="1"/>
  <c r="D7763" i="106" s="1"/>
  <c r="B1351" i="106"/>
  <c r="D1351" i="106" s="1"/>
  <c r="E210" i="29"/>
  <c r="B1353" i="106" s="1"/>
  <c r="D1353" i="106" s="1"/>
  <c r="K67" i="5"/>
  <c r="B5995" i="106" s="1"/>
  <c r="D5995" i="106" s="1"/>
  <c r="B6885" i="106"/>
  <c r="D6885" i="106" s="1"/>
  <c r="F43" i="34"/>
  <c r="C312" i="29"/>
  <c r="B1524" i="106" s="1"/>
  <c r="D1524" i="106" s="1"/>
  <c r="B1523" i="106"/>
  <c r="D1523" i="106" s="1"/>
  <c r="B3296" i="106"/>
  <c r="D3296" i="106" s="1"/>
  <c r="K13" i="3"/>
  <c r="B3546" i="106"/>
  <c r="D3546" i="106" s="1"/>
  <c r="D42" i="36"/>
  <c r="B5723" i="106"/>
  <c r="D5723" i="106" s="1"/>
  <c r="B16" i="7"/>
  <c r="B3675" i="106"/>
  <c r="D3675" i="106" s="1"/>
  <c r="K362" i="29"/>
  <c r="B1120" i="106"/>
  <c r="D1120" i="106" s="1"/>
  <c r="K53" i="29"/>
  <c r="D27" i="108"/>
  <c r="B1127" i="106"/>
  <c r="D1127" i="106" s="1"/>
  <c r="F27" i="108"/>
  <c r="B1137" i="106"/>
  <c r="D1137" i="106" s="1"/>
  <c r="F36" i="108"/>
  <c r="D36" i="108"/>
  <c r="H67" i="5"/>
  <c r="B5881" i="106" s="1"/>
  <c r="D5881" i="106" s="1"/>
  <c r="K364" i="29"/>
  <c r="B7746" i="106" s="1"/>
  <c r="D7746" i="106" s="1"/>
  <c r="B7745" i="106"/>
  <c r="D7745" i="106" s="1"/>
  <c r="B139" i="106"/>
  <c r="D139" i="106" s="1"/>
  <c r="B7205" i="106"/>
  <c r="D7205" i="106" s="1"/>
  <c r="I342" i="29"/>
  <c r="K122" i="29"/>
  <c r="B5553" i="106"/>
  <c r="D5553" i="106" s="1"/>
  <c r="F12" i="5"/>
  <c r="B7" i="7"/>
  <c r="H184" i="29"/>
  <c r="B1535" i="106"/>
  <c r="D1535" i="106" s="1"/>
  <c r="E312" i="29"/>
  <c r="B1536" i="106" s="1"/>
  <c r="D1536" i="106" s="1"/>
  <c r="B2910" i="106"/>
  <c r="D2910" i="106" s="1"/>
  <c r="B281" i="106"/>
  <c r="D281" i="106" s="1"/>
  <c r="D54" i="36"/>
  <c r="B7206" i="106"/>
  <c r="D7206" i="106" s="1"/>
  <c r="J342" i="29"/>
  <c r="B7223" i="106" s="1"/>
  <c r="D7223" i="106" s="1"/>
  <c r="B1489" i="106"/>
  <c r="D1489" i="106" s="1"/>
  <c r="K261" i="29"/>
  <c r="B1491" i="106" s="1"/>
  <c r="D1491" i="106" s="1"/>
  <c r="L350" i="29"/>
  <c r="L352" i="29" s="1"/>
  <c r="L367" i="29" s="1"/>
  <c r="K180" i="29"/>
  <c r="C184" i="29"/>
  <c r="B4081" i="106"/>
  <c r="D4081" i="106" s="1"/>
  <c r="B5103" i="106"/>
  <c r="D5103" i="106" s="1"/>
  <c r="F97" i="34"/>
  <c r="C93" i="5"/>
  <c r="B5112" i="106" s="1"/>
  <c r="D5112" i="106" s="1"/>
  <c r="C252" i="5"/>
  <c r="B6833" i="106" s="1"/>
  <c r="D6833" i="106" s="1"/>
  <c r="B6614" i="106"/>
  <c r="D6614" i="106" s="1"/>
  <c r="B6682" i="106"/>
  <c r="D6682" i="106" s="1"/>
  <c r="F142" i="34"/>
  <c r="B6626" i="106"/>
  <c r="D6626" i="106" s="1"/>
  <c r="F135" i="34"/>
  <c r="B5181" i="106"/>
  <c r="D5181" i="106" s="1"/>
  <c r="F113" i="34"/>
  <c r="B4418" i="106"/>
  <c r="D4418" i="106" s="1"/>
  <c r="F165" i="34"/>
  <c r="B7872" i="106" s="1"/>
  <c r="D7872" i="106" s="1"/>
  <c r="B6777" i="106"/>
  <c r="D6777" i="106" s="1"/>
  <c r="F151" i="34"/>
  <c r="B6769" i="106"/>
  <c r="D6769" i="106" s="1"/>
  <c r="F150" i="34"/>
  <c r="B3317" i="106"/>
  <c r="D3317" i="106" s="1"/>
  <c r="E58" i="184"/>
  <c r="N58" i="184" s="1"/>
  <c r="B7135" i="106"/>
  <c r="D7135" i="106" s="1"/>
  <c r="B7171" i="106"/>
  <c r="D7171" i="106" s="1"/>
  <c r="E62" i="184"/>
  <c r="N62" i="184" s="1"/>
  <c r="B7696" i="106"/>
  <c r="D7696" i="106" s="1"/>
  <c r="E66" i="184"/>
  <c r="N66" i="184" s="1"/>
  <c r="B5614" i="106"/>
  <c r="D5614" i="106" s="1"/>
  <c r="F169" i="5"/>
  <c r="B5644" i="106" s="1"/>
  <c r="D5644" i="106" s="1"/>
  <c r="B1452" i="106"/>
  <c r="D1452" i="106" s="1"/>
  <c r="H295" i="29"/>
  <c r="B1454" i="106" s="1"/>
  <c r="D1454" i="106" s="1"/>
  <c r="C44" i="4"/>
  <c r="H13" i="3"/>
  <c r="B3425" i="106"/>
  <c r="D3425" i="106" s="1"/>
  <c r="D39" i="36"/>
  <c r="B6301" i="106"/>
  <c r="D6301" i="106" s="1"/>
  <c r="J109" i="5"/>
  <c r="D210" i="29"/>
  <c r="B1346" i="106" s="1"/>
  <c r="D1346" i="106" s="1"/>
  <c r="B1345" i="106"/>
  <c r="D1345" i="106" s="1"/>
  <c r="B1417" i="106"/>
  <c r="D1417" i="106" s="1"/>
  <c r="D279" i="29"/>
  <c r="B1017" i="106"/>
  <c r="D1017" i="106" s="1"/>
  <c r="H65" i="29"/>
  <c r="B1035" i="106" s="1"/>
  <c r="D1035" i="106" s="1"/>
  <c r="B1028" i="106"/>
  <c r="D1028" i="106" s="1"/>
  <c r="H72" i="29"/>
  <c r="B1043" i="106" s="1"/>
  <c r="D1043" i="106" s="1"/>
  <c r="B1036" i="106"/>
  <c r="D1036" i="106" s="1"/>
  <c r="B1146" i="106"/>
  <c r="D1146" i="106" s="1"/>
  <c r="K110" i="29"/>
  <c r="B188" i="106"/>
  <c r="D188" i="106" s="1"/>
  <c r="B6899" i="106"/>
  <c r="D6899" i="106" s="1"/>
  <c r="F50" i="34"/>
  <c r="G13" i="3"/>
  <c r="E44" i="4"/>
  <c r="B1555" i="106"/>
  <c r="D1555" i="106" s="1"/>
  <c r="K303" i="29"/>
  <c r="B3235" i="106"/>
  <c r="D3235" i="106" s="1"/>
  <c r="D77" i="4"/>
  <c r="B3238" i="106" s="1"/>
  <c r="D3238" i="106" s="1"/>
  <c r="G184" i="29"/>
  <c r="B1473" i="106"/>
  <c r="D1473" i="106" s="1"/>
  <c r="F71" i="34"/>
  <c r="B3658" i="106"/>
  <c r="D3658" i="106" s="1"/>
  <c r="H365" i="29"/>
  <c r="B7242" i="106" s="1"/>
  <c r="D7242" i="106" s="1"/>
  <c r="B6887" i="106"/>
  <c r="D6887" i="106" s="1"/>
  <c r="F44" i="34"/>
  <c r="E12" i="184"/>
  <c r="B1121" i="106"/>
  <c r="D1121" i="106" s="1"/>
  <c r="B2789" i="106"/>
  <c r="D2789" i="106" s="1"/>
  <c r="E102" i="29"/>
  <c r="B2790" i="106" s="1"/>
  <c r="D2790" i="106" s="1"/>
  <c r="B7076" i="106"/>
  <c r="D7076" i="106" s="1"/>
  <c r="F68" i="34"/>
  <c r="B6891" i="106"/>
  <c r="D6891" i="106" s="1"/>
  <c r="F46" i="34"/>
  <c r="L127" i="29"/>
  <c r="L129" i="29" s="1"/>
  <c r="L151" i="29" s="1"/>
  <c r="F34" i="3"/>
  <c r="B6128" i="106"/>
  <c r="D6128" i="106" s="1"/>
  <c r="B6674" i="106"/>
  <c r="D6674" i="106" s="1"/>
  <c r="F141" i="34"/>
  <c r="B6737" i="106"/>
  <c r="D6737" i="106" s="1"/>
  <c r="F147" i="34"/>
  <c r="B6690" i="106"/>
  <c r="D6690" i="106" s="1"/>
  <c r="F143" i="34"/>
  <c r="B4915" i="106"/>
  <c r="D4915" i="106" s="1"/>
  <c r="F118" i="34"/>
  <c r="B7852" i="106" s="1"/>
  <c r="D7852" i="106" s="1"/>
  <c r="B5187" i="106"/>
  <c r="D5187" i="106" s="1"/>
  <c r="F114" i="34"/>
  <c r="B7848" i="106" s="1"/>
  <c r="D7848" i="106" s="1"/>
  <c r="C217" i="5"/>
  <c r="B5286" i="106" s="1"/>
  <c r="D5286" i="106" s="1"/>
  <c r="B5274" i="106"/>
  <c r="D5274" i="106" s="1"/>
  <c r="B4189" i="106"/>
  <c r="D4189" i="106" s="1"/>
  <c r="F166" i="34"/>
  <c r="B7873" i="106" s="1"/>
  <c r="D7873" i="106" s="1"/>
  <c r="D14" i="4"/>
  <c r="B2570" i="106" s="1"/>
  <c r="D2570" i="106" s="1"/>
  <c r="B2805" i="106"/>
  <c r="D2805" i="106" s="1"/>
  <c r="F56" i="34"/>
  <c r="B7832" i="106" s="1"/>
  <c r="D7832" i="106" s="1"/>
  <c r="B7064" i="106"/>
  <c r="D7064" i="106" s="1"/>
  <c r="J210" i="29"/>
  <c r="B7072" i="106" s="1"/>
  <c r="D7072" i="106" s="1"/>
  <c r="G352" i="29"/>
  <c r="B3647" i="106"/>
  <c r="D3647" i="106" s="1"/>
  <c r="B1104" i="106"/>
  <c r="D1104" i="106" s="1"/>
  <c r="F37" i="34"/>
  <c r="B7829" i="106" s="1"/>
  <c r="D7829" i="106" s="1"/>
  <c r="F39" i="34"/>
  <c r="B6877" i="106"/>
  <c r="D6877" i="106" s="1"/>
  <c r="H266" i="5"/>
  <c r="B4441" i="106" s="1"/>
  <c r="D4441" i="106" s="1"/>
  <c r="B6838" i="106"/>
  <c r="D6838" i="106" s="1"/>
  <c r="B1512" i="106"/>
  <c r="D1512" i="106" s="1"/>
  <c r="K293" i="29"/>
  <c r="B959" i="106"/>
  <c r="D959" i="106" s="1"/>
  <c r="G74" i="29"/>
  <c r="B987" i="106" s="1"/>
  <c r="D987" i="106" s="1"/>
  <c r="B2105" i="106"/>
  <c r="D2105" i="106" s="1"/>
  <c r="I76" i="4"/>
  <c r="B3318" i="106" s="1"/>
  <c r="D3318" i="106" s="1"/>
  <c r="B1475" i="106"/>
  <c r="D1475" i="106" s="1"/>
  <c r="K238" i="29"/>
  <c r="B7230" i="106"/>
  <c r="D7230" i="106" s="1"/>
  <c r="I352" i="29"/>
  <c r="B836" i="106"/>
  <c r="D836" i="106" s="1"/>
  <c r="B5509" i="106"/>
  <c r="D5509" i="106" s="1"/>
  <c r="B6" i="7"/>
  <c r="E12" i="5"/>
  <c r="B4950" i="106"/>
  <c r="D4950" i="106" s="1"/>
  <c r="B3390" i="106"/>
  <c r="D3390" i="106" s="1"/>
  <c r="K229" i="29"/>
  <c r="F51" i="34"/>
  <c r="B6901" i="106"/>
  <c r="D6901" i="106" s="1"/>
  <c r="L114" i="29"/>
  <c r="B5599" i="106"/>
  <c r="D5599" i="106" s="1"/>
  <c r="B5780" i="106"/>
  <c r="D5780" i="106" s="1"/>
  <c r="K42" i="29"/>
  <c r="B1109" i="106"/>
  <c r="D1109" i="106" s="1"/>
  <c r="E14" i="184"/>
  <c r="H14" i="184" s="1"/>
  <c r="B1124" i="106"/>
  <c r="D1124" i="106" s="1"/>
  <c r="E28" i="108"/>
  <c r="K71" i="29"/>
  <c r="B2973" i="106"/>
  <c r="D2973" i="106" s="1"/>
  <c r="K84" i="29"/>
  <c r="B3427" i="106"/>
  <c r="D3427" i="106" s="1"/>
  <c r="I13" i="3"/>
  <c r="D40" i="36"/>
  <c r="B3633" i="106"/>
  <c r="D3633" i="106" s="1"/>
  <c r="E352" i="29"/>
  <c r="B5328" i="106"/>
  <c r="D5328" i="106" s="1"/>
  <c r="D12" i="5"/>
  <c r="B5" i="7"/>
  <c r="B3640" i="106"/>
  <c r="D3640" i="106" s="1"/>
  <c r="F352" i="29"/>
  <c r="F13" i="3"/>
  <c r="B3419" i="106"/>
  <c r="D3419" i="106" s="1"/>
  <c r="D37" i="36"/>
  <c r="B4852" i="106"/>
  <c r="D4852" i="106" s="1"/>
  <c r="F171" i="34"/>
  <c r="B7876" i="106" s="1"/>
  <c r="D7876" i="106" s="1"/>
  <c r="B6729" i="106"/>
  <c r="D6729" i="106" s="1"/>
  <c r="F146" i="34"/>
  <c r="B6801" i="106"/>
  <c r="D6801" i="106" s="1"/>
  <c r="F154" i="34"/>
  <c r="B5148" i="106"/>
  <c r="D5148" i="106" s="1"/>
  <c r="C141" i="5"/>
  <c r="B5106" i="106"/>
  <c r="D5106" i="106" s="1"/>
  <c r="F98" i="34"/>
  <c r="B6388" i="106"/>
  <c r="D6388" i="106" s="1"/>
  <c r="F119" i="34"/>
  <c r="B7853" i="106" s="1"/>
  <c r="D7853" i="106" s="1"/>
  <c r="B5280" i="106"/>
  <c r="D5280" i="106" s="1"/>
  <c r="F131" i="34"/>
  <c r="B7863" i="106" s="1"/>
  <c r="D7863" i="106" s="1"/>
  <c r="B5312" i="106"/>
  <c r="D5312" i="106" s="1"/>
  <c r="F161" i="34"/>
  <c r="B7868" i="106" s="1"/>
  <c r="D7868" i="106" s="1"/>
  <c r="E59" i="184"/>
  <c r="N59" i="184" s="1"/>
  <c r="B7144" i="106"/>
  <c r="D7144" i="106" s="1"/>
  <c r="B7180" i="106"/>
  <c r="D7180" i="106" s="1"/>
  <c r="E63" i="184"/>
  <c r="N63" i="184" s="1"/>
  <c r="B7705" i="106"/>
  <c r="D7705" i="106" s="1"/>
  <c r="E67" i="184"/>
  <c r="N67" i="184" s="1"/>
  <c r="B7200" i="106"/>
  <c r="D7200" i="106" s="1"/>
  <c r="D342" i="29"/>
  <c r="B7217" i="106" s="1"/>
  <c r="D7217" i="106" s="1"/>
  <c r="F61" i="34"/>
  <c r="B1329" i="106"/>
  <c r="D1329" i="106" s="1"/>
  <c r="F266" i="5"/>
  <c r="B5713" i="106" s="1"/>
  <c r="D5713" i="106" s="1"/>
  <c r="B4397" i="106"/>
  <c r="D4397" i="106" s="1"/>
  <c r="B778" i="106"/>
  <c r="D778" i="106" s="1"/>
  <c r="B1752" i="106"/>
  <c r="D1752" i="106" s="1"/>
  <c r="D11" i="7"/>
  <c r="B1768" i="106" s="1"/>
  <c r="D1768" i="106" s="1"/>
  <c r="B2828" i="106"/>
  <c r="D2828" i="106" s="1"/>
  <c r="H196" i="29"/>
  <c r="B2830" i="106" s="1"/>
  <c r="D2830" i="106" s="1"/>
  <c r="B3725" i="106"/>
  <c r="D3725" i="106" s="1"/>
  <c r="D13" i="7"/>
  <c r="B3726" i="106" s="1"/>
  <c r="D3726" i="106" s="1"/>
  <c r="B7202" i="106"/>
  <c r="D7202" i="106" s="1"/>
  <c r="F342" i="29"/>
  <c r="B7219" i="106" s="1"/>
  <c r="D7219" i="106" s="1"/>
  <c r="B5534" i="106"/>
  <c r="D5534" i="106" s="1"/>
  <c r="E170" i="5"/>
  <c r="B6916" i="106"/>
  <c r="D6916" i="106" s="1"/>
  <c r="I74" i="29"/>
  <c r="B6977" i="106" s="1"/>
  <c r="D6977" i="106" s="1"/>
  <c r="L312" i="29"/>
  <c r="B5367" i="106"/>
  <c r="D5367" i="106" s="1"/>
  <c r="D170" i="5"/>
  <c r="B7037" i="106"/>
  <c r="D7037" i="106" s="1"/>
  <c r="I151" i="29"/>
  <c r="B4363" i="106"/>
  <c r="D4363" i="106" s="1"/>
  <c r="I170" i="5"/>
  <c r="B14" i="7"/>
  <c r="E13" i="184"/>
  <c r="H13" i="184" s="1"/>
  <c r="B2724" i="106"/>
  <c r="D2724" i="106" s="1"/>
  <c r="K67" i="29"/>
  <c r="L330" i="29"/>
  <c r="L342" i="29" s="1"/>
  <c r="B1225" i="106"/>
  <c r="D1225" i="106" s="1"/>
  <c r="C151" i="29"/>
  <c r="B1226" i="106" s="1"/>
  <c r="D1226" i="106" s="1"/>
  <c r="B1511" i="106"/>
  <c r="D1511" i="106" s="1"/>
  <c r="G14" i="4"/>
  <c r="B2609" i="106" s="1"/>
  <c r="D2609" i="106" s="1"/>
  <c r="F72" i="34"/>
  <c r="I33" i="29"/>
  <c r="B6889" i="106"/>
  <c r="D6889" i="106" s="1"/>
  <c r="F45" i="34"/>
  <c r="B790" i="106"/>
  <c r="D790" i="106" s="1"/>
  <c r="D53" i="29"/>
  <c r="B792" i="106" s="1"/>
  <c r="D792" i="106" s="1"/>
  <c r="B5423" i="106"/>
  <c r="D5423" i="106" s="1"/>
  <c r="H149" i="29"/>
  <c r="B1272" i="106" s="1"/>
  <c r="D1272" i="106" s="1"/>
  <c r="B7047" i="106"/>
  <c r="D7047" i="106" s="1"/>
  <c r="H208" i="29"/>
  <c r="B1375" i="106" s="1"/>
  <c r="D1375" i="106" s="1"/>
  <c r="B4156" i="106"/>
  <c r="D4156" i="106" s="1"/>
  <c r="B843" i="106"/>
  <c r="D843" i="106" s="1"/>
  <c r="E74" i="29"/>
  <c r="B871" i="106" s="1"/>
  <c r="D871" i="106" s="1"/>
  <c r="B131" i="106"/>
  <c r="D131" i="106" s="1"/>
  <c r="B4415" i="106"/>
  <c r="D4415" i="106" s="1"/>
  <c r="F162" i="34"/>
  <c r="B7869" i="106" s="1"/>
  <c r="D7869" i="106" s="1"/>
  <c r="B6634" i="106"/>
  <c r="D6634" i="106" s="1"/>
  <c r="F136" i="34"/>
  <c r="B5126" i="106"/>
  <c r="D5126" i="106" s="1"/>
  <c r="C122" i="5"/>
  <c r="B5519" i="106"/>
  <c r="D5519" i="106" s="1"/>
  <c r="E67" i="5"/>
  <c r="B5521" i="106" s="1"/>
  <c r="D5521" i="106" s="1"/>
  <c r="B7153" i="106"/>
  <c r="D7153" i="106" s="1"/>
  <c r="E60" i="184"/>
  <c r="N60" i="184" s="1"/>
  <c r="B7189" i="106"/>
  <c r="D7189" i="106" s="1"/>
  <c r="E64" i="184"/>
  <c r="N64" i="184" s="1"/>
  <c r="E139" i="29"/>
  <c r="B4203" i="106" s="1"/>
  <c r="D4203" i="106" s="1"/>
  <c r="B4202" i="106"/>
  <c r="D4202" i="106" s="1"/>
  <c r="B1501" i="106"/>
  <c r="D1501" i="106" s="1"/>
  <c r="K277" i="29"/>
  <c r="B1508" i="106" s="1"/>
  <c r="D1508" i="106" s="1"/>
  <c r="B6997" i="106"/>
  <c r="D6997" i="106" s="1"/>
  <c r="K100" i="29"/>
  <c r="B7013" i="106" s="1"/>
  <c r="D7013" i="106" s="1"/>
  <c r="F62" i="34"/>
  <c r="B7833" i="106" s="1"/>
  <c r="D7833" i="106" s="1"/>
  <c r="F14" i="4"/>
  <c r="B2597" i="106" s="1"/>
  <c r="D2597" i="106" s="1"/>
  <c r="B2836" i="106"/>
  <c r="D2836" i="106" s="1"/>
  <c r="F76" i="4"/>
  <c r="B3254" i="106" s="1"/>
  <c r="D3254" i="106" s="1"/>
  <c r="B5985" i="106"/>
  <c r="D5985" i="106" s="1"/>
  <c r="K12" i="5"/>
  <c r="B12" i="7"/>
  <c r="B1553" i="106"/>
  <c r="D1553" i="106" s="1"/>
  <c r="H312" i="29"/>
  <c r="B1554" i="106" s="1"/>
  <c r="D1554" i="106" s="1"/>
  <c r="B1308" i="106"/>
  <c r="D1308" i="106" s="1"/>
  <c r="E174" i="29"/>
  <c r="B1309" i="106" s="1"/>
  <c r="D1309" i="106" s="1"/>
  <c r="B5592" i="106"/>
  <c r="D5592" i="106" s="1"/>
  <c r="F5" i="4"/>
  <c r="B3408" i="106" s="1"/>
  <c r="D3408" i="106" s="1"/>
  <c r="B7103" i="106"/>
  <c r="D7103" i="106" s="1"/>
  <c r="I312" i="29"/>
  <c r="B7116" i="106" s="1"/>
  <c r="D7116" i="106" s="1"/>
  <c r="L210" i="29"/>
  <c r="B1266" i="106"/>
  <c r="D1266" i="106" s="1"/>
  <c r="B7231" i="106"/>
  <c r="D7231" i="106" s="1"/>
  <c r="J352" i="29"/>
  <c r="B894" i="106"/>
  <c r="D894" i="106" s="1"/>
  <c r="F114" i="29"/>
  <c r="B931" i="106" s="1"/>
  <c r="D931" i="106" s="1"/>
  <c r="B7104" i="106"/>
  <c r="D7104" i="106" s="1"/>
  <c r="J312" i="29"/>
  <c r="B7117" i="106" s="1"/>
  <c r="D7117" i="106" s="1"/>
  <c r="B3619" i="106"/>
  <c r="D3619" i="106" s="1"/>
  <c r="C352" i="29"/>
  <c r="B3673" i="106"/>
  <c r="D3673" i="106" s="1"/>
  <c r="K357" i="29"/>
  <c r="B6825" i="106"/>
  <c r="D6825" i="106" s="1"/>
  <c r="F157" i="34"/>
  <c r="B6917" i="106"/>
  <c r="D6917" i="106" s="1"/>
  <c r="J74" i="29"/>
  <c r="B6978" i="106" s="1"/>
  <c r="D6978" i="106" s="1"/>
  <c r="K34" i="3"/>
  <c r="J129" i="29"/>
  <c r="B5655" i="106"/>
  <c r="D5655" i="106" s="1"/>
  <c r="B727" i="106"/>
  <c r="D727" i="106" s="1"/>
  <c r="C74" i="29"/>
  <c r="B755" i="106" s="1"/>
  <c r="D755" i="106" s="1"/>
  <c r="K62" i="29"/>
  <c r="G34" i="108"/>
  <c r="E34" i="108"/>
  <c r="B1135" i="106"/>
  <c r="D1135" i="106" s="1"/>
  <c r="H24" i="118"/>
  <c r="E266" i="5"/>
  <c r="B7747" i="106" s="1"/>
  <c r="D7747" i="106" s="1"/>
  <c r="B6835" i="106"/>
  <c r="D6835" i="106" s="1"/>
  <c r="H76" i="4"/>
  <c r="B3298" i="106" s="1"/>
  <c r="D3298" i="106" s="1"/>
  <c r="K147" i="29"/>
  <c r="B1283" i="106"/>
  <c r="D1283" i="106" s="1"/>
  <c r="B1383" i="106"/>
  <c r="D1383" i="106" s="1"/>
  <c r="K204" i="29"/>
  <c r="B1617" i="106"/>
  <c r="D1617" i="106" s="1"/>
  <c r="F267" i="5" l="1"/>
  <c r="F170" i="5"/>
  <c r="F28" i="108"/>
  <c r="F151" i="29"/>
  <c r="B1250" i="106" s="1"/>
  <c r="D1250" i="106" s="1"/>
  <c r="H151" i="29"/>
  <c r="B1273" i="106" s="1"/>
  <c r="D1273" i="106" s="1"/>
  <c r="K77" i="4"/>
  <c r="B3587" i="106" s="1"/>
  <c r="D3587" i="106" s="1"/>
  <c r="F158" i="34"/>
  <c r="B7866" i="106" s="1"/>
  <c r="D7866" i="106" s="1"/>
  <c r="K149" i="29"/>
  <c r="B7048" i="106"/>
  <c r="D7048" i="106" s="1"/>
  <c r="B1129" i="106"/>
  <c r="D1129" i="106" s="1"/>
  <c r="E29" i="108"/>
  <c r="G29" i="108"/>
  <c r="B157" i="106"/>
  <c r="D157" i="106" s="1"/>
  <c r="B5513" i="106"/>
  <c r="D5513" i="106" s="1"/>
  <c r="E109" i="5"/>
  <c r="B3274" i="106"/>
  <c r="D3274" i="106" s="1"/>
  <c r="E77" i="4"/>
  <c r="B3277" i="106" s="1"/>
  <c r="D3277" i="106" s="1"/>
  <c r="K184" i="29"/>
  <c r="B4087" i="106"/>
  <c r="D4087" i="106" s="1"/>
  <c r="F15" i="184"/>
  <c r="F19" i="184" s="1"/>
  <c r="G26" i="108"/>
  <c r="K127" i="29"/>
  <c r="E26" i="108"/>
  <c r="B1274" i="106"/>
  <c r="D1274" i="106" s="1"/>
  <c r="B3676" i="106"/>
  <c r="D3676" i="106" s="1"/>
  <c r="K365" i="29"/>
  <c r="B3724" i="106"/>
  <c r="D3724" i="106" s="1"/>
  <c r="F73" i="34"/>
  <c r="G15" i="4"/>
  <c r="B6032" i="106" s="1"/>
  <c r="D6032" i="106" s="1"/>
  <c r="F95" i="34"/>
  <c r="B5096" i="106"/>
  <c r="D5096" i="106" s="1"/>
  <c r="D367" i="29"/>
  <c r="B3629" i="106" s="1"/>
  <c r="D3629" i="106" s="1"/>
  <c r="B3628" i="106"/>
  <c r="D3628" i="106" s="1"/>
  <c r="G170" i="5"/>
  <c r="B5770" i="106"/>
  <c r="D5770" i="106" s="1"/>
  <c r="B7207" i="106"/>
  <c r="D7207" i="106" s="1"/>
  <c r="K342" i="29"/>
  <c r="J13" i="4"/>
  <c r="B5232" i="106"/>
  <c r="D5232" i="106" s="1"/>
  <c r="F124" i="34"/>
  <c r="B7856" i="106" s="1"/>
  <c r="D7856" i="106" s="1"/>
  <c r="B77" i="106"/>
  <c r="D77" i="106" s="1"/>
  <c r="B1753" i="106"/>
  <c r="D1753" i="106" s="1"/>
  <c r="D12" i="7"/>
  <c r="B1769" i="106" s="1"/>
  <c r="D1769" i="106" s="1"/>
  <c r="E33" i="108"/>
  <c r="K72" i="29"/>
  <c r="B1141" i="106" s="1"/>
  <c r="D1141" i="106" s="1"/>
  <c r="G33" i="108"/>
  <c r="E17" i="184"/>
  <c r="H17" i="184" s="1"/>
  <c r="B1134" i="106"/>
  <c r="D1134" i="106" s="1"/>
  <c r="B5421" i="106"/>
  <c r="D5421" i="106" s="1"/>
  <c r="D6" i="4"/>
  <c r="B2566" i="106" s="1"/>
  <c r="D2566" i="106" s="1"/>
  <c r="F367" i="29"/>
  <c r="B3643" i="106" s="1"/>
  <c r="D3643" i="106" s="1"/>
  <c r="B3642" i="106"/>
  <c r="D3642" i="106" s="1"/>
  <c r="B2888" i="106"/>
  <c r="D2888" i="106" s="1"/>
  <c r="D6" i="7"/>
  <c r="B1762" i="106" s="1"/>
  <c r="D1762" i="106" s="1"/>
  <c r="B1746" i="106"/>
  <c r="D1746" i="106" s="1"/>
  <c r="B180" i="106"/>
  <c r="D180" i="106" s="1"/>
  <c r="B7222" i="106"/>
  <c r="D7222" i="106" s="1"/>
  <c r="F76" i="34"/>
  <c r="B7887" i="106" s="1"/>
  <c r="D7887" i="106" s="1"/>
  <c r="B5304" i="106"/>
  <c r="D5304" i="106" s="1"/>
  <c r="F133" i="34"/>
  <c r="B7865" i="106" s="1"/>
  <c r="D7865" i="106" s="1"/>
  <c r="K6" i="4"/>
  <c r="B3570" i="106" s="1"/>
  <c r="D3570" i="106" s="1"/>
  <c r="B6014" i="106"/>
  <c r="D6014" i="106" s="1"/>
  <c r="B785" i="106"/>
  <c r="D785" i="106" s="1"/>
  <c r="D74" i="29"/>
  <c r="B4103" i="106"/>
  <c r="D4103" i="106" s="1"/>
  <c r="D18" i="7"/>
  <c r="B4105" i="106" s="1"/>
  <c r="D4105" i="106" s="1"/>
  <c r="F58" i="34"/>
  <c r="B1259" i="106"/>
  <c r="D1259" i="106" s="1"/>
  <c r="N57" i="184"/>
  <c r="N68" i="184" s="1"/>
  <c r="E68" i="184"/>
  <c r="K172" i="29"/>
  <c r="B1328" i="106"/>
  <c r="D1328" i="106" s="1"/>
  <c r="B5987" i="106"/>
  <c r="D5987" i="106" s="1"/>
  <c r="K109" i="5"/>
  <c r="B6902" i="106"/>
  <c r="D6902" i="106" s="1"/>
  <c r="I114" i="29"/>
  <c r="B6352" i="106"/>
  <c r="D6352" i="106" s="1"/>
  <c r="J268" i="5"/>
  <c r="J4" i="4"/>
  <c r="B3446" i="106"/>
  <c r="D3446" i="106" s="1"/>
  <c r="D16" i="7"/>
  <c r="B3447" i="106" s="1"/>
  <c r="D3447" i="106" s="1"/>
  <c r="B5725" i="106"/>
  <c r="D5725" i="106" s="1"/>
  <c r="B7220" i="106"/>
  <c r="D7220" i="106" s="1"/>
  <c r="F75" i="34"/>
  <c r="B7886" i="106" s="1"/>
  <c r="D7886" i="106" s="1"/>
  <c r="B5102" i="106"/>
  <c r="D5102" i="106" s="1"/>
  <c r="F96" i="34"/>
  <c r="B7838" i="106" s="1"/>
  <c r="D7838" i="106" s="1"/>
  <c r="J114" i="29"/>
  <c r="B7021" i="106" s="1"/>
  <c r="D7021" i="106" s="1"/>
  <c r="J6" i="4"/>
  <c r="B6221" i="106" s="1"/>
  <c r="D6221" i="106" s="1"/>
  <c r="B6397" i="106"/>
  <c r="D6397" i="106" s="1"/>
  <c r="B2093" i="106"/>
  <c r="D2093" i="106" s="1"/>
  <c r="K139" i="29"/>
  <c r="F7" i="4"/>
  <c r="B2594" i="106" s="1"/>
  <c r="D2594" i="106" s="1"/>
  <c r="B5719" i="106"/>
  <c r="D5719" i="106" s="1"/>
  <c r="B3674" i="106"/>
  <c r="D3674" i="106" s="1"/>
  <c r="K15" i="4"/>
  <c r="B3573" i="106" s="1"/>
  <c r="D3573" i="106" s="1"/>
  <c r="B1745" i="106"/>
  <c r="D1745" i="106" s="1"/>
  <c r="D5" i="7"/>
  <c r="B1761" i="106" s="1"/>
  <c r="D1761" i="106" s="1"/>
  <c r="B2088" i="106"/>
  <c r="D2088" i="106" s="1"/>
  <c r="K102" i="29"/>
  <c r="E114" i="29"/>
  <c r="B873" i="106" s="1"/>
  <c r="D873" i="106" s="1"/>
  <c r="B169" i="106"/>
  <c r="D169" i="106" s="1"/>
  <c r="B1364" i="106"/>
  <c r="D1364" i="106" s="1"/>
  <c r="G210" i="29"/>
  <c r="I77" i="4"/>
  <c r="B3319" i="106" s="1"/>
  <c r="D3319" i="106" s="1"/>
  <c r="B1749" i="106"/>
  <c r="D1749" i="106" s="1"/>
  <c r="D10" i="7"/>
  <c r="B1765" i="106" s="1"/>
  <c r="D1765" i="106" s="1"/>
  <c r="B4395" i="106"/>
  <c r="D4395" i="106" s="1"/>
  <c r="C266" i="5"/>
  <c r="B5320" i="106" s="1"/>
  <c r="D5320" i="106" s="1"/>
  <c r="F125" i="34"/>
  <c r="B7857" i="106" s="1"/>
  <c r="D7857" i="106" s="1"/>
  <c r="B5246" i="106"/>
  <c r="D5246" i="106" s="1"/>
  <c r="F126" i="34"/>
  <c r="B7858" i="106" s="1"/>
  <c r="D7858" i="106" s="1"/>
  <c r="B1748" i="106"/>
  <c r="D1748" i="106" s="1"/>
  <c r="D8" i="7"/>
  <c r="B1764" i="106" s="1"/>
  <c r="D1764" i="106" s="1"/>
  <c r="F31" i="108"/>
  <c r="E16" i="184"/>
  <c r="H16" i="184" s="1"/>
  <c r="B1131" i="106"/>
  <c r="D1131" i="106" s="1"/>
  <c r="D31" i="108"/>
  <c r="B5165" i="106"/>
  <c r="D5165" i="106" s="1"/>
  <c r="F108" i="34"/>
  <c r="B7844" i="106" s="1"/>
  <c r="D7844" i="106" s="1"/>
  <c r="B1756" i="106"/>
  <c r="D1756" i="106" s="1"/>
  <c r="D15" i="7"/>
  <c r="B1772" i="106" s="1"/>
  <c r="D1772" i="106" s="1"/>
  <c r="H174" i="29"/>
  <c r="B1318" i="106" s="1"/>
  <c r="D1318" i="106" s="1"/>
  <c r="B1317" i="106"/>
  <c r="D1317" i="106" s="1"/>
  <c r="B5732" i="106"/>
  <c r="D5732" i="106" s="1"/>
  <c r="G67" i="5"/>
  <c r="B5733" i="106" s="1"/>
  <c r="D5733" i="106" s="1"/>
  <c r="B5225" i="106"/>
  <c r="D5225" i="106" s="1"/>
  <c r="B5873" i="106"/>
  <c r="D5873" i="106" s="1"/>
  <c r="H109" i="5"/>
  <c r="B3656" i="106"/>
  <c r="D3656" i="106" s="1"/>
  <c r="H367" i="29"/>
  <c r="B3660" i="106" s="1"/>
  <c r="D3660" i="106" s="1"/>
  <c r="J367" i="29"/>
  <c r="B7245" i="106" s="1"/>
  <c r="D7245" i="106" s="1"/>
  <c r="B7235" i="106"/>
  <c r="D7235" i="106" s="1"/>
  <c r="D267" i="5"/>
  <c r="B1754" i="106"/>
  <c r="D1754" i="106" s="1"/>
  <c r="D14" i="7"/>
  <c r="B1770" i="106" s="1"/>
  <c r="D1770" i="106" s="1"/>
  <c r="B5334" i="106"/>
  <c r="D5334" i="106" s="1"/>
  <c r="D109" i="5"/>
  <c r="G21" i="108"/>
  <c r="B1115" i="106"/>
  <c r="D1115" i="106" s="1"/>
  <c r="E21" i="108"/>
  <c r="G12" i="4"/>
  <c r="B1474" i="106"/>
  <c r="D1474" i="106" s="1"/>
  <c r="H12" i="184"/>
  <c r="H74" i="29"/>
  <c r="B1370" i="106"/>
  <c r="D1370" i="106" s="1"/>
  <c r="H210" i="29"/>
  <c r="B1376" i="106" s="1"/>
  <c r="D1376" i="106" s="1"/>
  <c r="B5918" i="106"/>
  <c r="D5918" i="106" s="1"/>
  <c r="I109" i="5"/>
  <c r="K196" i="29"/>
  <c r="B2837" i="106"/>
  <c r="D2837" i="106" s="1"/>
  <c r="B1744" i="106"/>
  <c r="D1744" i="106" s="1"/>
  <c r="B19" i="7"/>
  <c r="B1759" i="106" s="1"/>
  <c r="D1759" i="106" s="1"/>
  <c r="D4" i="7"/>
  <c r="H15" i="4"/>
  <c r="B2660" i="106" s="1"/>
  <c r="D2660" i="106" s="1"/>
  <c r="B2102" i="106"/>
  <c r="D2102" i="106" s="1"/>
  <c r="E267" i="5"/>
  <c r="B5178" i="106"/>
  <c r="D5178" i="106" s="1"/>
  <c r="F112" i="34"/>
  <c r="B7847" i="106" s="1"/>
  <c r="D7847" i="106" s="1"/>
  <c r="B4157" i="106"/>
  <c r="D4157" i="106" s="1"/>
  <c r="K208" i="29"/>
  <c r="B7038" i="106"/>
  <c r="D7038" i="106" s="1"/>
  <c r="J151" i="29"/>
  <c r="B7052" i="106" s="1"/>
  <c r="D7052" i="106" s="1"/>
  <c r="B3621" i="106"/>
  <c r="D3621" i="106" s="1"/>
  <c r="C367" i="29"/>
  <c r="B3622" i="106" s="1"/>
  <c r="D3622" i="106" s="1"/>
  <c r="B4216" i="106"/>
  <c r="D4216" i="106" s="1"/>
  <c r="I6" i="4"/>
  <c r="B5011" i="106" s="1"/>
  <c r="D5011" i="106" s="1"/>
  <c r="B1139" i="106"/>
  <c r="D1139" i="106" s="1"/>
  <c r="F37" i="108"/>
  <c r="D37" i="108"/>
  <c r="G267" i="5"/>
  <c r="I367" i="29"/>
  <c r="B7244" i="106" s="1"/>
  <c r="D7244" i="106" s="1"/>
  <c r="B7234" i="106"/>
  <c r="D7234" i="106" s="1"/>
  <c r="G16" i="4"/>
  <c r="B2611" i="106" s="1"/>
  <c r="D2611" i="106" s="1"/>
  <c r="B1515" i="106"/>
  <c r="D1515" i="106" s="1"/>
  <c r="B1747" i="106"/>
  <c r="D1747" i="106" s="1"/>
  <c r="D7" i="7"/>
  <c r="B1763" i="106" s="1"/>
  <c r="D1763" i="106" s="1"/>
  <c r="B1323" i="106"/>
  <c r="D1323" i="106" s="1"/>
  <c r="F60" i="34"/>
  <c r="E15" i="4"/>
  <c r="B4411" i="106"/>
  <c r="D4411" i="106" s="1"/>
  <c r="F128" i="34"/>
  <c r="B7860" i="106" s="1"/>
  <c r="D7860" i="106" s="1"/>
  <c r="B7071" i="106"/>
  <c r="D7071" i="106" s="1"/>
  <c r="F66" i="34"/>
  <c r="B1125" i="106"/>
  <c r="D1125" i="106" s="1"/>
  <c r="G24" i="108"/>
  <c r="E24" i="108"/>
  <c r="B5260" i="106"/>
  <c r="D5260" i="106" s="1"/>
  <c r="F127" i="34"/>
  <c r="B7859" i="106" s="1"/>
  <c r="D7859" i="106" s="1"/>
  <c r="B5066" i="106"/>
  <c r="D5066" i="106" s="1"/>
  <c r="C109" i="5"/>
  <c r="B1239" i="106"/>
  <c r="D1239" i="106" s="1"/>
  <c r="E129" i="29"/>
  <c r="B7215" i="106"/>
  <c r="D7215" i="106" s="1"/>
  <c r="J16" i="4"/>
  <c r="B6226" i="106" s="1"/>
  <c r="D6226" i="106" s="1"/>
  <c r="B3565" i="106"/>
  <c r="D3565" i="106" s="1"/>
  <c r="B5132" i="106"/>
  <c r="D5132" i="106" s="1"/>
  <c r="B5544" i="106"/>
  <c r="D5544" i="106" s="1"/>
  <c r="E6" i="4"/>
  <c r="B2631" i="106" s="1"/>
  <c r="D2631" i="106" s="1"/>
  <c r="B5161" i="106"/>
  <c r="D5161" i="106" s="1"/>
  <c r="F107" i="34"/>
  <c r="B7843" i="106" s="1"/>
  <c r="D7843" i="106" s="1"/>
  <c r="B3635" i="106"/>
  <c r="D3635" i="106" s="1"/>
  <c r="E367" i="29"/>
  <c r="B3636" i="106" s="1"/>
  <c r="D3636" i="106" s="1"/>
  <c r="H267" i="5"/>
  <c r="B3649" i="106"/>
  <c r="D3649" i="106" s="1"/>
  <c r="G367" i="29"/>
  <c r="B3650" i="106" s="1"/>
  <c r="D3650" i="106" s="1"/>
  <c r="K312" i="29"/>
  <c r="B1560" i="106" s="1"/>
  <c r="D1560" i="106" s="1"/>
  <c r="B1559" i="106"/>
  <c r="D1559" i="106" s="1"/>
  <c r="H13" i="4"/>
  <c r="B1151" i="106"/>
  <c r="D1151" i="106" s="1"/>
  <c r="K112" i="29"/>
  <c r="D295" i="29"/>
  <c r="B1448" i="106" s="1"/>
  <c r="D1448" i="106" s="1"/>
  <c r="B1446" i="106"/>
  <c r="D1446" i="106" s="1"/>
  <c r="B203" i="106"/>
  <c r="D203" i="106" s="1"/>
  <c r="B5557" i="106"/>
  <c r="D5557" i="106" s="1"/>
  <c r="F109" i="5"/>
  <c r="G23" i="108"/>
  <c r="E23" i="108"/>
  <c r="B1122" i="106"/>
  <c r="D1122" i="106" s="1"/>
  <c r="B3552" i="106"/>
  <c r="D3552" i="106" s="1"/>
  <c r="B5125" i="106"/>
  <c r="D5125" i="106" s="1"/>
  <c r="C5" i="4"/>
  <c r="B3405" i="106" s="1"/>
  <c r="D3405" i="106" s="1"/>
  <c r="G22" i="108"/>
  <c r="B1119" i="106"/>
  <c r="D1119" i="106" s="1"/>
  <c r="E22" i="108"/>
  <c r="B952" i="106"/>
  <c r="D952" i="106" s="1"/>
  <c r="G114" i="29"/>
  <c r="B3670" i="106"/>
  <c r="D3670" i="106" s="1"/>
  <c r="K352" i="29"/>
  <c r="B4102" i="106"/>
  <c r="D4102" i="106" s="1"/>
  <c r="D17" i="7"/>
  <c r="B4104" i="106" s="1"/>
  <c r="D4104" i="106" s="1"/>
  <c r="B5147" i="106"/>
  <c r="D5147" i="106" s="1"/>
  <c r="F106" i="34"/>
  <c r="B7842" i="106" s="1"/>
  <c r="D7842" i="106" s="1"/>
  <c r="C169" i="5"/>
  <c r="B5214" i="106" s="1"/>
  <c r="D5214" i="106" s="1"/>
  <c r="B122" i="106"/>
  <c r="D122" i="106" s="1"/>
  <c r="B7054" i="106"/>
  <c r="D7054" i="106" s="1"/>
  <c r="J7" i="4"/>
  <c r="B6222" i="106" s="1"/>
  <c r="D6222" i="106" s="1"/>
  <c r="K65" i="29"/>
  <c r="B1133" i="106" s="1"/>
  <c r="D1133" i="106" s="1"/>
  <c r="K33" i="29"/>
  <c r="F59" i="34"/>
  <c r="B7051" i="106"/>
  <c r="D7051" i="106" s="1"/>
  <c r="B5653" i="106"/>
  <c r="D5653" i="106" s="1"/>
  <c r="F6" i="4"/>
  <c r="B2593" i="106" s="1"/>
  <c r="D2593" i="106" s="1"/>
  <c r="B1481" i="106"/>
  <c r="D1481" i="106" s="1"/>
  <c r="K279" i="29"/>
  <c r="B3229" i="106"/>
  <c r="D3229" i="106" s="1"/>
  <c r="C77" i="4"/>
  <c r="B3232" i="106" s="1"/>
  <c r="D3232" i="106" s="1"/>
  <c r="B1339" i="106"/>
  <c r="D1339" i="106" s="1"/>
  <c r="C210" i="29"/>
  <c r="B1340" i="106" s="1"/>
  <c r="D1340" i="106" s="1"/>
  <c r="H77" i="4"/>
  <c r="B3299" i="106" s="1"/>
  <c r="D3299" i="106" s="1"/>
  <c r="B5906" i="106"/>
  <c r="D5906" i="106" s="1"/>
  <c r="H6" i="4"/>
  <c r="B2656" i="106" s="1"/>
  <c r="D2656" i="106" s="1"/>
  <c r="B6022" i="106"/>
  <c r="D6022" i="106" s="1"/>
  <c r="K7" i="4"/>
  <c r="B3718" i="106" s="1"/>
  <c r="D3718" i="106" s="1"/>
  <c r="D151" i="29"/>
  <c r="B1234" i="106" s="1"/>
  <c r="D1234" i="106" s="1"/>
  <c r="B1233" i="106"/>
  <c r="D1233" i="106" s="1"/>
  <c r="B3252" i="106"/>
  <c r="D3252" i="106" s="1"/>
  <c r="F77" i="4"/>
  <c r="B3255" i="106" s="1"/>
  <c r="D3255" i="106" s="1"/>
  <c r="C114" i="29"/>
  <c r="B757" i="106" s="1"/>
  <c r="D757" i="106" s="1"/>
  <c r="E19" i="184" l="1"/>
  <c r="F41" i="108"/>
  <c r="G43" i="108" s="1"/>
  <c r="C267" i="5"/>
  <c r="C7" i="4" s="1"/>
  <c r="D41" i="108"/>
  <c r="E43" i="108" s="1"/>
  <c r="G13" i="4"/>
  <c r="B2608" i="106" s="1"/>
  <c r="D2608" i="106" s="1"/>
  <c r="B1510" i="106"/>
  <c r="D1510" i="106" s="1"/>
  <c r="F4" i="4"/>
  <c r="B5588" i="106"/>
  <c r="D5588" i="106" s="1"/>
  <c r="F268" i="5"/>
  <c r="B2659" i="106"/>
  <c r="D2659" i="106" s="1"/>
  <c r="H17" i="4"/>
  <c r="B5869" i="106"/>
  <c r="D5869" i="106" s="1"/>
  <c r="G7" i="4"/>
  <c r="B2605" i="106" s="1"/>
  <c r="D2605" i="106" s="1"/>
  <c r="D7" i="4"/>
  <c r="B2567" i="106" s="1"/>
  <c r="D2567" i="106" s="1"/>
  <c r="B5507" i="106"/>
  <c r="D5507" i="106" s="1"/>
  <c r="B5326" i="106"/>
  <c r="D5326" i="106" s="1"/>
  <c r="B1365" i="106"/>
  <c r="D1365" i="106" s="1"/>
  <c r="F65" i="34"/>
  <c r="K268" i="5"/>
  <c r="B6028" i="106"/>
  <c r="D6028" i="106" s="1"/>
  <c r="K4" i="4"/>
  <c r="B7042" i="106"/>
  <c r="D7042" i="106" s="1"/>
  <c r="J17" i="4"/>
  <c r="F175" i="34"/>
  <c r="B7877" i="106" s="1"/>
  <c r="D7877" i="106" s="1"/>
  <c r="B1279" i="106"/>
  <c r="D1279" i="106" s="1"/>
  <c r="K129" i="29"/>
  <c r="B1760" i="106"/>
  <c r="D1760" i="106" s="1"/>
  <c r="D19" i="7"/>
  <c r="B1775" i="106" s="1"/>
  <c r="D1775" i="106" s="1"/>
  <c r="K74" i="29"/>
  <c r="K114" i="29" s="1"/>
  <c r="F13" i="34"/>
  <c r="B7224" i="106"/>
  <c r="D7224" i="106" s="1"/>
  <c r="K13" i="4"/>
  <c r="K367" i="29"/>
  <c r="B3678" i="106" s="1"/>
  <c r="D3678" i="106" s="1"/>
  <c r="B3672" i="106"/>
  <c r="D3672" i="106" s="1"/>
  <c r="E151" i="29"/>
  <c r="B1242" i="106" s="1"/>
  <c r="D1242" i="106" s="1"/>
  <c r="B1241" i="106"/>
  <c r="D1241" i="106" s="1"/>
  <c r="F16" i="4"/>
  <c r="B2599" i="106" s="1"/>
  <c r="D2599" i="106" s="1"/>
  <c r="B1387" i="106"/>
  <c r="D1387" i="106" s="1"/>
  <c r="B1045" i="106"/>
  <c r="D1045" i="106" s="1"/>
  <c r="H114" i="29"/>
  <c r="B1054" i="106" s="1"/>
  <c r="D1054" i="106" s="1"/>
  <c r="B813" i="106"/>
  <c r="D813" i="106" s="1"/>
  <c r="D114" i="29"/>
  <c r="B815" i="106" s="1"/>
  <c r="D815" i="106" s="1"/>
  <c r="B6220" i="106"/>
  <c r="D6220" i="106" s="1"/>
  <c r="J8" i="4"/>
  <c r="K174" i="29"/>
  <c r="E16" i="4"/>
  <c r="B2634" i="106" s="1"/>
  <c r="D2634" i="106" s="1"/>
  <c r="B1331" i="106"/>
  <c r="D1331" i="106" s="1"/>
  <c r="F54" i="34"/>
  <c r="B989" i="106"/>
  <c r="D989" i="106" s="1"/>
  <c r="C170" i="5"/>
  <c r="C268" i="5" s="1"/>
  <c r="B5121" i="106"/>
  <c r="D5121" i="106" s="1"/>
  <c r="C4" i="4"/>
  <c r="B5356" i="106"/>
  <c r="D5356" i="106" s="1"/>
  <c r="D4" i="4"/>
  <c r="D268" i="5"/>
  <c r="K343" i="29"/>
  <c r="B7225" i="106" s="1"/>
  <c r="D7225" i="106" s="1"/>
  <c r="B7055" i="106"/>
  <c r="D7055" i="106" s="1"/>
  <c r="B5778" i="106"/>
  <c r="D5778" i="106" s="1"/>
  <c r="G6" i="4"/>
  <c r="B2604" i="106" s="1"/>
  <c r="D2604" i="106" s="1"/>
  <c r="B7243" i="106"/>
  <c r="D7243" i="106" s="1"/>
  <c r="K16" i="4"/>
  <c r="B3574" i="106" s="1"/>
  <c r="D3574" i="106" s="1"/>
  <c r="F13" i="4"/>
  <c r="B1381" i="106"/>
  <c r="D1381" i="106" s="1"/>
  <c r="K210" i="29"/>
  <c r="H7" i="4"/>
  <c r="B2657" i="106" s="1"/>
  <c r="D2657" i="106" s="1"/>
  <c r="B5914" i="106"/>
  <c r="D5914" i="106" s="1"/>
  <c r="B1382" i="106"/>
  <c r="D1382" i="106" s="1"/>
  <c r="F63" i="34"/>
  <c r="F15" i="4"/>
  <c r="B2598" i="106" s="1"/>
  <c r="D2598" i="106" s="1"/>
  <c r="K295" i="29"/>
  <c r="F53" i="34"/>
  <c r="B1145" i="106"/>
  <c r="D1145" i="106" s="1"/>
  <c r="C15" i="4"/>
  <c r="B2559" i="106" s="1"/>
  <c r="D2559" i="106" s="1"/>
  <c r="H15" i="184"/>
  <c r="H19" i="184" s="1"/>
  <c r="L20" i="184" s="1"/>
  <c r="C16" i="4"/>
  <c r="B2560" i="106" s="1"/>
  <c r="D2560" i="106" s="1"/>
  <c r="B7019" i="106"/>
  <c r="D7019" i="106" s="1"/>
  <c r="B4434" i="106"/>
  <c r="D4434" i="106" s="1"/>
  <c r="E7" i="4"/>
  <c r="B4443" i="106" s="1"/>
  <c r="D4443" i="106" s="1"/>
  <c r="B6026" i="106"/>
  <c r="D6026" i="106" s="1"/>
  <c r="I4" i="4"/>
  <c r="I268" i="5"/>
  <c r="B5946" i="106" s="1"/>
  <c r="D5946" i="106" s="1"/>
  <c r="B6025" i="106"/>
  <c r="D6025" i="106" s="1"/>
  <c r="H4" i="4"/>
  <c r="H268" i="5"/>
  <c r="F57" i="34"/>
  <c r="B1282" i="106"/>
  <c r="D1282" i="106" s="1"/>
  <c r="D15" i="4"/>
  <c r="B2571" i="106" s="1"/>
  <c r="D2571" i="106" s="1"/>
  <c r="F55" i="34"/>
  <c r="B7020" i="106"/>
  <c r="D7020" i="106" s="1"/>
  <c r="F17" i="11"/>
  <c r="B1108" i="106"/>
  <c r="D1108" i="106" s="1"/>
  <c r="E19" i="108"/>
  <c r="E41" i="108" s="1"/>
  <c r="E44" i="108" s="1"/>
  <c r="C12" i="4"/>
  <c r="G19" i="108"/>
  <c r="G41" i="108" s="1"/>
  <c r="G44" i="108" s="1"/>
  <c r="B2633" i="106"/>
  <c r="D2633" i="106" s="1"/>
  <c r="B2607" i="106"/>
  <c r="D2607" i="106" s="1"/>
  <c r="G17" i="4"/>
  <c r="G109" i="5"/>
  <c r="E4" i="4"/>
  <c r="B5527" i="106"/>
  <c r="D5527" i="106" s="1"/>
  <c r="E268" i="5"/>
  <c r="B1287" i="106"/>
  <c r="D1287" i="106" s="1"/>
  <c r="D16" i="4"/>
  <c r="B2572" i="106" s="1"/>
  <c r="D2572" i="106" s="1"/>
  <c r="G45" i="108" l="1"/>
  <c r="E45" i="108"/>
  <c r="E17" i="4"/>
  <c r="F77" i="34"/>
  <c r="B7834" i="106" s="1"/>
  <c r="D7834" i="106" s="1"/>
  <c r="E19" i="4"/>
  <c r="B4138" i="106" s="1"/>
  <c r="D4138" i="106" s="1"/>
  <c r="B2635" i="106"/>
  <c r="D2635" i="106" s="1"/>
  <c r="B6023" i="106"/>
  <c r="D6023" i="106" s="1"/>
  <c r="K368" i="29"/>
  <c r="B3681" i="106" s="1"/>
  <c r="D3681" i="106" s="1"/>
  <c r="B3225" i="106"/>
  <c r="D3225" i="106" s="1"/>
  <c r="I8" i="4"/>
  <c r="F11" i="34"/>
  <c r="B1388" i="106"/>
  <c r="D1388" i="106" s="1"/>
  <c r="C6" i="4"/>
  <c r="B2553" i="106" s="1"/>
  <c r="D2553" i="106" s="1"/>
  <c r="B5223" i="106"/>
  <c r="D5223" i="106" s="1"/>
  <c r="D13" i="4"/>
  <c r="K151" i="29"/>
  <c r="K152" i="29" s="1"/>
  <c r="B1289" i="106" s="1"/>
  <c r="D1289" i="106" s="1"/>
  <c r="B1281" i="106"/>
  <c r="D1281" i="106" s="1"/>
  <c r="H19" i="4"/>
  <c r="B4141" i="106" s="1"/>
  <c r="D4141" i="106" s="1"/>
  <c r="B2661" i="106"/>
  <c r="D2661" i="106" s="1"/>
  <c r="B140" i="106"/>
  <c r="D140" i="106" s="1"/>
  <c r="E41" i="3"/>
  <c r="B5552" i="106"/>
  <c r="D5552" i="106" s="1"/>
  <c r="K175" i="29"/>
  <c r="B1333" i="106" s="1"/>
  <c r="D1333" i="106" s="1"/>
  <c r="B1152" i="106"/>
  <c r="D1152" i="106" s="1"/>
  <c r="F8" i="34"/>
  <c r="B5508" i="106"/>
  <c r="D5508" i="106" s="1"/>
  <c r="F12" i="34"/>
  <c r="B1517" i="106"/>
  <c r="D1517" i="106" s="1"/>
  <c r="B2596" i="106"/>
  <c r="D2596" i="106" s="1"/>
  <c r="F17" i="4"/>
  <c r="B2564" i="106"/>
  <c r="D2564" i="106" s="1"/>
  <c r="D8" i="4"/>
  <c r="B3572" i="106"/>
  <c r="D3572" i="106" s="1"/>
  <c r="K17" i="4"/>
  <c r="B2554" i="106"/>
  <c r="D2554" i="106" s="1"/>
  <c r="D10" i="171"/>
  <c r="D19" i="171" s="1"/>
  <c r="D32" i="171" s="1"/>
  <c r="D49" i="171" s="1"/>
  <c r="B5720" i="106"/>
  <c r="D5720" i="106" s="1"/>
  <c r="K211" i="29"/>
  <c r="B1389" i="106" s="1"/>
  <c r="D1389" i="106" s="1"/>
  <c r="B2630" i="106"/>
  <c r="D2630" i="106" s="1"/>
  <c r="E8" i="4"/>
  <c r="B2556" i="106"/>
  <c r="D2556" i="106" s="1"/>
  <c r="B6227" i="106"/>
  <c r="D6227" i="106" s="1"/>
  <c r="J19" i="4"/>
  <c r="B6229" i="106" s="1"/>
  <c r="D6229" i="106" s="1"/>
  <c r="B2912" i="106"/>
  <c r="D2912" i="106" s="1"/>
  <c r="I41" i="3"/>
  <c r="B6024" i="106"/>
  <c r="D6024" i="106" s="1"/>
  <c r="G4" i="4"/>
  <c r="G268" i="5"/>
  <c r="B5915" i="106"/>
  <c r="D5915" i="106" s="1"/>
  <c r="K313" i="29"/>
  <c r="B1561" i="106" s="1"/>
  <c r="D1561" i="106" s="1"/>
  <c r="B2591" i="106"/>
  <c r="D2591" i="106" s="1"/>
  <c r="F8" i="4"/>
  <c r="G19" i="4"/>
  <c r="B4140" i="106" s="1"/>
  <c r="D4140" i="106" s="1"/>
  <c r="B2612" i="106"/>
  <c r="D2612" i="106" s="1"/>
  <c r="H8" i="4"/>
  <c r="B2655" i="106"/>
  <c r="D2655" i="106" s="1"/>
  <c r="K115" i="29"/>
  <c r="B1153" i="106" s="1"/>
  <c r="D1153" i="106" s="1"/>
  <c r="B5327" i="106"/>
  <c r="D5327" i="106" s="1"/>
  <c r="F10" i="34"/>
  <c r="B1332" i="106"/>
  <c r="D1332" i="106" s="1"/>
  <c r="C13" i="4"/>
  <c r="B2557" i="106" s="1"/>
  <c r="D2557" i="106" s="1"/>
  <c r="B1143" i="106"/>
  <c r="D1143" i="106" s="1"/>
  <c r="K8" i="4"/>
  <c r="B3569" i="106"/>
  <c r="D3569" i="106" s="1"/>
  <c r="B7624" i="106"/>
  <c r="D7624" i="106" s="1"/>
  <c r="I17" i="11"/>
  <c r="B2551" i="106"/>
  <c r="D2551" i="106" s="1"/>
  <c r="C8" i="4"/>
  <c r="B6223" i="106"/>
  <c r="D6223" i="106" s="1"/>
  <c r="J10" i="4"/>
  <c r="B6225" i="106" s="1"/>
  <c r="D6225" i="106" s="1"/>
  <c r="J20" i="4"/>
  <c r="K296" i="29" l="1"/>
  <c r="B1518" i="106" s="1"/>
  <c r="D1518" i="106" s="1"/>
  <c r="B5870" i="106"/>
  <c r="D5870" i="106" s="1"/>
  <c r="C17" i="4"/>
  <c r="B3575" i="106"/>
  <c r="D3575" i="106" s="1"/>
  <c r="K19" i="4"/>
  <c r="B4144" i="106" s="1"/>
  <c r="D4144" i="106" s="1"/>
  <c r="J78" i="4"/>
  <c r="B6230" i="106"/>
  <c r="D6230" i="106" s="1"/>
  <c r="B3571" i="106"/>
  <c r="D3571" i="106" s="1"/>
  <c r="K10" i="4"/>
  <c r="B4130" i="106" s="1"/>
  <c r="D4130" i="106" s="1"/>
  <c r="K20" i="4"/>
  <c r="H10" i="4"/>
  <c r="B4127" i="106" s="1"/>
  <c r="D4127" i="106" s="1"/>
  <c r="B2658" i="106"/>
  <c r="D2658" i="106" s="1"/>
  <c r="H20" i="4"/>
  <c r="B2603" i="106"/>
  <c r="D2603" i="106" s="1"/>
  <c r="G8" i="4"/>
  <c r="E10" i="4"/>
  <c r="B4124" i="106" s="1"/>
  <c r="D4124" i="106" s="1"/>
  <c r="E20" i="4"/>
  <c r="B2632" i="106"/>
  <c r="D2632" i="106" s="1"/>
  <c r="C8" i="146"/>
  <c r="D10" i="4"/>
  <c r="B4123" i="106" s="1"/>
  <c r="D4123" i="106" s="1"/>
  <c r="B2568" i="106"/>
  <c r="D2568" i="106" s="1"/>
  <c r="E8" i="146"/>
  <c r="E10" i="146" s="1"/>
  <c r="I10" i="4"/>
  <c r="B4128" i="106" s="1"/>
  <c r="D4128" i="106" s="1"/>
  <c r="B3226" i="106"/>
  <c r="D3226" i="106" s="1"/>
  <c r="I20" i="4"/>
  <c r="B2913" i="106"/>
  <c r="D2913" i="106" s="1"/>
  <c r="D50" i="36"/>
  <c r="B189" i="106"/>
  <c r="D189" i="106" s="1"/>
  <c r="G41" i="3"/>
  <c r="H13" i="118"/>
  <c r="C20" i="4"/>
  <c r="H18" i="118"/>
  <c r="D16" i="37"/>
  <c r="C10" i="4"/>
  <c r="B4122" i="106" s="1"/>
  <c r="D4122" i="106" s="1"/>
  <c r="B2555" i="106"/>
  <c r="D2555" i="106" s="1"/>
  <c r="B8" i="146"/>
  <c r="F20" i="4"/>
  <c r="F10" i="4"/>
  <c r="B4125" i="106" s="1"/>
  <c r="D4125" i="106" s="1"/>
  <c r="D8" i="146"/>
  <c r="B2595" i="106"/>
  <c r="D2595" i="106" s="1"/>
  <c r="B2600" i="106"/>
  <c r="D2600" i="106" s="1"/>
  <c r="F19" i="4"/>
  <c r="B4139" i="106" s="1"/>
  <c r="D4139" i="106" s="1"/>
  <c r="D9" i="146"/>
  <c r="B1288" i="106"/>
  <c r="D1288" i="106" s="1"/>
  <c r="F9" i="34"/>
  <c r="F14" i="34" s="1"/>
  <c r="B2569" i="106"/>
  <c r="D2569" i="106" s="1"/>
  <c r="D17" i="4"/>
  <c r="D20" i="4" s="1"/>
  <c r="I18" i="11"/>
  <c r="B7625" i="106"/>
  <c r="D7625" i="106" s="1"/>
  <c r="B141" i="106"/>
  <c r="D141" i="106" s="1"/>
  <c r="D46" i="36"/>
  <c r="D10" i="146" l="1"/>
  <c r="B2574" i="106"/>
  <c r="D2574" i="106" s="1"/>
  <c r="D78" i="4"/>
  <c r="F78" i="34"/>
  <c r="B7822" i="106"/>
  <c r="C78" i="4"/>
  <c r="B2562" i="106"/>
  <c r="D2562" i="106" s="1"/>
  <c r="B6215" i="106"/>
  <c r="D6215" i="106" s="1"/>
  <c r="J41" i="3"/>
  <c r="B2601" i="106"/>
  <c r="D2601" i="106" s="1"/>
  <c r="F78" i="4"/>
  <c r="B190" i="106"/>
  <c r="D190" i="106" s="1"/>
  <c r="D48" i="36"/>
  <c r="B3576" i="106"/>
  <c r="D3576" i="106" s="1"/>
  <c r="K78" i="4"/>
  <c r="B3567" i="106"/>
  <c r="D3567" i="106" s="1"/>
  <c r="K41" i="3"/>
  <c r="F8" i="146"/>
  <c r="G10" i="4"/>
  <c r="B4126" i="106" s="1"/>
  <c r="D4126" i="106" s="1"/>
  <c r="G20" i="4"/>
  <c r="B2606" i="106"/>
  <c r="D2606" i="106" s="1"/>
  <c r="B6263" i="106"/>
  <c r="D6263" i="106" s="1"/>
  <c r="J81" i="4"/>
  <c r="D64" i="36" s="1"/>
  <c r="B282" i="106"/>
  <c r="D282" i="106" s="1"/>
  <c r="N23" i="3"/>
  <c r="B2662" i="106"/>
  <c r="D2662" i="106" s="1"/>
  <c r="H78" i="4"/>
  <c r="B212" i="106"/>
  <c r="D212" i="106" s="1"/>
  <c r="H41" i="3"/>
  <c r="B2573" i="106"/>
  <c r="D2573" i="106" s="1"/>
  <c r="D19" i="4"/>
  <c r="B4137" i="106" s="1"/>
  <c r="D4137" i="106" s="1"/>
  <c r="C9" i="146"/>
  <c r="C10" i="146" s="1"/>
  <c r="B123" i="106"/>
  <c r="D123" i="106" s="1"/>
  <c r="D41" i="3"/>
  <c r="B7631" i="106"/>
  <c r="D7631" i="106" s="1"/>
  <c r="F177" i="34"/>
  <c r="B3227" i="106"/>
  <c r="D3227" i="106" s="1"/>
  <c r="I78" i="4"/>
  <c r="B9" i="146"/>
  <c r="H17" i="118"/>
  <c r="C19" i="4"/>
  <c r="B4136" i="106" s="1"/>
  <c r="D4136" i="106" s="1"/>
  <c r="B2561" i="106"/>
  <c r="D2561" i="106" s="1"/>
  <c r="F16" i="37"/>
  <c r="H16" i="37" s="1"/>
  <c r="B2636" i="106"/>
  <c r="D2636" i="106" s="1"/>
  <c r="E78" i="4"/>
  <c r="F9" i="146" l="1"/>
  <c r="F10" i="146" s="1"/>
  <c r="B124" i="106"/>
  <c r="D124" i="106" s="1"/>
  <c r="D45" i="36"/>
  <c r="B3588" i="106"/>
  <c r="D3588" i="106" s="1"/>
  <c r="K81" i="4"/>
  <c r="H25" i="118"/>
  <c r="K24" i="118" s="1"/>
  <c r="O23" i="118" s="1"/>
  <c r="O25" i="118" s="1"/>
  <c r="K17" i="118"/>
  <c r="B2613" i="106"/>
  <c r="D2613" i="106" s="1"/>
  <c r="G78" i="4"/>
  <c r="B3233" i="106"/>
  <c r="D3233" i="106" s="1"/>
  <c r="C81" i="4"/>
  <c r="B3300" i="106"/>
  <c r="D3300" i="106" s="1"/>
  <c r="H81" i="4"/>
  <c r="D57" i="36"/>
  <c r="D76" i="36"/>
  <c r="B92" i="106"/>
  <c r="D92" i="106" s="1"/>
  <c r="C41" i="3"/>
  <c r="B3320" i="106"/>
  <c r="D3320" i="106" s="1"/>
  <c r="I81" i="4"/>
  <c r="B213" i="106"/>
  <c r="D213" i="106" s="1"/>
  <c r="D49" i="36"/>
  <c r="B170" i="106"/>
  <c r="D170" i="106" s="1"/>
  <c r="F41" i="3"/>
  <c r="B284" i="106"/>
  <c r="D284" i="106" s="1"/>
  <c r="D55" i="36"/>
  <c r="B10" i="146"/>
  <c r="B3256" i="106"/>
  <c r="D3256" i="106" s="1"/>
  <c r="F81" i="4"/>
  <c r="D60" i="36" s="1"/>
  <c r="F176" i="34"/>
  <c r="B7835" i="106"/>
  <c r="D7835" i="106" s="1"/>
  <c r="B3278" i="106"/>
  <c r="D3278" i="106" s="1"/>
  <c r="E81" i="4"/>
  <c r="B3568" i="106"/>
  <c r="D3568" i="106" s="1"/>
  <c r="D52" i="36"/>
  <c r="B3239" i="106"/>
  <c r="D3239" i="106" s="1"/>
  <c r="D81" i="4"/>
  <c r="J82" i="4"/>
  <c r="B6266" i="106"/>
  <c r="D6266" i="106" s="1"/>
  <c r="D51" i="36"/>
  <c r="B6216" i="106"/>
  <c r="D6216" i="106" s="1"/>
  <c r="B171" i="106" l="1"/>
  <c r="D171" i="106" s="1"/>
  <c r="D47" i="36"/>
  <c r="B93" i="106"/>
  <c r="D93" i="106" s="1"/>
  <c r="D44" i="36"/>
  <c r="B3262" i="106"/>
  <c r="D3262" i="106" s="1"/>
  <c r="G81" i="4"/>
  <c r="B7878" i="106"/>
  <c r="D7878" i="106" s="1"/>
  <c r="F178" i="34"/>
  <c r="O16" i="118"/>
  <c r="K20" i="118"/>
  <c r="J20" i="118"/>
  <c r="F82" i="4"/>
  <c r="D11" i="146"/>
  <c r="B1672" i="106"/>
  <c r="D1672" i="106" s="1"/>
  <c r="B1700" i="106"/>
  <c r="D1700" i="106" s="1"/>
  <c r="H82" i="4"/>
  <c r="D62" i="36"/>
  <c r="B3591" i="106"/>
  <c r="D3591" i="106" s="1"/>
  <c r="K82" i="4"/>
  <c r="D65" i="36"/>
  <c r="E82" i="4"/>
  <c r="B1658" i="106"/>
  <c r="D1658" i="106" s="1"/>
  <c r="D59" i="36"/>
  <c r="J83" i="4"/>
  <c r="B6283" i="106" s="1"/>
  <c r="D6283" i="106" s="1"/>
  <c r="B6274" i="106"/>
  <c r="D6274" i="106" s="1"/>
  <c r="D82" i="4"/>
  <c r="B1644" i="106"/>
  <c r="D1644" i="106" s="1"/>
  <c r="C11" i="146"/>
  <c r="D58" i="36"/>
  <c r="J16" i="37"/>
  <c r="B4269" i="106" s="1"/>
  <c r="D4269" i="106" s="1"/>
  <c r="I82" i="4"/>
  <c r="B3323" i="106"/>
  <c r="D3323" i="106" s="1"/>
  <c r="E11" i="146"/>
  <c r="D63" i="36"/>
  <c r="C82" i="4"/>
  <c r="B1630" i="106"/>
  <c r="D1630" i="106" s="1"/>
  <c r="B11" i="146"/>
  <c r="H12" i="118"/>
  <c r="K12" i="118" s="1"/>
  <c r="O11" i="118" s="1"/>
  <c r="O13" i="118" s="1"/>
  <c r="O17" i="118" l="1"/>
  <c r="O20" i="118" s="1"/>
  <c r="O35" i="118" s="1"/>
  <c r="O37" i="118" s="1"/>
  <c r="B6272" i="106"/>
  <c r="D6272" i="106" s="1"/>
  <c r="H83" i="4"/>
  <c r="B6281" i="106" s="1"/>
  <c r="D6281" i="106" s="1"/>
  <c r="F180" i="34"/>
  <c r="B7880" i="106" s="1"/>
  <c r="D7880" i="106" s="1"/>
  <c r="B7879" i="106"/>
  <c r="D7879" i="106" s="1"/>
  <c r="C83" i="4"/>
  <c r="B6276" i="106" s="1"/>
  <c r="D6276" i="106" s="1"/>
  <c r="B6267" i="106"/>
  <c r="D6267" i="106" s="1"/>
  <c r="B6269" i="106"/>
  <c r="D6269" i="106" s="1"/>
  <c r="E83" i="4"/>
  <c r="B6278" i="106" s="1"/>
  <c r="D6278" i="106" s="1"/>
  <c r="B6270" i="106"/>
  <c r="D6270" i="106" s="1"/>
  <c r="F83" i="4"/>
  <c r="B6279" i="106" s="1"/>
  <c r="D6279" i="106" s="1"/>
  <c r="D83" i="4"/>
  <c r="B6277" i="106" s="1"/>
  <c r="D6277" i="106" s="1"/>
  <c r="B6268" i="106"/>
  <c r="D6268" i="106" s="1"/>
  <c r="I83" i="4"/>
  <c r="B6282" i="106" s="1"/>
  <c r="D6282" i="106" s="1"/>
  <c r="B6273" i="106"/>
  <c r="D6273" i="106" s="1"/>
  <c r="G82" i="4"/>
  <c r="B1686" i="106"/>
  <c r="D1686" i="106" s="1"/>
  <c r="D61" i="36"/>
  <c r="F11" i="146"/>
  <c r="K83" i="4"/>
  <c r="B6284" i="106" s="1"/>
  <c r="D6284" i="106" s="1"/>
  <c r="B6275" i="106"/>
  <c r="D6275" i="106" s="1"/>
  <c r="G83" i="4" l="1"/>
  <c r="B6280" i="106" s="1"/>
  <c r="D6280" i="106" s="1"/>
  <c r="B6271" i="106"/>
  <c r="D6271" i="106" s="1"/>
  <c r="D29" i="36"/>
  <c r="C12" i="1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<sst xmlns="http://schemas.openxmlformats.org/spreadsheetml/2006/main" count="5285" uniqueCount="2158">
  <si>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</si>
  <si>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</si>
  <si>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</si>
  <si>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</si>
  <si>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</si>
  <si>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</si>
  <si>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</si>
  <si>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</si>
  <si>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</si>
  <si>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</si>
  <si>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</si>
  <si>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</si>
  <si>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</si>
  <si>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</si>
  <si>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</si>
  <si>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</si>
  <si>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</si>
  <si>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</si>
  <si>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</si>
  <si>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</si>
  <si>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</si>
  <si>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</si>
  <si>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</si>
  <si>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</si>
  <si>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</si>
  <si>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</si>
  <si>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</si>
  <si>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</si>
  <si>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</si>
  <si>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</si>
  <si>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</si>
  <si>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</si>
  <si>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</si>
  <si>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</si>
  <si>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</si>
  <si>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</si>
  <si>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</si>
  <si>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</si>
  <si>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</si>
  <si>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</si>
  <si>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</si>
  <si>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</si>
  <si>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</si>
  <si>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</si>
  <si>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</si>
  <si>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</si>
  <si>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</si>
  <si>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</si>
  <si>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</si>
  <si>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</si>
  <si>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</si>
  <si>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</si>
  <si>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</si>
  <si>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</si>
  <si>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</si>
  <si>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</si>
  <si>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</si>
  <si>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</si>
  <si>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</si>
  <si>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</si>
  <si>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</si>
  <si>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</si>
  <si>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</si>
  <si>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</si>
  <si>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</si>
  <si>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</si>
  <si>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</si>
  <si>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</si>
  <si>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</si>
  <si>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</si>
  <si>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</si>
  <si>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</si>
  <si>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</si>
  <si>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</si>
  <si>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</si>
  <si>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</si>
  <si>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</si>
  <si>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</si>
  <si>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</si>
  <si>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</si>
  <si>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</si>
  <si>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</si>
  <si>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</si>
  <si>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</si>
  <si>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</si>
  <si>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</si>
  <si>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</si>
  <si>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</si>
  <si>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</si>
  <si>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</si>
  <si>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</si>
  <si>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</si>
  <si>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</si>
  <si>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</si>
  <si>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</si>
  <si>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</si>
  <si>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</si>
  <si>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</si>
  <si>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</si>
  <si>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</si>
  <si>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</si>
  <si>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</si>
  <si>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</si>
  <si>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</si>
  <si>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</si>
  <si>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</si>
  <si>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</si>
  <si>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</si>
  <si>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</si>
  <si>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</si>
  <si>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</si>
  <si>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</si>
  <si>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</si>
  <si>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</si>
  <si>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</si>
  <si>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</si>
  <si>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</si>
  <si>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</si>
  <si>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</si>
  <si>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</si>
  <si>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</si>
  <si>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</si>
  <si>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</si>
  <si>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</si>
  <si>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</si>
  <si>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</si>
  <si>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</si>
  <si>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</si>
  <si>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</si>
  <si>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</si>
  <si>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</si>
  <si>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</si>
  <si>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</si>
  <si>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</si>
  <si>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</si>
  <si>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</si>
  <si>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</si>
  <si>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</si>
  <si>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</si>
  <si>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</si>
  <si>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</si>
  <si>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</si>
  <si>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</si>
  <si>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</si>
  <si>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</si>
  <si>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</si>
  <si>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</si>
  <si>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</si>
  <si>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</si>
  <si>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</si>
  <si>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</si>
  <si>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</si>
  <si>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</si>
  <si>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</si>
  <si>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</si>
  <si>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</si>
  <si>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</si>
  <si>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</si>
  <si>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</si>
  <si>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</si>
  <si>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</si>
  <si>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</si>
  <si>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</si>
  <si>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</si>
  <si>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</si>
  <si>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</si>
  <si>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</si>
  <si>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</si>
  <si>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</si>
  <si>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</si>
  <si>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</si>
  <si>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</si>
  <si>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</si>
  <si>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</si>
  <si>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</si>
  <si>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</si>
  <si>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</si>
  <si>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</si>
  <si>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</si>
  <si>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</si>
  <si>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</si>
  <si>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</si>
  <si>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</si>
  <si>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</si>
  <si>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</si>
  <si>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</si>
  <si>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</si>
  <si>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</si>
  <si>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</si>
  <si>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</si>
  <si>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</si>
  <si>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</si>
  <si>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</si>
  <si>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</si>
  <si>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</si>
  <si>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</si>
  <si>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</si>
  <si>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</si>
  <si>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</si>
  <si>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</si>
  <si>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</si>
  <si>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</si>
  <si>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</si>
  <si>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</si>
  <si>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</si>
  <si>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</si>
  <si>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</si>
  <si>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</si>
  <si>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</si>
  <si>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</si>
  <si>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</si>
  <si>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</si>
  <si>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</si>
  <si>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</si>
  <si>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</si>
  <si>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</si>
  <si>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</si>
  <si>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</si>
  <si>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</si>
  <si>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</si>
  <si>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</si>
  <si>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</si>
  <si>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</si>
  <si>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</si>
  <si>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</si>
  <si>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</si>
  <si>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</si>
  <si>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</si>
  <si>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</si>
  <si>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</si>
  <si>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</si>
  <si>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</si>
  <si>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</si>
  <si>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</si>
  <si>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</si>
  <si>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</si>
  <si>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</si>
  <si>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</si>
  <si>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</si>
  <si>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</si>
  <si>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</si>
  <si>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</si>
  <si>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</si>
  <si>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</si>
  <si>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</si>
  <si>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</si>
  <si>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</si>
  <si>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</si>
  <si>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</si>
  <si>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</si>
  <si>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</si>
  <si>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</si>
  <si>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</si>
  <si>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</si>
  <si>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</si>
  <si>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</si>
  <si>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</si>
  <si>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</si>
  <si>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</si>
  <si>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</si>
  <si>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</si>
  <si>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</si>
  <si>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</si>
  <si>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</si>
  <si>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</si>
  <si>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</si>
  <si>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</si>
  <si>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</si>
  <si>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</si>
  <si>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</si>
  <si>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</si>
  <si>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</si>
  <si>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</si>
  <si>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</si>
  <si>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</si>
  <si>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</si>
  <si>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</si>
  <si>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</si>
  <si>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</si>
  <si>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</si>
  <si>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</si>
  <si>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</si>
  <si>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</si>
  <si>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</si>
  <si>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</si>
  <si>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</si>
  <si>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</si>
  <si>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</si>
  <si>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</si>
  <si>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</si>
  <si>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</si>
  <si>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</si>
  <si>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</si>
  <si>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</si>
  <si>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</si>
  <si>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</si>
  <si>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</si>
  <si>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</si>
  <si>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</si>
  <si>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</si>
  <si>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</si>
  <si>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</si>
  <si>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</si>
  <si>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</si>
  <si>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</si>
  <si>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</si>
  <si>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</si>
  <si>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</si>
  <si>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</si>
  <si>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</si>
  <si>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</si>
  <si>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</si>
  <si>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</si>
  <si>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</si>
  <si>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</si>
  <si>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</si>
  <si>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</si>
  <si>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</si>
  <si>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</si>
  <si>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</si>
  <si>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</si>
  <si>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</si>
  <si>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</si>
  <si>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</si>
  <si>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</si>
  <si>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</si>
  <si>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</si>
  <si>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</si>
  <si>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</si>
  <si>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</si>
  <si>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</si>
  <si>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</si>
  <si>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</si>
  <si>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</si>
  <si>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</si>
  <si>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</si>
  <si>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</si>
  <si>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</si>
  <si>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</si>
  <si>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</si>
  <si>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</si>
  <si>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</si>
  <si>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</si>
  <si>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</si>
  <si>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</si>
  <si>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</si>
  <si>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</si>
  <si>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</si>
  <si>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</si>
  <si>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</si>
  <si>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</si>
  <si>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</si>
  <si>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</si>
  <si>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</si>
  <si>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</si>
  <si>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</si>
  <si>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</si>
  <si>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</si>
  <si>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</si>
  <si>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</si>
  <si>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</si>
  <si>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</si>
  <si>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</si>
  <si>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</si>
  <si>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</si>
  <si>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</si>
  <si>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</si>
  <si>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</si>
  <si>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</si>
  <si>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</si>
  <si>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</si>
  <si>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</si>
  <si>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</si>
  <si>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</si>
  <si>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</si>
  <si>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</si>
  <si>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</si>
  <si>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</si>
  <si>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</si>
  <si>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</si>
  <si>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</si>
  <si>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</si>
  <si>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</si>
  <si>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</si>
  <si>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</si>
  <si>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</si>
  <si>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</si>
  <si>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</si>
  <si>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</si>
  <si>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</si>
  <si>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</si>
  <si>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</si>
  <si>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</si>
  <si>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</si>
  <si>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</si>
  <si>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</si>
  <si>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</si>
  <si>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</si>
  <si>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</si>
  <si>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</si>
  <si>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</si>
  <si>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</si>
  <si>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</si>
  <si>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</si>
  <si>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</si>
  <si>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</si>
  <si>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</si>
  <si>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</si>
  <si>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</si>
  <si>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</si>
  <si>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</si>
  <si>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</si>
  <si>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</si>
  <si>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</si>
  <si>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</si>
  <si>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</si>
  <si>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</si>
  <si>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</si>
  <si>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</si>
  <si>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</si>
  <si>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</si>
  <si>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</si>
  <si>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</si>
  <si>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</si>
  <si>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</si>
  <si>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</si>
  <si>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</si>
  <si>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</si>
  <si>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</si>
  <si>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</si>
  <si>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</si>
  <si>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</si>
  <si>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</si>
  <si>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</si>
  <si>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</si>
  <si>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</si>
  <si>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</si>
  <si>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</si>
  <si>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</si>
  <si>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</si>
  <si>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</si>
  <si>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</si>
  <si>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</si>
  <si>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</si>
  <si>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</si>
  <si>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</si>
  <si>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</si>
  <si>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</si>
  <si>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</si>
  <si>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</si>
  <si>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</si>
  <si>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</si>
  <si>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</si>
  <si>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</si>
  <si>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</si>
  <si>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</si>
  <si>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</si>
  <si>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</si>
  <si>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</si>
  <si>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</si>
  <si>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</si>
  <si>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</si>
  <si>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</si>
  <si>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</si>
  <si>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</si>
  <si>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</si>
  <si>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</si>
  <si>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</si>
  <si>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</si>
  <si>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</si>
  <si>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</si>
  <si>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</si>
  <si>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</si>
  <si>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</si>
  <si>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</si>
  <si>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</si>
  <si>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</si>
  <si>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</si>
  <si>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</si>
  <si>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</si>
  <si>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</si>
  <si>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</si>
  <si>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</si>
  <si>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</si>
  <si>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</si>
  <si>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</si>
  <si>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</si>
  <si>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</si>
  <si>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</si>
  <si>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</si>
  <si>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</si>
  <si>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</si>
  <si>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</si>
  <si>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</si>
  <si>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</si>
  <si>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</si>
  <si>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</si>
  <si>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</si>
  <si>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</si>
  <si>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</si>
  <si>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</si>
  <si>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</si>
  <si>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</si>
  <si>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</si>
  <si>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</si>
  <si>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</si>
  <si>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</si>
  <si>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</si>
  <si>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</si>
  <si>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</si>
  <si>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</si>
  <si>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</si>
  <si>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</si>
  <si>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</si>
  <si>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</si>
  <si>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</si>
  <si>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</si>
  <si>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</si>
  <si>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</si>
  <si>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</si>
  <si>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</si>
  <si>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</si>
  <si>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</si>
  <si>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</si>
  <si>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</si>
  <si>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</si>
  <si>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</si>
  <si>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</si>
  <si>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</si>
  <si>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</si>
  <si>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</si>
  <si>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</si>
  <si>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</si>
  <si>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</si>
  <si>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</si>
  <si>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</si>
  <si>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</si>
  <si>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</si>
  <si>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</si>
  <si>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</si>
  <si>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</si>
  <si>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</si>
  <si>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</si>
  <si>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</si>
  <si>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</si>
  <si>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</si>
  <si>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</si>
  <si>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</si>
  <si>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</si>
  <si>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</si>
  <si>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</si>
  <si>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</si>
  <si>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</si>
  <si>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</si>
  <si>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</si>
  <si>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</si>
  <si>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</si>
  <si>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</si>
  <si>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</si>
  <si>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</si>
  <si>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</si>
  <si>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</si>
  <si>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</si>
  <si>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</si>
  <si>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</si>
  <si>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</si>
  <si>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</si>
  <si>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</si>
  <si>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</si>
  <si>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</si>
  <si>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</si>
  <si>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</si>
  <si>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</si>
  <si>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</si>
  <si>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</si>
  <si>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</si>
  <si>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</si>
  <si>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</si>
  <si>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</si>
  <si>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</si>
  <si>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</si>
  <si>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</si>
  <si>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</si>
  <si>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</si>
  <si>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</si>
  <si>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</si>
  <si>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</si>
  <si>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</si>
  <si>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</si>
  <si>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</si>
  <si>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</si>
  <si>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</si>
  <si>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</si>
  <si>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</si>
  <si>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</si>
  <si>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</si>
  <si>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</si>
  <si>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</si>
  <si>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</si>
  <si>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</si>
  <si>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</si>
  <si>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</si>
  <si>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</si>
  <si>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</si>
  <si>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</si>
  <si>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</si>
  <si>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</si>
  <si>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</si>
  <si>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</si>
  <si>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</si>
  <si>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</si>
  <si>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</si>
  <si>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</si>
  <si>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</si>
  <si>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</si>
  <si>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</si>
  <si>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</si>
  <si>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</si>
  <si>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</si>
  <si>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</si>
  <si>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</si>
  <si>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</si>
  <si>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</si>
  <si>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</si>
  <si>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</si>
  <si>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</si>
  <si>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</si>
  <si>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</si>
  <si>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</si>
  <si>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</si>
  <si>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</si>
  <si>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</si>
  <si>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</si>
  <si>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</si>
  <si>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</si>
  <si>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</si>
  <si>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</si>
  <si>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</si>
  <si>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</si>
  <si>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</si>
  <si>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</si>
  <si>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</si>
  <si>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</si>
  <si>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</si>
  <si>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</si>
  <si>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</si>
  <si>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</si>
  <si>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</si>
  <si>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</si>
  <si>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</si>
  <si>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</si>
  <si>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</si>
  <si>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</si>
  <si>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</si>
  <si>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</si>
  <si>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</si>
  <si>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</si>
  <si>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</si>
  <si>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</si>
  <si>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</si>
  <si>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</si>
  <si>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</si>
  <si>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</si>
  <si>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</si>
  <si>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</si>
  <si>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</si>
  <si>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</si>
  <si>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</si>
  <si>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</si>
  <si>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</si>
  <si>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</si>
  <si>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</si>
  <si>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</si>
  <si>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</si>
  <si>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</si>
  <si>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</si>
  <si>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</si>
  <si>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</si>
  <si>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</si>
  <si>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</si>
  <si>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</si>
  <si>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</si>
  <si>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</si>
  <si>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</si>
  <si>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</si>
  <si>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</si>
  <si>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</si>
  <si>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</si>
  <si>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</si>
  <si>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</si>
  <si>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</si>
  <si>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</si>
  <si>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</si>
  <si>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</si>
  <si>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</si>
  <si>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</si>
  <si>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</si>
  <si>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</si>
  <si>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</si>
  <si>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</si>
  <si>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</si>
  <si>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</si>
  <si>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</si>
  <si>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</si>
  <si>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</si>
  <si>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</si>
  <si>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</si>
  <si>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</si>
  <si>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</si>
  <si>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</si>
  <si>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</si>
  <si>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</si>
  <si>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</si>
  <si>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</si>
  <si>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</si>
  <si>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</si>
  <si>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</si>
  <si>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</si>
  <si>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</si>
  <si>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</si>
  <si>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</si>
  <si>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</si>
  <si>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</si>
  <si>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</si>
  <si>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</si>
  <si>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</si>
  <si>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</si>
  <si>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</si>
  <si>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</si>
  <si>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</si>
  <si>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</si>
  <si>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</si>
  <si>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</si>
  <si>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</si>
  <si>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</si>
  <si>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</si>
  <si>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</si>
  <si>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</si>
  <si>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</si>
  <si>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</si>
  <si>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</si>
  <si>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</si>
  <si>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</si>
  <si>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</si>
  <si>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</si>
  <si>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</si>
  <si>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</si>
  <si>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</si>
  <si>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</si>
  <si>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</si>
  <si>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</si>
  <si>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</si>
  <si>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</si>
  <si>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</si>
  <si>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</si>
  <si>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</si>
  <si>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</si>
  <si>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</si>
  <si>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</si>
  <si>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</si>
  <si>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</si>
  <si>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</si>
  <si>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</si>
  <si>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</si>
  <si>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</si>
  <si>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</si>
  <si>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</si>
  <si>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</si>
  <si>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</si>
  <si>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</si>
  <si>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</si>
  <si>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</si>
  <si>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</si>
  <si>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</si>
  <si>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</si>
  <si>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</si>
  <si>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</si>
  <si>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</si>
  <si>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</si>
  <si>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</si>
  <si>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</si>
  <si>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</si>
  <si>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</si>
  <si>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</si>
  <si>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</si>
  <si>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</si>
  <si>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</si>
  <si>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</si>
  <si>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</si>
  <si>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</si>
  <si>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</si>
  <si>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</si>
  <si>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</si>
  <si>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</si>
  <si>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</si>
  <si>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</si>
  <si>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</si>
  <si>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</si>
  <si>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</si>
  <si>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</si>
  <si>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</si>
  <si>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</si>
  <si>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</si>
  <si>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</si>
  <si>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</si>
  <si>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</si>
  <si>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</si>
  <si>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</si>
  <si>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</si>
  <si>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</si>
  <si>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</si>
  <si>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</si>
  <si>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</si>
  <si>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</si>
  <si>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</si>
  <si>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</si>
  <si>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</si>
  <si>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</si>
  <si>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</si>
  <si>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</si>
  <si>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</si>
  <si>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</si>
  <si>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</si>
  <si>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</si>
  <si>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</si>
  <si>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</si>
  <si>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</si>
  <si>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</si>
  <si>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</si>
  <si>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</si>
  <si>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</si>
  <si>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</si>
  <si>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</si>
  <si>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</si>
  <si>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</si>
  <si>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</si>
  <si>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</si>
  <si>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</si>
  <si>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</si>
  <si>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</si>
  <si>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</si>
  <si>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</si>
  <si>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</si>
  <si>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</si>
  <si>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</si>
  <si>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</si>
  <si>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</si>
  <si>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</si>
  <si>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</si>
  <si>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</si>
  <si>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</si>
  <si>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</si>
  <si>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</si>
  <si>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</si>
  <si>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</si>
  <si>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</si>
  <si>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</si>
  <si>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</si>
  <si>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</si>
  <si>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</si>
  <si>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</si>
  <si>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</si>
  <si>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</si>
  <si>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</si>
  <si>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</si>
  <si>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</si>
  <si>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</si>
  <si>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</si>
  <si>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</si>
  <si>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</si>
  <si>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</si>
  <si>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</si>
  <si>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</si>
  <si>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</si>
  <si>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</si>
  <si>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</si>
  <si>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</si>
  <si>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</si>
  <si>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</si>
  <si>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</si>
  <si>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</si>
  <si>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</si>
  <si>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</si>
  <si>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</si>
  <si>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</si>
  <si>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</si>
  <si>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</si>
  <si>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</si>
  <si>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</si>
  <si>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</si>
  <si>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</si>
  <si>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</si>
  <si>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</si>
  <si>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</si>
  <si>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</si>
  <si>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</si>
  <si>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</si>
  <si>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</si>
  <si>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</si>
  <si>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</si>
  <si>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</si>
  <si>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</si>
  <si>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</si>
  <si>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</si>
  <si>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</si>
  <si>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</si>
  <si>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</si>
  <si>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</si>
  <si>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</si>
  <si>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</si>
  <si>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</si>
  <si>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</si>
  <si>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</si>
  <si>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</si>
  <si>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</si>
  <si>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</si>
  <si>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</si>
  <si>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</si>
  <si>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</si>
  <si>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</si>
  <si>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</si>
  <si>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</si>
  <si>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</si>
  <si>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</si>
  <si>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</si>
  <si>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</si>
  <si>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</si>
  <si>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</si>
  <si>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</si>
  <si>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</si>
  <si>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</si>
  <si>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</si>
  <si>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</si>
  <si>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</si>
  <si>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</si>
  <si>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</si>
  <si>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</si>
  <si>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</si>
  <si>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</si>
  <si>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</si>
  <si>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</si>
  <si>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</si>
  <si>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</si>
  <si>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</si>
  <si>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</si>
  <si>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</si>
  <si>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</si>
  <si>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</si>
  <si>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</si>
  <si>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</si>
  <si>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</si>
  <si>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</si>
  <si>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</si>
  <si>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</si>
  <si>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</si>
  <si>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</si>
  <si>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</si>
  <si>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</si>
  <si>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</si>
  <si>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</si>
  <si>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</si>
  <si>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</si>
  <si>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</si>
  <si>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</si>
  <si>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</si>
  <si>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</si>
  <si>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</si>
  <si>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</si>
  <si>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</si>
  <si>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</si>
  <si>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</si>
  <si>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</si>
  <si>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</si>
  <si>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</si>
  <si>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</si>
  <si>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</si>
  <si>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</si>
  <si>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</si>
  <si>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</si>
  <si>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</si>
  <si>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</si>
  <si>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</si>
  <si>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</si>
  <si>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</si>
  <si>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</si>
  <si>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</si>
  <si>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</si>
  <si>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</si>
  <si>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</si>
  <si>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</si>
  <si>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</si>
  <si>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</si>
  <si>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</si>
  <si>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</si>
  <si>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</si>
  <si>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</si>
  <si>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</si>
  <si>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</si>
  <si>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</si>
  <si>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</si>
  <si>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</si>
  <si>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</si>
  <si>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</si>
  <si>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</si>
  <si>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</si>
  <si>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</si>
  <si>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</si>
  <si>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</si>
  <si>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</si>
  <si>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</si>
  <si>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</si>
  <si>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</si>
  <si>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</si>
  <si>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</si>
  <si>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</si>
  <si>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</si>
  <si>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</si>
  <si>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</si>
  <si>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</si>
  <si>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</si>
  <si>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</si>
  <si>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</si>
  <si>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</si>
  <si>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</si>
  <si>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</si>
  <si>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</si>
  <si>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</si>
  <si>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</si>
  <si>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</si>
  <si>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</si>
  <si>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</si>
  <si>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</si>
  <si>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</si>
  <si>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</si>
  <si>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</si>
  <si>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</si>
  <si>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</si>
  <si>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</si>
  <si>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</si>
  <si>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</si>
  <si>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</si>
  <si>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</si>
  <si>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</si>
  <si>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</si>
  <si>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</si>
  <si>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</si>
  <si>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</si>
  <si>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</si>
  <si>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</si>
  <si>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</si>
  <si>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</si>
  <si>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</si>
  <si>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</si>
  <si>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</si>
  <si>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</si>
  <si>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</si>
  <si>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</si>
  <si>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</si>
  <si>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</si>
  <si>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</si>
  <si>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</si>
  <si>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</si>
  <si>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</si>
  <si>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</si>
  <si>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</si>
  <si>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</si>
  <si>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</si>
  <si>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</si>
  <si>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</si>
  <si>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</si>
  <si>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</si>
  <si>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</si>
  <si>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</si>
  <si>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</si>
  <si>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</si>
  <si>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</si>
  <si>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</si>
  <si>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</si>
  <si>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</si>
  <si>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</si>
  <si>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</si>
  <si>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</si>
  <si>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</si>
  <si>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</si>
  <si>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</si>
  <si>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</si>
  <si>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</si>
  <si>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</si>
  <si>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</si>
  <si>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</si>
  <si>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</si>
  <si>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</si>
  <si>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</si>
  <si>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</si>
  <si>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</si>
  <si>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</si>
  <si>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</si>
  <si>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</si>
  <si>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</si>
  <si>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</si>
  <si>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</si>
  <si>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</si>
  <si>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</si>
  <si>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</si>
  <si>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</si>
  <si>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</si>
  <si>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</si>
  <si>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</si>
  <si>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</si>
  <si>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</si>
  <si>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</si>
  <si>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</si>
  <si>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</si>
  <si>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</si>
  <si>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</si>
  <si>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</si>
  <si>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</si>
  <si>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</si>
  <si>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</si>
  <si>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</si>
  <si>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</si>
  <si>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</si>
  <si>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</si>
  <si>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</si>
  <si>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</si>
  <si>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</si>
  <si>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</si>
  <si>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</si>
  <si>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</si>
  <si>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</si>
  <si>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</si>
  <si>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</si>
  <si>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</si>
  <si>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</si>
  <si>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</si>
  <si>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</si>
  <si>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</si>
  <si>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</si>
  <si>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</si>
  <si>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</si>
  <si>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</si>
  <si>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</si>
  <si>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</si>
  <si>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</si>
  <si>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</si>
  <si>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</si>
  <si>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</si>
  <si>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</si>
  <si>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</si>
  <si>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</si>
  <si>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</si>
  <si>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</si>
  <si>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</si>
  <si>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</si>
  <si>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</si>
  <si>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</si>
  <si>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</si>
  <si>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</si>
  <si>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</si>
  <si>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</si>
  <si>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</si>
  <si>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</si>
  <si>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</si>
  <si>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</si>
  <si>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</si>
  <si>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</si>
  <si>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</si>
  <si>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</si>
  <si>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</si>
  <si>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</si>
  <si>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</si>
  <si>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</si>
  <si>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</si>
  <si>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</si>
  <si>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</si>
  <si>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</si>
  <si>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</si>
  <si>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</si>
  <si>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</si>
  <si>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</si>
  <si>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</si>
  <si>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</si>
  <si>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</si>
  <si>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</si>
  <si>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</si>
  <si>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</si>
  <si>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</si>
  <si>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</si>
  <si>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</si>
  <si>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</si>
  <si>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</si>
  <si>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</si>
  <si>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</si>
  <si>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</si>
  <si>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</si>
  <si>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</si>
  <si>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</si>
  <si>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</si>
  <si>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</si>
  <si>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</si>
  <si>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</si>
  <si>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</si>
  <si>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</si>
  <si>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</si>
  <si>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</si>
  <si>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</si>
  <si>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</si>
  <si>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</si>
  <si>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</si>
  <si>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</si>
  <si>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</si>
  <si>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</si>
  <si>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</si>
  <si>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</si>
  <si>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</si>
  <si>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</si>
  <si>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</si>
  <si>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</si>
  <si>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</si>
  <si>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</si>
  <si>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</si>
  <si>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</si>
  <si>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</si>
  <si>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</si>
  <si>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</si>
  <si>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</si>
  <si>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</si>
  <si>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</si>
  <si>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</si>
  <si>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</si>
  <si>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</si>
  <si>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</si>
  <si>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</si>
  <si>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</si>
  <si>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</si>
  <si>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</si>
  <si>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</si>
  <si>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</si>
  <si>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</si>
  <si>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</si>
  <si>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</si>
  <si>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</si>
  <si>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</si>
  <si>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</si>
  <si>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</si>
  <si>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</si>
  <si>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</si>
  <si>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</si>
  <si>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</si>
  <si>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</si>
  <si>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</si>
  <si>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</si>
  <si>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</si>
  <si>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</si>
  <si>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</si>
  <si>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</si>
  <si>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</si>
  <si>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</si>
  <si>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</si>
  <si>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</si>
  <si>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</si>
  <si>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</si>
  <si>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</si>
  <si>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</si>
  <si>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</si>
  <si>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</si>
  <si>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</si>
  <si>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</si>
  <si>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</si>
  <si>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</si>
  <si>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</si>
  <si>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</si>
  <si>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</si>
  <si>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</si>
  <si>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</si>
  <si>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</si>
  <si>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</si>
  <si>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</si>
  <si>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</si>
  <si>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</si>
  <si>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</si>
  <si>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</si>
  <si>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</si>
  <si>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</si>
  <si>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</si>
  <si>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</si>
  <si>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</si>
  <si>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</si>
  <si>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</si>
  <si>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</si>
  <si>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</si>
  <si>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</si>
  <si>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</si>
  <si>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</si>
  <si>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</si>
  <si>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</si>
  <si>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</si>
  <si>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</si>
  <si>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</si>
  <si>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</si>
  <si>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</si>
  <si>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</si>
  <si>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</si>
  <si>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</si>
  <si>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</si>
  <si>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</si>
  <si>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</si>
  <si>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</si>
  <si>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</si>
  <si>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</si>
  <si>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</si>
  <si>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</si>
  <si>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</si>
  <si>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</si>
  <si>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</si>
  <si>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</si>
  <si>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</si>
  <si>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</si>
  <si>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</si>
  <si>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</si>
  <si>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</si>
  <si>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</si>
  <si>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</si>
  <si>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</si>
  <si>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</si>
  <si>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</si>
  <si>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</si>
  <si>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</si>
  <si>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</si>
  <si>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</si>
  <si>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</si>
  <si>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</si>
  <si>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</si>
  <si>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</si>
  <si>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</si>
  <si>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</si>
  <si>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</si>
  <si>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</si>
  <si>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</si>
  <si>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</si>
  <si>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</si>
  <si>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</si>
  <si>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</si>
  <si>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</si>
  <si>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</si>
  <si>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</si>
  <si>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</si>
  <si>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</si>
  <si>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</si>
  <si>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</si>
  <si>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</si>
  <si>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</si>
  <si>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</si>
  <si>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</si>
  <si>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</si>
  <si>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</si>
  <si>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</si>
  <si>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</si>
  <si>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</si>
  <si>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</si>
  <si>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</si>
  <si>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</si>
  <si>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</si>
  <si>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</si>
  <si>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</si>
  <si>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</si>
  <si>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</si>
  <si>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</si>
  <si>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</si>
  <si>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</si>
  <si>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</si>
  <si>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</si>
  <si>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</si>
  <si>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</si>
  <si>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</si>
  <si>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</si>
  <si>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</si>
  <si>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</si>
  <si>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</si>
  <si>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</si>
  <si>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</si>
  <si>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</si>
  <si>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</si>
  <si>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</si>
  <si>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</si>
  <si>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</si>
  <si>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</si>
  <si>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</si>
  <si>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</si>
  <si>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</si>
  <si>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</si>
  <si>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</si>
  <si>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</si>
  <si>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</si>
  <si>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</si>
  <si>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</si>
  <si>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</si>
  <si>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</si>
  <si>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</si>
  <si>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</si>
  <si>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</si>
  <si>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</si>
  <si>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</si>
  <si>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</si>
  <si>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</si>
  <si>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</si>
  <si>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</si>
  <si>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</si>
  <si>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</si>
  <si>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</si>
  <si>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</si>
  <si>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</si>
  <si>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</si>
  <si>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</si>
  <si>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</si>
  <si>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</si>
  <si>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</si>
  <si>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</si>
  <si>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</si>
  <si>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</si>
  <si>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</si>
  <si>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</si>
  <si>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</si>
  <si>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</si>
  <si>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</si>
  <si>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</si>
  <si>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</si>
  <si>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</si>
  <si>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</si>
  <si>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</si>
  <si>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</si>
  <si>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</si>
  <si>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</si>
  <si>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</si>
  <si>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</si>
  <si>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</si>
  <si>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</si>
  <si>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</si>
  <si>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</si>
  <si>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</si>
  <si>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</si>
  <si>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</si>
  <si>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</si>
  <si>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</si>
  <si>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</si>
  <si>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</si>
  <si>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</si>
  <si>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</si>
  <si>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</si>
  <si>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</si>
  <si>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</si>
  <si>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</si>
  <si>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</si>
  <si>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</si>
  <si>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</si>
  <si>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</si>
  <si>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</si>
  <si>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</si>
  <si>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</si>
  <si>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</si>
  <si>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</si>
  <si>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</si>
  <si>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</si>
  <si>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</si>
  <si>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</si>
  <si>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</si>
  <si>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</si>
  <si>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</si>
  <si>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</si>
  <si>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</si>
  <si>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</si>
  <si>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</si>
  <si>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</si>
  <si>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</si>
  <si>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</si>
  <si>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</si>
  <si>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</si>
  <si>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</si>
  <si>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</si>
  <si>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</si>
  <si>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</si>
  <si>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</si>
  <si>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</si>
  <si>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</si>
  <si>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</si>
  <si>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</si>
  <si>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</si>
  <si>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</si>
  <si>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</si>
  <si>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</si>
  <si>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</si>
  <si>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</si>
  <si>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</si>
  <si>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</si>
  <si>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</si>
  <si>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</si>
  <si>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</si>
  <si>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</si>
  <si>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</si>
  <si>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</si>
  <si>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</si>
  <si>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</si>
  <si>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</si>
  <si>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</si>
  <si>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</si>
  <si>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</si>
  <si>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</si>
  <si>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</si>
  <si>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</si>
  <si>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</si>
  <si>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</si>
  <si>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</si>
  <si>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</si>
  <si>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</si>
  <si>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</si>
  <si>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</si>
  <si>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</si>
  <si>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</si>
  <si>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</si>
  <si>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</si>
  <si>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</si>
  <si>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</si>
  <si>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</si>
  <si>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</si>
  <si>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</si>
  <si>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</si>
  <si>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</si>
  <si>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</si>
  <si>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</si>
  <si>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</si>
  <si>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</si>
  <si>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</si>
  <si>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</si>
  <si>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</si>
  <si>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</si>
  <si>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</si>
  <si>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</si>
  <si>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</si>
  <si>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</si>
  <si>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</si>
  <si>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</si>
  <si>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</si>
  <si>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</si>
  <si>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</si>
  <si>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</si>
  <si>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</si>
  <si>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</si>
  <si>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</si>
  <si>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</si>
  <si>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</si>
  <si>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</si>
  <si>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</si>
  <si>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</si>
  <si>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</si>
  <si>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</si>
  <si>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</si>
  <si>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</si>
  <si>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</si>
  <si>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</si>
  <si>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</si>
  <si>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</si>
  <si>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</si>
  <si>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</si>
  <si>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</si>
  <si>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</si>
  <si>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</si>
  <si>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</si>
  <si>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</si>
  <si>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</si>
  <si>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</si>
  <si>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</si>
  <si>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</si>
  <si>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</si>
  <si>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</si>
  <si>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</si>
  <si>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</si>
  <si>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</si>
  <si>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</si>
  <si>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</si>
  <si>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</si>
  <si>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</si>
  <si>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</si>
  <si>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</si>
  <si>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</si>
  <si>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</si>
  <si>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</si>
  <si>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</si>
  <si>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</si>
  <si>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</si>
  <si>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</si>
  <si>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</si>
  <si>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</si>
  <si>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</si>
  <si>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</si>
  <si>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</si>
  <si>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</si>
  <si>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</si>
  <si>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</si>
  <si>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</si>
  <si>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</si>
  <si>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</si>
  <si>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</si>
  <si>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</si>
  <si>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</si>
  <si>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</si>
  <si>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</si>
  <si>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</si>
  <si>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</si>
  <si>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</si>
  <si>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</si>
  <si>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</si>
  <si>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</si>
  <si>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</si>
  <si>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</si>
  <si>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</si>
  <si>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</si>
  <si>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</si>
  <si>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</si>
  <si>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</si>
  <si>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</si>
  <si>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</si>
  <si>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</si>
  <si>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</si>
  <si>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</si>
  <si>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</si>
  <si>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</si>
  <si>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</si>
  <si>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</si>
  <si>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</si>
  <si>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</si>
  <si>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</si>
  <si>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</si>
  <si>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</si>
  <si>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</si>
  <si>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</si>
  <si>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</si>
  <si>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</si>
  <si>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</si>
  <si>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</si>
  <si>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</si>
  <si>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</si>
  <si>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</si>
  <si>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</si>
  <si>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</si>
  <si>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</si>
  <si>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</si>
  <si>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</si>
  <si>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</si>
  <si>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</si>
  <si>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</si>
  <si>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</si>
  <si>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</si>
  <si>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</si>
  <si>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</si>
  <si>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</si>
  <si>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</si>
  <si>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</si>
  <si>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</si>
  <si>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</si>
  <si>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</si>
  <si>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</si>
  <si>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</si>
  <si>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</si>
  <si>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</si>
  <si>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</si>
  <si>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</si>
  <si>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</si>
  <si>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</si>
  <si>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</si>
  <si>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</si>
  <si>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</si>
  <si>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</si>
  <si>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</si>
  <si>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</si>
  <si>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</si>
  <si>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</si>
  <si>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</si>
  <si>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</si>
  <si>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</si>
  <si>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</si>
  <si>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</si>
  <si>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</si>
  <si>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</si>
  <si>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</si>
  <si>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</si>
  <si>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</si>
  <si>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</si>
  <si>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</si>
  <si>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</si>
  <si>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</si>
  <si>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</si>
  <si>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</si>
  <si>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</si>
  <si>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</si>
  <si>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</si>
  <si>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</si>
  <si>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</si>
  <si>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</si>
  <si>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</si>
  <si>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</si>
  <si>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</si>
  <si>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</si>
  <si>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</si>
  <si>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</si>
  <si>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</si>
  <si>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</si>
  <si>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</si>
  <si>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</si>
  <si>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</si>
  <si>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</si>
  <si>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</si>
  <si>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</si>
  <si>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</si>
  <si>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</si>
  <si>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</si>
  <si>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</si>
  <si>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</si>
  <si>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</si>
  <si>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</si>
  <si>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</si>
  <si>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</si>
  <si>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</si>
  <si>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</si>
  <si>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</si>
  <si>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</si>
  <si>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</si>
  <si>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</si>
  <si>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</si>
  <si>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</si>
  <si>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</si>
  <si>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</si>
  <si>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</si>
  <si>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</si>
  <si>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</si>
  <si>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</si>
  <si>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</si>
  <si>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</si>
  <si>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</si>
  <si>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</si>
  <si>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</si>
  <si>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</si>
  <si>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</si>
  <si>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</si>
  <si>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</si>
  <si>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</si>
  <si>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</si>
  <si>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</si>
  <si>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</si>
  <si>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</si>
  <si>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</si>
  <si>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</si>
  <si>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</si>
  <si>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</si>
  <si>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</si>
  <si>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</si>
  <si>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</si>
  <si>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</si>
  <si>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</si>
  <si>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</si>
  <si>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</si>
  <si>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</si>
  <si>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</si>
  <si>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</si>
  <si>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</si>
  <si>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</si>
  <si>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</si>
  <si>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</si>
  <si>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</si>
  <si>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</si>
  <si>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</si>
  <si>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</si>
  <si>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</si>
  <si>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</si>
  <si>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</si>
  <si>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</si>
  <si>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</si>
  <si>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</si>
  <si>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</si>
  <si>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</si>
  <si>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</si>
  <si>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</si>
  <si>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</si>
  <si>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</si>
  <si>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</si>
  <si>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</si>
  <si>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</si>
  <si>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</si>
  <si>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</si>
  <si>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</si>
  <si>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</si>
  <si>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</si>
  <si>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</si>
  <si>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</si>
  <si>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</si>
  <si>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</si>
  <si>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</si>
  <si>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</si>
  <si>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</si>
  <si>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</si>
  <si>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</si>
  <si>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</si>
  <si>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</si>
  <si>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</si>
  <si>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</si>
  <si>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</si>
  <si>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</si>
  <si>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</si>
  <si>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</si>
  <si>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</si>
  <si>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</si>
  <si>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</si>
  <si>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</si>
  <si>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</si>
  <si>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</si>
  <si>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</si>
  <si>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</si>
  <si>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</si>
  <si>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</si>
  <si>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</si>
  <si>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</si>
  <si>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</si>
  <si>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</si>
  <si>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</si>
  <si>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</si>
  <si>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</si>
  <si>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</si>
  <si>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</si>
  <si>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</si>
  <si>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</si>
  <si>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</si>
  <si>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</si>
  <si>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</si>
  <si>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</si>
  <si>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</si>
  <si>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</si>
  <si>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</si>
  <si>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</si>
  <si>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</si>
  <si>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</si>
  <si>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</si>
  <si>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</si>
  <si>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</si>
  <si>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</si>
  <si>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</si>
  <si>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</si>
  <si>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</si>
  <si>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</si>
  <si>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</si>
  <si>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</si>
  <si>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</si>
  <si>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</si>
  <si>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</si>
  <si>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</si>
  <si>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</si>
  <si>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</si>
  <si>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</si>
  <si>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</si>
  <si>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</si>
  <si>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</si>
  <si>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</si>
  <si>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</si>
  <si>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</si>
  <si>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</si>
  <si>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</si>
  <si>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</si>
  <si>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</si>
  <si>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</si>
  <si>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</si>
  <si>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</si>
  <si>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</si>
  <si>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</si>
  <si>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</si>
  <si>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</si>
  <si>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</si>
  <si>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</si>
  <si>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</si>
  <si>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</si>
  <si>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</si>
  <si>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</si>
  <si>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</si>
  <si>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</si>
  <si>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</si>
  <si>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</si>
  <si>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</si>
  <si>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</si>
  <si>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</si>
  <si>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</si>
  <si>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</si>
  <si>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</si>
  <si>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</si>
  <si>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</si>
  <si>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</si>
  <si>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</si>
  <si>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</si>
  <si>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</si>
  <si>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</si>
  <si>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</si>
  <si>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</si>
  <si>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</si>
  <si>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</si>
  <si>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</si>
  <si>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</si>
  <si>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</si>
  <si>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</si>
  <si>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</si>
  <si>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</si>
  <si>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</si>
  <si>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</si>
  <si>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</si>
  <si>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</si>
  <si>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</si>
  <si>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</si>
  <si>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</si>
  <si>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</si>
  <si>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</si>
  <si>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</si>
  <si>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</si>
  <si>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</si>
  <si>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</si>
  <si>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</si>
  <si>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</si>
  <si>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</si>
  <si>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</si>
  <si>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</si>
  <si>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</si>
  <si>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</si>
  <si>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</si>
  <si>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</si>
  <si>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</si>
  <si>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</si>
  <si>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</si>
  <si>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</si>
  <si>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</si>
  <si>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</si>
  <si>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</si>
  <si>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</si>
  <si>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</si>
  <si>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</si>
  <si>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</si>
  <si>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</si>
  <si>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</si>
  <si>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</si>
  <si>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</si>
  <si>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</si>
  <si>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</si>
  <si>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</si>
  <si>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</si>
  <si>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</si>
  <si>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</si>
  <si>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</si>
  <si>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</si>
  <si>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</si>
  <si>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</si>
  <si>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</si>
  <si>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</si>
  <si>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</si>
  <si>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</si>
  <si>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</si>
  <si>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</si>
  <si>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</si>
  <si>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</si>
  <si>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</si>
  <si>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</si>
  <si>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</si>
  <si>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</si>
  <si>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</si>
  <si>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</si>
  <si>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</si>
  <si>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</si>
  <si>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</si>
  <si>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</si>
  <si>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</si>
  <si>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</si>
  <si>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</si>
  <si>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</si>
  <si>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</si>
  <si>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</si>
  <si>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</si>
  <si>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</si>
  <si>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</si>
  <si>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</si>
  <si>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</si>
  <si>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</si>
  <si>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</si>
  <si>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</si>
  <si>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</si>
  <si>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</si>
  <si>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</si>
  <si>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</si>
  <si>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</si>
  <si>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</si>
  <si>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</si>
  <si>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</si>
  <si>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</si>
  <si>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</si>
  <si>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</si>
  <si>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</si>
  <si>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</si>
  <si>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</si>
  <si>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</si>
  <si>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</si>
  <si>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</si>
  <si>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</si>
  <si>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</si>
  <si>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</si>
  <si>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</si>
  <si>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</si>
  <si>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</si>
  <si>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</si>
  <si>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</si>
  <si>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</si>
  <si>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</si>
  <si>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</si>
  <si>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</si>
  <si>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</si>
  <si>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</si>
  <si>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</si>
  <si>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</si>
  <si>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</si>
  <si>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</si>
  <si>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</si>
  <si>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</si>
  <si>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</si>
  <si>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</si>
  <si>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</si>
  <si>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</si>
  <si>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</si>
  <si>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</si>
  <si>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</si>
  <si>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</si>
  <si>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</si>
  <si>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</si>
  <si>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</si>
  <si>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</si>
  <si>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</si>
  <si>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</si>
  <si>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</si>
  <si>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</si>
  <si>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</si>
  <si>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</si>
  <si>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</si>
  <si>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</si>
  <si>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</si>
  <si>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</si>
  <si>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</si>
  <si>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</si>
  <si>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</si>
  <si>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</si>
  <si>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</si>
  <si>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</si>
  <si>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</si>
  <si>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</si>
  <si>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</si>
  <si>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</si>
  <si>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</si>
  <si>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</si>
  <si>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</si>
  <si>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SEE SEFA20 TAB</t>
  </si>
  <si>
    <t>There were no findings for the year ended June 30, 2019.</t>
  </si>
  <si>
    <t>Henry</t>
  </si>
  <si>
    <t>Henry-Stark Counties Special Education District No. 801</t>
  </si>
  <si>
    <t>1318 W. Sixth Street, PO Box 597</t>
  </si>
  <si>
    <t>Kewanee</t>
  </si>
  <si>
    <t>gwertheim@hscsed.com</t>
  </si>
  <si>
    <t>T. Gregory Wetheim</t>
  </si>
  <si>
    <t>309-852-5696 Ext. 105</t>
  </si>
  <si>
    <t>309-853-4398</t>
  </si>
  <si>
    <t>x</t>
  </si>
  <si>
    <t>Thomas R. Peffer, CPA</t>
  </si>
  <si>
    <t>tpeffer@gorenzcpa.com</t>
  </si>
  <si>
    <r>
      <t xml:space="preserve">The accompanying Schedule of Expenditures of Federal Awards includes the federal grant activity of </t>
    </r>
    <r>
      <rPr>
        <b/>
        <sz val="9"/>
        <rFont val="Calibri"/>
        <family val="2"/>
        <scheme val="minor"/>
      </rPr>
      <t>Henry-Stark Counties Special Education District No. 801</t>
    </r>
    <r>
      <rPr>
        <sz val="9"/>
        <rFont val="Calibri"/>
        <family val="2"/>
        <scheme val="minor"/>
      </rPr>
      <t xml:space="preserve"> and is presented on the </t>
    </r>
    <r>
      <rPr>
        <b/>
        <sz val="9"/>
        <rFont val="Calibri"/>
        <family val="2"/>
        <scheme val="minor"/>
      </rPr>
      <t>cash basis</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</si>
  <si>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None</t>
  </si>
  <si>
    <r>
      <t xml:space="preserve">The following amounts were expended in the form of non-cash assistance by Henry-Stark Counties Special Education District No. 801 and </t>
    </r>
    <r>
      <rPr>
        <b/>
        <sz val="9"/>
        <rFont val="Calibri"/>
        <family val="2"/>
        <scheme val="minor"/>
      </rPr>
      <t>should be</t>
    </r>
    <r>
      <rPr>
        <sz val="9"/>
        <rFont val="Calibri"/>
        <family val="2"/>
        <scheme val="minor"/>
      </rPr>
      <t xml:space="preserve"> included in the Schedule of Expenditures of Federal Awards:</t>
    </r>
  </si>
  <si>
    <t>Note 6 - Relationship to Basic Financial Statements and Program Financial Statements</t>
  </si>
  <si>
    <t>Federal awards received are reflected in the District's financial statements within the Educational Fund as receipts from federal sources. Amounts reported in the accompanying Schedule of Expenditures of Federal Awards agree with amounts reported in the Program Financial Report for programs which have filed final reports as of June 30, 2020 with ISBE.</t>
  </si>
  <si>
    <t>Unmodified</t>
  </si>
  <si>
    <t>IDEA Pre-School Flow-Through</t>
  </si>
  <si>
    <t>IDEA Flow-Through</t>
  </si>
  <si>
    <t>ED - Support Serv - Pupil - Purch Serv</t>
  </si>
  <si>
    <t>OSF St. Luke Hospital</t>
  </si>
  <si>
    <t>See Below</t>
  </si>
  <si>
    <t>Annawan CUSD No. 226, Bradford CUSD No. 1, Cambridge CUSD No. 227, Galva CUSD No. 224, Geneseo CUSD No. 228, Kewanee CUSD No. 229, Stark CUSD No. 100, Wethersfield CUSD No. 230</t>
  </si>
  <si>
    <t>Page 10, Line 107 - Tort assessments from member districts</t>
  </si>
  <si>
    <t>Page 16, Line 56 - E-Rate Funding service</t>
  </si>
  <si>
    <t>RCDT 28-037-8010-60</t>
  </si>
  <si>
    <t xml:space="preserve">                                  Year Ending June 30, 2020                             </t>
  </si>
  <si>
    <t>ISBE</t>
  </si>
  <si>
    <t xml:space="preserve">          Receipts/Revenues          </t>
  </si>
  <si>
    <t xml:space="preserve">  Expenditures/Disbursements  </t>
  </si>
  <si>
    <t>Project</t>
  </si>
  <si>
    <t>Prior to</t>
  </si>
  <si>
    <t>7/01/19-</t>
  </si>
  <si>
    <t>Final</t>
  </si>
  <si>
    <t>Federal Grantor/Pass-Through Grantor,</t>
  </si>
  <si>
    <t>Number</t>
  </si>
  <si>
    <t>6/30/19</t>
  </si>
  <si>
    <t>6/30/20</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</si>
  <si>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</si>
  <si>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</si>
  <si>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</si>
  <si>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</si>
  <si>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</si>
  <si>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</si>
  <si>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</si>
  <si>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</si>
  <si>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</si>
  <si>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</si>
  <si>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</si>
  <si>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U.S. Department of Agriculture -</t>
  </si>
  <si>
    <t xml:space="preserve">  Pass-through program from</t>
  </si>
  <si>
    <t xml:space="preserve">  Illinois State Board of Education</t>
  </si>
  <si>
    <t>10.555</t>
  </si>
  <si>
    <t>19-4210-00</t>
  </si>
  <si>
    <t>N/A</t>
  </si>
  <si>
    <t>20-4210-00</t>
  </si>
  <si>
    <t>(1)</t>
  </si>
  <si>
    <t>19-4220-00</t>
  </si>
  <si>
    <t>20-4220-00</t>
  </si>
  <si>
    <t>Total U.S. Department of Agriculture</t>
  </si>
  <si>
    <t xml:space="preserve">U.S. Department of Education - </t>
  </si>
  <si>
    <t xml:space="preserve">   Pass-through program from </t>
  </si>
  <si>
    <t xml:space="preserve">   Illinois State Board of Education</t>
  </si>
  <si>
    <t>(M)</t>
  </si>
  <si>
    <t>IDEA - Preschool Flow-Through</t>
  </si>
  <si>
    <t>19-4600-00</t>
  </si>
  <si>
    <t>20-4600-00</t>
  </si>
  <si>
    <t>IDEA - Flow-Through</t>
  </si>
  <si>
    <t>19-4620-00</t>
  </si>
  <si>
    <t>20-4620-00</t>
  </si>
  <si>
    <t>IDEA - Flow-Through - Revenue A/C 2200</t>
  </si>
  <si>
    <t>17-4620-00</t>
  </si>
  <si>
    <t>Total U.S. Department of Education and IDEA Cluster</t>
  </si>
  <si>
    <t>CARES Act</t>
  </si>
  <si>
    <t>20-4998-ER</t>
  </si>
  <si>
    <t>Total Illinois State Board of Education</t>
  </si>
  <si>
    <t xml:space="preserve">U.S. Department of Health and Human Services- Pass-Through Program </t>
  </si>
  <si>
    <t xml:space="preserve">  from the Illinois Department of Healthcare and Family Services</t>
  </si>
  <si>
    <t xml:space="preserve">Medicaid Administrative Outreach </t>
  </si>
  <si>
    <t>19-4991-00</t>
  </si>
  <si>
    <t>20-4991-00</t>
  </si>
  <si>
    <t>Total U.S. Department of Health and Human Services - Pass Through Program</t>
  </si>
  <si>
    <t xml:space="preserve">Total U.S. Department of Health and Human Services </t>
  </si>
  <si>
    <t>Total Federal Awards</t>
  </si>
  <si>
    <t>(M) Indicates Major Federal Financial Assistance Program.</t>
  </si>
  <si>
    <t>(1)Flow-through funding distributed to sub-grantees as follows:</t>
  </si>
  <si>
    <t>Geneseo Community Unit School District No. 228 - $XX,XXX</t>
  </si>
  <si>
    <t xml:space="preserve">(1) Project not complete as of June 30, 2020. </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</si>
  <si>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</si>
  <si>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 xml:space="preserve">     they should be segregated and clearly designated as nonfederal.  The title of the schedule should also be modified to indicate that nonfederal awards are included.</t>
  </si>
  <si>
    <r>
      <t>2</t>
    </r>
    <r>
      <rPr>
        <sz val="8"/>
        <rFont val="Arial"/>
        <family val="2"/>
      </rPr>
      <t xml:space="preserve">  When the CFDA number is not available, the auditee should indicate that the CFDA number is not available and include in the schedule the program's name and, if applicable, </t>
    </r>
  </si>
  <si>
    <t xml:space="preserve">     other identifying number.</t>
  </si>
  <si>
    <r>
      <t>3</t>
    </r>
    <r>
      <rPr>
        <sz val="8"/>
        <rFont val="Arial"/>
        <family val="2"/>
      </rPr>
      <t xml:space="preserve">  When awards are received as a subrecipient, the identifying number assigned by the pass-through entity should be included in the schedule.</t>
    </r>
  </si>
  <si>
    <r>
      <t xml:space="preserve">4  </t>
    </r>
    <r>
      <rPr>
        <sz val="8"/>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</si>
  <si>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</si>
  <si>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</si>
  <si>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</si>
  <si>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t>See PDF version</t>
  </si>
  <si>
    <t xml:space="preserve">  Henry-Stark County Spec Ed Dist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</si>
</sst>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 &quot;_);_(@_)"/>
    <numFmt numFmtId="186" formatCode="0.000_)"/>
    <numFmt numFmtId="187" formatCode="_(* #,##0_);_(* \(#,##0\);_(* &quot;-&quot;??_);_(@_)"/>
  </numFmts>
  <fonts count="15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Courier"/>
    </font>
    <font>
      <b/>
      <sz val="12"/>
      <name val="Times New Roman"/>
      <family val="1"/>
    </font>
    <font>
      <sz val="11"/>
      <name val="Times New Roman"/>
      <family val="1"/>
    </font>
    <font>
      <b/>
      <u/>
      <sz val="11"/>
      <name val="Times New Roman"/>
      <family val="1"/>
    </font>
    <font>
      <u/>
      <sz val="11"/>
      <name val="Times New Roman"/>
      <family val="1"/>
    </font>
    <font>
      <u val="singleAccounting"/>
      <sz val="11"/>
      <name val="Times New Roman"/>
      <family val="1"/>
    </font>
    <font>
      <sz val="11"/>
      <name val="Courier"/>
      <family val="3"/>
    </font>
    <font>
      <b/>
      <sz val="11"/>
      <name val="Times New Roman"/>
      <family val="1"/>
    </font>
    <font>
      <u val="doubleAccounting"/>
      <sz val="11"/>
      <name val="Times New Roman"/>
      <family val="1"/>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37" fontId="143" fillId="0" borderId="0"/>
    <xf numFmtId="43" fontId="45" fillId="0" borderId="0" applyFont="0" applyFill="0" applyBorder="0" applyAlignment="0" applyProtection="0"/>
  </cellStyleXfs>
  <cellXfs count="270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5" fillId="0" borderId="145" xfId="3"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7" fontId="45" fillId="0" borderId="0" xfId="21" applyFont="1" applyAlignment="1">
      <alignment horizontal="center" vertical="center"/>
    </xf>
    <xf numFmtId="37" fontId="143" fillId="0" borderId="0" xfId="21" applyAlignment="1">
      <alignment vertical="center"/>
    </xf>
    <xf numFmtId="37" fontId="143" fillId="0" borderId="0" xfId="21" applyAlignment="1">
      <alignment horizontal="center" vertical="center"/>
    </xf>
    <xf numFmtId="37" fontId="143" fillId="0" borderId="0" xfId="21"/>
    <xf numFmtId="37" fontId="45" fillId="0" borderId="0" xfId="21" quotePrefix="1" applyFont="1" applyAlignment="1">
      <alignment horizontal="center" vertical="center"/>
    </xf>
    <xf numFmtId="37" fontId="145" fillId="0" borderId="0" xfId="21" applyFont="1" applyAlignment="1">
      <alignment vertical="center"/>
    </xf>
    <xf numFmtId="37" fontId="45" fillId="0" borderId="0" xfId="21" applyFont="1" applyAlignment="1">
      <alignment vertical="center"/>
    </xf>
    <xf numFmtId="37" fontId="45" fillId="0" borderId="0" xfId="21" applyFont="1" applyAlignment="1">
      <alignment horizontal="centerContinuous" vertical="center"/>
    </xf>
    <xf numFmtId="37" fontId="45" fillId="0" borderId="0" xfId="21" applyFont="1" applyAlignment="1">
      <alignment horizontal="left" vertical="center"/>
    </xf>
    <xf numFmtId="37" fontId="145" fillId="0" borderId="0" xfId="21" applyFont="1" applyAlignment="1">
      <alignment horizontal="center" vertical="center"/>
    </xf>
    <xf numFmtId="37" fontId="145" fillId="0" borderId="0" xfId="21" applyFont="1" applyAlignment="1">
      <alignment horizontal="left" vertical="center"/>
    </xf>
    <xf numFmtId="37" fontId="147" fillId="0" borderId="0" xfId="21" applyFont="1" applyAlignment="1">
      <alignment horizontal="centerContinuous" vertical="center"/>
    </xf>
    <xf numFmtId="37" fontId="149" fillId="0" borderId="0" xfId="21" applyFont="1" applyAlignment="1">
      <alignment vertical="center"/>
    </xf>
    <xf numFmtId="37" fontId="145" fillId="0" borderId="0" xfId="21" quotePrefix="1" applyFont="1" applyAlignment="1">
      <alignment horizontal="center" vertical="center"/>
    </xf>
    <xf numFmtId="14" fontId="145" fillId="0" borderId="0" xfId="21" quotePrefix="1" applyNumberFormat="1" applyFont="1" applyAlignment="1">
      <alignment horizontal="center" vertical="center"/>
    </xf>
    <xf numFmtId="37" fontId="147" fillId="0" borderId="0" xfId="21" quotePrefix="1" applyFont="1" applyAlignment="1">
      <alignment horizontal="left" vertical="center"/>
    </xf>
    <xf numFmtId="37" fontId="147" fillId="0" borderId="0" xfId="21" applyFont="1" applyAlignment="1">
      <alignment horizontal="center" vertical="center"/>
    </xf>
    <xf numFmtId="37" fontId="147" fillId="0" borderId="0" xfId="21" applyFont="1" applyAlignment="1">
      <alignment horizontal="left" vertical="center"/>
    </xf>
    <xf numFmtId="37" fontId="150" fillId="0" borderId="0" xfId="21" applyFont="1" applyAlignment="1">
      <alignment horizontal="left" vertical="center"/>
    </xf>
    <xf numFmtId="186" fontId="145" fillId="0" borderId="0" xfId="21" applyNumberFormat="1" applyFont="1" applyAlignment="1">
      <alignment horizontal="center" vertical="center"/>
    </xf>
    <xf numFmtId="185" fontId="145" fillId="0" borderId="0" xfId="21" applyNumberFormat="1" applyFont="1" applyAlignment="1">
      <alignment vertical="center"/>
    </xf>
    <xf numFmtId="37" fontId="145" fillId="27" borderId="0" xfId="21" applyFont="1" applyFill="1" applyAlignment="1">
      <alignment horizontal="right" vertical="center"/>
    </xf>
    <xf numFmtId="37" fontId="145" fillId="27" borderId="0" xfId="21" applyFont="1" applyFill="1" applyAlignment="1">
      <alignment horizontal="center" vertical="center"/>
    </xf>
    <xf numFmtId="37" fontId="145" fillId="0" borderId="0" xfId="21" quotePrefix="1" applyFont="1" applyAlignment="1">
      <alignment horizontal="right" vertical="center"/>
    </xf>
    <xf numFmtId="37" fontId="145" fillId="0" borderId="0" xfId="21" applyFont="1" applyAlignment="1">
      <alignment horizontal="right" vertical="center"/>
    </xf>
    <xf numFmtId="185" fontId="145" fillId="0" borderId="78" xfId="21" applyNumberFormat="1" applyFont="1" applyBorder="1" applyAlignment="1">
      <alignment vertical="center"/>
    </xf>
    <xf numFmtId="37" fontId="145" fillId="27" borderId="78" xfId="21" applyFont="1" applyFill="1" applyBorder="1" applyAlignment="1">
      <alignment horizontal="right" vertical="center"/>
    </xf>
    <xf numFmtId="185" fontId="145" fillId="0" borderId="0" xfId="21" applyNumberFormat="1" applyFont="1" applyAlignment="1">
      <alignment horizontal="center" vertical="center"/>
    </xf>
    <xf numFmtId="185" fontId="145" fillId="27" borderId="0" xfId="21" applyNumberFormat="1" applyFont="1" applyFill="1" applyAlignment="1">
      <alignment vertical="center"/>
    </xf>
    <xf numFmtId="185" fontId="145" fillId="27" borderId="0" xfId="21" applyNumberFormat="1" applyFont="1" applyFill="1" applyAlignment="1">
      <alignment horizontal="center" vertical="center"/>
    </xf>
    <xf numFmtId="37" fontId="149" fillId="27" borderId="0" xfId="21" applyFont="1" applyFill="1" applyAlignment="1">
      <alignment vertical="center"/>
    </xf>
    <xf numFmtId="187" fontId="145" fillId="27" borderId="0" xfId="21" applyNumberFormat="1" applyFont="1" applyFill="1" applyAlignment="1">
      <alignment vertical="center"/>
    </xf>
    <xf numFmtId="37" fontId="145" fillId="0" borderId="0" xfId="21" quotePrefix="1" applyFont="1" applyAlignment="1">
      <alignment horizontal="left" vertical="center"/>
    </xf>
    <xf numFmtId="185" fontId="145" fillId="0" borderId="0" xfId="21" quotePrefix="1" applyNumberFormat="1" applyFont="1" applyAlignment="1">
      <alignment horizontal="center" vertical="center"/>
    </xf>
    <xf numFmtId="187" fontId="145" fillId="0" borderId="0" xfId="21" applyNumberFormat="1" applyFont="1" applyAlignment="1">
      <alignment vertical="center"/>
    </xf>
    <xf numFmtId="185" fontId="148" fillId="0" borderId="0" xfId="21" applyNumberFormat="1" applyFont="1" applyAlignment="1">
      <alignment vertical="center"/>
    </xf>
    <xf numFmtId="185" fontId="148" fillId="20" borderId="0" xfId="21" applyNumberFormat="1" applyFont="1" applyFill="1" applyAlignment="1">
      <alignment vertical="center"/>
    </xf>
    <xf numFmtId="185" fontId="145" fillId="0" borderId="0" xfId="21" quotePrefix="1" applyNumberFormat="1" applyFont="1" applyAlignment="1">
      <alignment horizontal="left" vertical="center"/>
    </xf>
    <xf numFmtId="187" fontId="148" fillId="0" borderId="0" xfId="21" applyNumberFormat="1" applyFont="1" applyAlignment="1">
      <alignment vertical="center"/>
    </xf>
    <xf numFmtId="185" fontId="148" fillId="20" borderId="0" xfId="21" applyNumberFormat="1" applyFont="1" applyFill="1" applyAlignment="1">
      <alignment horizontal="center" vertical="center"/>
    </xf>
    <xf numFmtId="185" fontId="148" fillId="0" borderId="0" xfId="21" applyNumberFormat="1" applyFont="1" applyAlignment="1">
      <alignment horizontal="left" vertical="center"/>
    </xf>
    <xf numFmtId="185" fontId="145" fillId="0" borderId="0" xfId="21" applyNumberFormat="1" applyFont="1" applyAlignment="1">
      <alignment horizontal="left" vertical="center"/>
    </xf>
    <xf numFmtId="185" fontId="148" fillId="0" borderId="0" xfId="21" applyNumberFormat="1" applyFont="1" applyAlignment="1">
      <alignment horizontal="center" vertical="center"/>
    </xf>
    <xf numFmtId="37" fontId="150" fillId="0" borderId="0" xfId="21" applyFont="1" applyAlignment="1">
      <alignment vertical="center"/>
    </xf>
    <xf numFmtId="43" fontId="148" fillId="0" borderId="0" xfId="22" applyFont="1" applyFill="1" applyAlignment="1" applyProtection="1">
      <alignment vertical="center"/>
    </xf>
    <xf numFmtId="37" fontId="149" fillId="0" borderId="0" xfId="21" applyFont="1" applyAlignment="1">
      <alignment horizontal="center" vertical="center"/>
    </xf>
    <xf numFmtId="43" fontId="145" fillId="0" borderId="0" xfId="22" applyFont="1" applyFill="1" applyAlignment="1">
      <alignment horizontal="center" vertical="center"/>
    </xf>
    <xf numFmtId="43" fontId="145" fillId="0" borderId="0" xfId="21" applyNumberFormat="1" applyFont="1" applyAlignment="1">
      <alignment vertical="center"/>
    </xf>
    <xf numFmtId="43" fontId="148" fillId="0" borderId="0" xfId="21" applyNumberFormat="1" applyFont="1" applyAlignment="1">
      <alignment vertical="center"/>
    </xf>
    <xf numFmtId="185" fontId="148" fillId="27" borderId="0" xfId="21" applyNumberFormat="1" applyFont="1" applyFill="1" applyAlignment="1">
      <alignment vertical="center"/>
    </xf>
    <xf numFmtId="186" fontId="145" fillId="0" borderId="0" xfId="21" applyNumberFormat="1" applyFont="1" applyAlignment="1">
      <alignment vertical="center"/>
    </xf>
    <xf numFmtId="187" fontId="151" fillId="0" borderId="0" xfId="21" applyNumberFormat="1" applyFont="1" applyAlignment="1">
      <alignment vertical="center"/>
    </xf>
    <xf numFmtId="185" fontId="149" fillId="0" borderId="0" xfId="21" applyNumberFormat="1" applyFont="1" applyAlignment="1">
      <alignment vertical="center"/>
    </xf>
    <xf numFmtId="185" fontId="149" fillId="0" borderId="0" xfId="21" applyNumberFormat="1" applyFont="1" applyAlignment="1">
      <alignment horizontal="center" vertical="center"/>
    </xf>
    <xf numFmtId="43" fontId="149" fillId="0" borderId="0" xfId="22" applyFont="1" applyFill="1" applyAlignment="1">
      <alignment vertical="center"/>
    </xf>
    <xf numFmtId="37" fontId="145" fillId="20" borderId="0" xfId="21" applyFont="1" applyFill="1" applyAlignment="1">
      <alignment vertical="center"/>
    </xf>
    <xf numFmtId="186" fontId="149" fillId="20" borderId="0" xfId="21" applyNumberFormat="1" applyFont="1" applyFill="1" applyAlignment="1">
      <alignment vertical="center"/>
    </xf>
    <xf numFmtId="186" fontId="149" fillId="0" borderId="0" xfId="21" applyNumberFormat="1" applyFont="1" applyAlignment="1">
      <alignment vertical="center"/>
    </xf>
    <xf numFmtId="186" fontId="143" fillId="0" borderId="0" xfId="21" applyNumberFormat="1" applyAlignment="1">
      <alignment vertical="center"/>
    </xf>
    <xf numFmtId="185" fontId="143" fillId="0" borderId="0" xfId="21" applyNumberFormat="1" applyAlignment="1">
      <alignment vertical="center"/>
    </xf>
    <xf numFmtId="185" fontId="143" fillId="0" borderId="0" xfId="21" applyNumberFormat="1" applyAlignment="1">
      <alignment horizontal="center" vertical="center"/>
    </xf>
    <xf numFmtId="37" fontId="45" fillId="0" borderId="78" xfId="21" applyFont="1" applyBorder="1" applyAlignment="1">
      <alignment horizontal="center" vertical="center"/>
    </xf>
    <xf numFmtId="37" fontId="143" fillId="0" borderId="78" xfId="21" applyBorder="1" applyAlignment="1">
      <alignment vertical="center"/>
    </xf>
    <xf numFmtId="186" fontId="143" fillId="0" borderId="78" xfId="21" applyNumberFormat="1" applyBorder="1" applyAlignment="1">
      <alignment vertical="center"/>
    </xf>
    <xf numFmtId="37" fontId="143" fillId="0" borderId="78" xfId="21" applyBorder="1" applyAlignment="1">
      <alignment horizontal="center" vertical="center"/>
    </xf>
    <xf numFmtId="185" fontId="143" fillId="0" borderId="78" xfId="21" applyNumberFormat="1" applyBorder="1" applyAlignment="1">
      <alignment vertical="center"/>
    </xf>
    <xf numFmtId="185" fontId="143" fillId="0" borderId="78" xfId="21" applyNumberFormat="1" applyBorder="1" applyAlignment="1">
      <alignment horizontal="center" vertical="center"/>
    </xf>
    <xf numFmtId="37" fontId="143" fillId="0" borderId="0" xfId="21" applyAlignment="1">
      <alignment horizontal="left"/>
    </xf>
    <xf numFmtId="37" fontId="143" fillId="0" borderId="0" xfId="21" applyAlignment="1">
      <alignment horizontal="center"/>
    </xf>
    <xf numFmtId="37" fontId="11" fillId="0" borderId="0" xfId="21" applyFont="1"/>
    <xf numFmtId="37" fontId="152" fillId="0" borderId="0" xfId="21" applyFont="1" applyAlignment="1">
      <alignment horizontal="left"/>
    </xf>
    <xf numFmtId="169" fontId="11" fillId="0" borderId="0" xfId="21" applyNumberFormat="1" applyFont="1" applyAlignment="1">
      <alignment horizontal="left"/>
    </xf>
    <xf numFmtId="1" fontId="11" fillId="0" borderId="0" xfId="21" applyNumberFormat="1" applyFont="1" applyAlignment="1">
      <alignment horizontal="left"/>
    </xf>
    <xf numFmtId="37" fontId="11" fillId="0" borderId="0" xfId="21" applyFont="1" applyAlignment="1">
      <alignment horizontal="left"/>
    </xf>
    <xf numFmtId="169" fontId="143" fillId="0" borderId="0" xfId="21" applyNumberFormat="1" applyAlignment="1">
      <alignment horizontal="left"/>
    </xf>
    <xf numFmtId="1" fontId="143" fillId="0" borderId="0" xfId="21" applyNumberFormat="1" applyAlignment="1">
      <alignment horizontal="left"/>
    </xf>
    <xf numFmtId="37" fontId="143" fillId="0" borderId="0" xfId="21" applyProtection="1">
      <protection locked="0"/>
    </xf>
    <xf numFmtId="169" fontId="143" fillId="0" borderId="0" xfId="21" applyNumberFormat="1" applyProtection="1">
      <protection locked="0"/>
    </xf>
    <xf numFmtId="1" fontId="143" fillId="0" borderId="0" xfId="21" applyNumberFormat="1" applyProtection="1">
      <protection locked="0"/>
    </xf>
    <xf numFmtId="37" fontId="143" fillId="0" borderId="0" xfId="21" applyAlignment="1" applyProtection="1">
      <alignment horizontal="center"/>
      <protection locked="0"/>
    </xf>
    <xf numFmtId="37" fontId="13" fillId="0" borderId="0" xfId="21" applyFont="1" applyAlignment="1">
      <alignment vertic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37" fontId="150" fillId="0" borderId="0" xfId="21" applyFont="1" applyAlignment="1">
      <alignment horizontal="left" vertical="center"/>
    </xf>
    <xf numFmtId="37" fontId="152" fillId="0" borderId="0" xfId="21" applyFont="1" applyAlignment="1">
      <alignment horizontal="left" wrapText="1"/>
    </xf>
    <xf numFmtId="37" fontId="11" fillId="0" borderId="0" xfId="21" applyFont="1" applyAlignment="1">
      <alignment horizontal="left" wrapText="1"/>
    </xf>
    <xf numFmtId="37" fontId="144" fillId="0" borderId="0" xfId="21" applyFont="1" applyAlignment="1">
      <alignment horizontal="center" vertical="center"/>
    </xf>
    <xf numFmtId="0" fontId="146" fillId="0" borderId="0" xfId="21" applyNumberFormat="1" applyFont="1" applyAlignment="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5" fillId="0" borderId="0" xfId="3" applyFont="1" applyBorder="1" applyAlignment="1" applyProtection="1">
      <alignment vertical="top" wrapText="1"/>
    </xf>
    <xf numFmtId="0" fontId="0" fillId="0" borderId="0" xfId="0" applyAlignment="1">
      <alignmen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3">
    <cellStyle name="Comma" xfId="1" builtinId="3"/>
    <cellStyle name="Comma 2" xfId="22" xr:uid="{014D703C-E50B-4611-B62F-3995387137FF}"/>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FD782322-B2B8-47F3-A2CC-7510010DA3B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1974274</xdr:colOff>
          <xdr:row>1</xdr:row>
          <xdr:rowOff>112568</xdr:rowOff>
        </xdr:from>
        <xdr:to>
          <xdr:col>1</xdr:col>
          <xdr:colOff>2885211</xdr:colOff>
          <xdr:row>6</xdr:row>
          <xdr:rowOff>71870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25402E89-04CA-4876-BF81-B1FBFE725A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02">
        <f>+'AFR20'!E4</f>
        <v>44119</v>
      </c>
      <c r="C1" s="2202"/>
      <c r="D1" s="2203"/>
      <c r="I1" s="2161" t="s">
        <v>402</v>
      </c>
      <c r="J1" s="2162"/>
      <c r="K1" s="2162"/>
      <c r="L1" s="2162"/>
      <c r="M1" s="2162"/>
      <c r="N1" s="2162"/>
      <c r="O1" s="2162"/>
      <c r="P1" s="2162"/>
      <c r="Q1" s="2162"/>
      <c r="R1" s="2162"/>
      <c r="S1" s="2162"/>
    </row>
    <row r="2" spans="1:32" ht="12" customHeight="1" x14ac:dyDescent="0.2">
      <c r="A2" s="1831" t="str">
        <f>"Due to ISBE on "</f>
        <v xml:space="preserve">Due to ISBE on </v>
      </c>
      <c r="B2" s="2204">
        <f>+'AFR20'!F4</f>
        <v>44151</v>
      </c>
      <c r="C2" s="2204"/>
      <c r="D2" s="2205"/>
      <c r="I2" s="2163" t="s">
        <v>2001</v>
      </c>
      <c r="J2" s="2162"/>
      <c r="K2" s="2162"/>
      <c r="L2" s="2162"/>
      <c r="M2" s="2162"/>
      <c r="N2" s="2162"/>
      <c r="O2" s="2162"/>
      <c r="P2" s="2162"/>
      <c r="Q2" s="2162"/>
      <c r="R2" s="2162"/>
      <c r="S2" s="2162"/>
    </row>
    <row r="3" spans="1:32" ht="12" customHeight="1" x14ac:dyDescent="0.2">
      <c r="A3" s="1834" t="str">
        <f>"SD/JA"&amp;MID('AFR20'!E2,3,2)</f>
        <v>SD/JA20</v>
      </c>
      <c r="B3" s="151"/>
      <c r="C3" s="151"/>
      <c r="D3" s="152"/>
      <c r="I3" s="2163" t="s">
        <v>52</v>
      </c>
      <c r="J3" s="2162"/>
      <c r="K3" s="2162"/>
      <c r="L3" s="2162"/>
      <c r="M3" s="2162"/>
      <c r="N3" s="2162"/>
      <c r="O3" s="2162"/>
      <c r="P3" s="2162"/>
      <c r="Q3" s="2162"/>
      <c r="R3" s="2162"/>
      <c r="S3" s="2162"/>
    </row>
    <row r="4" spans="1:32" ht="12" customHeight="1" x14ac:dyDescent="0.2">
      <c r="A4" s="37"/>
      <c r="I4" s="2163" t="s">
        <v>521</v>
      </c>
      <c r="J4" s="2162"/>
      <c r="K4" s="2162"/>
      <c r="L4" s="2162"/>
      <c r="M4" s="2162"/>
      <c r="N4" s="2162"/>
      <c r="O4" s="2162"/>
      <c r="P4" s="2162"/>
      <c r="Q4" s="2162"/>
      <c r="R4" s="2162"/>
      <c r="S4" s="2162"/>
    </row>
    <row r="5" spans="1:32" ht="14.1" customHeight="1" x14ac:dyDescent="0.2">
      <c r="B5" s="101"/>
      <c r="C5" s="26" t="s">
        <v>904</v>
      </c>
      <c r="D5" s="81"/>
      <c r="E5" s="81"/>
      <c r="H5" s="38"/>
      <c r="I5" s="2171" t="s">
        <v>675</v>
      </c>
      <c r="J5" s="2170"/>
      <c r="K5" s="2170"/>
      <c r="L5" s="2170"/>
      <c r="M5" s="2170"/>
      <c r="N5" s="2170"/>
      <c r="O5" s="2170"/>
      <c r="P5" s="2170"/>
      <c r="Q5" s="2170"/>
      <c r="R5" s="2170"/>
      <c r="S5" s="2170"/>
      <c r="AF5" s="1827"/>
    </row>
    <row r="6" spans="1:32" ht="14.1" customHeight="1" x14ac:dyDescent="0.2">
      <c r="B6" s="101" t="s">
        <v>2067</v>
      </c>
      <c r="C6" s="26" t="s">
        <v>905</v>
      </c>
      <c r="D6" s="81"/>
      <c r="E6" s="81"/>
      <c r="I6" s="2169" t="s">
        <v>877</v>
      </c>
      <c r="J6" s="2170"/>
      <c r="K6" s="2170"/>
      <c r="L6" s="2170"/>
      <c r="M6" s="2170"/>
      <c r="N6" s="2170"/>
      <c r="O6" s="2170"/>
      <c r="P6" s="2170"/>
      <c r="Q6" s="2170"/>
      <c r="R6" s="2170"/>
      <c r="S6" s="2170"/>
    </row>
    <row r="7" spans="1:32" ht="12.2" customHeight="1" x14ac:dyDescent="0.2">
      <c r="I7" s="2164" t="str">
        <f>"June 30, "&amp;'AFR20'!E2</f>
        <v>June 30, 2020</v>
      </c>
      <c r="J7" s="2165"/>
      <c r="K7" s="2165"/>
      <c r="L7" s="2165"/>
      <c r="M7" s="2165"/>
      <c r="N7" s="2165"/>
      <c r="O7" s="2165"/>
      <c r="P7" s="2165"/>
      <c r="Q7" s="2165"/>
      <c r="R7" s="2165"/>
      <c r="S7" s="216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66" t="s">
        <v>669</v>
      </c>
      <c r="J9" s="2167"/>
      <c r="K9" s="2167"/>
      <c r="L9" s="2167"/>
      <c r="M9" s="2167"/>
      <c r="N9" s="2167"/>
      <c r="O9" s="2167"/>
      <c r="P9" s="2167"/>
      <c r="Q9" s="2167"/>
      <c r="R9" s="2167"/>
      <c r="S9" s="2168"/>
      <c r="T9" s="2219" t="s">
        <v>530</v>
      </c>
      <c r="U9" s="2220"/>
      <c r="V9" s="2220"/>
      <c r="W9" s="2220"/>
      <c r="X9" s="2220"/>
      <c r="Y9" s="2220"/>
      <c r="Z9" s="2220"/>
      <c r="AA9" s="2221"/>
    </row>
    <row r="10" spans="1:32" ht="13.5" customHeight="1" x14ac:dyDescent="0.2">
      <c r="A10" s="2226" t="s">
        <v>670</v>
      </c>
      <c r="B10" s="2227"/>
      <c r="C10" s="2227"/>
      <c r="D10" s="2227"/>
      <c r="E10" s="2227"/>
      <c r="F10" s="2227"/>
      <c r="G10" s="2227"/>
      <c r="H10" s="2228"/>
      <c r="I10" s="29"/>
      <c r="J10" s="30"/>
      <c r="K10" s="28"/>
      <c r="R10" s="30"/>
      <c r="S10" s="30"/>
      <c r="T10" s="2222"/>
      <c r="U10" s="2170"/>
      <c r="V10" s="2170"/>
      <c r="W10" s="2170"/>
      <c r="X10" s="2170"/>
      <c r="Y10" s="2170"/>
      <c r="Z10" s="2170"/>
      <c r="AA10" s="2176"/>
    </row>
    <row r="11" spans="1:32" ht="14.25" customHeight="1" x14ac:dyDescent="0.2">
      <c r="A11" s="2229" t="s">
        <v>949</v>
      </c>
      <c r="B11" s="2230"/>
      <c r="C11" s="2230"/>
      <c r="D11" s="2230"/>
      <c r="E11" s="2230"/>
      <c r="F11" s="2230"/>
      <c r="G11" s="2230"/>
      <c r="H11" s="2231"/>
      <c r="I11" s="27"/>
      <c r="J11" s="71"/>
      <c r="K11" s="27"/>
      <c r="O11" s="144" t="s">
        <v>2049</v>
      </c>
      <c r="P11" s="97" t="s">
        <v>199</v>
      </c>
      <c r="Q11" s="30"/>
      <c r="R11" s="28"/>
      <c r="S11" s="27"/>
      <c r="T11" s="2223"/>
      <c r="U11" s="2224"/>
      <c r="V11" s="2224"/>
      <c r="W11" s="2224"/>
      <c r="X11" s="2224"/>
      <c r="Y11" s="2224"/>
      <c r="Z11" s="2224"/>
      <c r="AA11" s="222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82">
        <v>28037801060</v>
      </c>
      <c r="B13" s="2183"/>
      <c r="C13" s="2183"/>
      <c r="D13" s="2183"/>
      <c r="E13" s="2183"/>
      <c r="F13" s="2183"/>
      <c r="G13" s="2183"/>
      <c r="H13" s="2184"/>
      <c r="I13" s="31"/>
      <c r="J13" s="30"/>
      <c r="K13" s="28"/>
      <c r="L13" s="30"/>
      <c r="M13" s="30"/>
      <c r="N13" s="30"/>
      <c r="O13" s="30"/>
      <c r="P13" s="30"/>
      <c r="Q13" s="30"/>
      <c r="R13" s="30"/>
      <c r="S13" s="30"/>
      <c r="T13" s="2188" t="s">
        <v>2050</v>
      </c>
      <c r="U13" s="2189"/>
      <c r="V13" s="2189"/>
      <c r="W13" s="2189"/>
      <c r="X13" s="2189"/>
      <c r="Y13" s="2190"/>
      <c r="Z13" s="2190"/>
      <c r="AA13" s="219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85" t="s">
        <v>2059</v>
      </c>
      <c r="B15" s="2186"/>
      <c r="C15" s="2186"/>
      <c r="D15" s="2186"/>
      <c r="E15" s="2186"/>
      <c r="F15" s="2186"/>
      <c r="G15" s="2186"/>
      <c r="H15" s="2187"/>
      <c r="T15" s="2192" t="s">
        <v>2068</v>
      </c>
      <c r="U15" s="2149"/>
      <c r="V15" s="2149"/>
      <c r="W15" s="2149"/>
      <c r="X15" s="2149"/>
      <c r="Y15" s="2193"/>
      <c r="Z15" s="2193"/>
      <c r="AA15" s="219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55" t="s">
        <v>2157</v>
      </c>
      <c r="B17" s="2156"/>
      <c r="C17" s="2156"/>
      <c r="D17" s="2156"/>
      <c r="E17" s="2156"/>
      <c r="F17" s="2156"/>
      <c r="G17" s="2156"/>
      <c r="H17" s="2181"/>
      <c r="T17" s="2199" t="s">
        <v>2051</v>
      </c>
      <c r="U17" s="2200"/>
      <c r="V17" s="2200"/>
      <c r="W17" s="2200"/>
      <c r="X17" s="2200"/>
      <c r="Y17" s="2200"/>
      <c r="Z17" s="2200"/>
      <c r="AA17" s="2201"/>
    </row>
    <row r="18" spans="1:27" ht="13.5" customHeight="1" x14ac:dyDescent="0.2">
      <c r="A18" s="82" t="s">
        <v>527</v>
      </c>
      <c r="B18" s="73"/>
      <c r="C18" s="69"/>
      <c r="D18" s="73"/>
      <c r="E18" s="73"/>
      <c r="F18" s="73"/>
      <c r="G18" s="73"/>
      <c r="H18" s="53"/>
      <c r="I18" s="2180" t="s">
        <v>671</v>
      </c>
      <c r="J18" s="2131"/>
      <c r="K18" s="2131"/>
      <c r="L18" s="2131"/>
      <c r="M18" s="2131"/>
      <c r="N18" s="2131"/>
      <c r="O18" s="2131"/>
      <c r="P18" s="2131"/>
      <c r="Q18" s="2131"/>
      <c r="R18" s="2131"/>
      <c r="S18" s="2132"/>
      <c r="T18" s="82" t="s">
        <v>706</v>
      </c>
      <c r="U18" s="48"/>
      <c r="V18" s="69"/>
      <c r="W18" s="47"/>
      <c r="X18" s="82" t="s">
        <v>264</v>
      </c>
      <c r="Y18" s="78"/>
      <c r="Z18" s="154" t="s">
        <v>672</v>
      </c>
      <c r="AA18" s="44"/>
    </row>
    <row r="19" spans="1:27" ht="13.5" customHeight="1" x14ac:dyDescent="0.2">
      <c r="A19" s="2185" t="s">
        <v>2061</v>
      </c>
      <c r="B19" s="2141"/>
      <c r="C19" s="2141"/>
      <c r="D19" s="2141"/>
      <c r="E19" s="2141"/>
      <c r="F19" s="2141"/>
      <c r="G19" s="2141"/>
      <c r="H19" s="2121"/>
      <c r="I19" s="30"/>
      <c r="J19" s="96"/>
      <c r="K19" s="40"/>
      <c r="L19" s="38"/>
      <c r="M19" s="109" t="s">
        <v>312</v>
      </c>
      <c r="P19" s="27"/>
      <c r="Q19" s="27"/>
      <c r="R19" s="27"/>
      <c r="S19" s="31"/>
      <c r="T19" s="2185" t="s">
        <v>2052</v>
      </c>
      <c r="U19" s="2120"/>
      <c r="V19" s="2120"/>
      <c r="W19" s="2121"/>
      <c r="X19" s="2197" t="s">
        <v>2053</v>
      </c>
      <c r="Y19" s="2198"/>
      <c r="Z19" s="2195">
        <v>61614</v>
      </c>
      <c r="AA19" s="219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19" t="s">
        <v>2062</v>
      </c>
      <c r="B21" s="2120"/>
      <c r="C21" s="2120"/>
      <c r="D21" s="2120"/>
      <c r="E21" s="2120"/>
      <c r="F21" s="2120"/>
      <c r="G21" s="2120"/>
      <c r="H21" s="2121"/>
      <c r="I21" s="2175" t="s">
        <v>673</v>
      </c>
      <c r="J21" s="2170"/>
      <c r="K21" s="2170"/>
      <c r="L21" s="2170"/>
      <c r="M21" s="2170"/>
      <c r="N21" s="2170"/>
      <c r="O21" s="2170"/>
      <c r="P21" s="2170"/>
      <c r="Q21" s="2170"/>
      <c r="R21" s="2170"/>
      <c r="S21" s="2176"/>
      <c r="T21" s="2210" t="s">
        <v>2054</v>
      </c>
      <c r="U21" s="2211"/>
      <c r="V21" s="2211"/>
      <c r="W21" s="2211"/>
      <c r="X21" s="2216" t="s">
        <v>2055</v>
      </c>
      <c r="Y21" s="2217"/>
      <c r="Z21" s="2217"/>
      <c r="AA21" s="2218"/>
    </row>
    <row r="22" spans="1:27" ht="13.5" customHeight="1" x14ac:dyDescent="0.2">
      <c r="A22" s="84" t="s">
        <v>528</v>
      </c>
      <c r="B22" s="56"/>
      <c r="C22" s="56"/>
      <c r="D22" s="56"/>
      <c r="E22" s="56"/>
      <c r="F22" s="56"/>
      <c r="G22" s="56"/>
      <c r="H22" s="57"/>
      <c r="I22" s="2177" t="s">
        <v>1412</v>
      </c>
      <c r="J22" s="2178"/>
      <c r="K22" s="2178"/>
      <c r="L22" s="2178"/>
      <c r="M22" s="2178"/>
      <c r="N22" s="2178"/>
      <c r="O22" s="2178"/>
      <c r="P22" s="2178"/>
      <c r="Q22" s="2178"/>
      <c r="R22" s="2178"/>
      <c r="S22" s="2179"/>
      <c r="T22" s="82" t="s">
        <v>1499</v>
      </c>
      <c r="U22" s="48"/>
      <c r="V22" s="69"/>
      <c r="W22" s="48"/>
      <c r="X22" s="155" t="s">
        <v>1307</v>
      </c>
      <c r="Z22" s="43"/>
      <c r="AA22" s="44"/>
    </row>
    <row r="23" spans="1:27" ht="13.5" customHeight="1" x14ac:dyDescent="0.2">
      <c r="A23" s="2172" t="s">
        <v>2063</v>
      </c>
      <c r="B23" s="2173"/>
      <c r="C23" s="2173"/>
      <c r="D23" s="2173"/>
      <c r="E23" s="2173"/>
      <c r="F23" s="2173"/>
      <c r="G23" s="2173"/>
      <c r="H23" s="2174"/>
      <c r="T23" s="2155" t="s">
        <v>2056</v>
      </c>
      <c r="U23" s="2209"/>
      <c r="V23" s="2209"/>
      <c r="W23" s="2209"/>
      <c r="X23" s="2213">
        <v>44501</v>
      </c>
      <c r="Y23" s="2214"/>
      <c r="Z23" s="2214"/>
      <c r="AA23" s="2215"/>
    </row>
    <row r="24" spans="1:27" ht="14.1" customHeight="1" x14ac:dyDescent="0.2">
      <c r="A24" s="85" t="s">
        <v>672</v>
      </c>
      <c r="B24" s="46"/>
      <c r="C24" s="46"/>
      <c r="D24" s="46"/>
      <c r="E24" s="46"/>
      <c r="F24" s="46"/>
      <c r="G24" s="46"/>
      <c r="H24" s="58"/>
      <c r="J24" s="2142" t="str">
        <f>IF(B5="x",IF(AUDITCHECK!D29="AFR form Incomplete.","",IF(AUDITCHECK!D29="Deficit reduction plan is required.","School District must complete a deficit reduction plan in the 2020-2021 Budget",)),"")</f>
        <v/>
      </c>
      <c r="K24" s="2142"/>
      <c r="L24" s="2142"/>
      <c r="M24" s="2142"/>
      <c r="N24" s="2142"/>
      <c r="O24" s="2142"/>
      <c r="P24" s="2142"/>
      <c r="Q24" s="2142"/>
      <c r="R24" s="2142"/>
      <c r="S24" s="2143"/>
      <c r="T24" s="102" t="s">
        <v>528</v>
      </c>
      <c r="U24" s="103"/>
      <c r="V24" s="103"/>
      <c r="W24" s="103"/>
      <c r="X24" s="104"/>
      <c r="Y24" s="104"/>
      <c r="Z24" s="104"/>
      <c r="AA24" s="105"/>
    </row>
    <row r="25" spans="1:27" ht="14.1" customHeight="1" x14ac:dyDescent="0.2">
      <c r="A25" s="2119">
        <v>61443</v>
      </c>
      <c r="B25" s="2120"/>
      <c r="C25" s="2120"/>
      <c r="D25" s="2120"/>
      <c r="E25" s="2120"/>
      <c r="F25" s="2120"/>
      <c r="G25" s="2120"/>
      <c r="H25" s="2121"/>
      <c r="I25" s="110"/>
      <c r="J25" s="2144"/>
      <c r="K25" s="2144"/>
      <c r="L25" s="2144"/>
      <c r="M25" s="2144"/>
      <c r="N25" s="2144"/>
      <c r="O25" s="2144"/>
      <c r="P25" s="2144"/>
      <c r="Q25" s="2144"/>
      <c r="R25" s="2144"/>
      <c r="S25" s="2145"/>
      <c r="T25" s="2206" t="s">
        <v>2069</v>
      </c>
      <c r="U25" s="2207"/>
      <c r="V25" s="2207"/>
      <c r="W25" s="2207"/>
      <c r="X25" s="2207"/>
      <c r="Y25" s="2207"/>
      <c r="Z25" s="2207"/>
      <c r="AA25" s="220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0" t="s">
        <v>1494</v>
      </c>
      <c r="J27" s="2131"/>
      <c r="K27" s="2131"/>
      <c r="L27" s="2131"/>
      <c r="M27" s="2131"/>
      <c r="N27" s="2131"/>
      <c r="O27" s="2131"/>
      <c r="P27" s="2131"/>
      <c r="Q27" s="2131"/>
      <c r="R27" s="2131"/>
      <c r="S27" s="213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2049</v>
      </c>
      <c r="F29" s="137" t="s">
        <v>1305</v>
      </c>
      <c r="G29" s="111"/>
      <c r="I29" s="51"/>
      <c r="J29" s="144" t="s">
        <v>2067</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2049</v>
      </c>
      <c r="C30" s="121" t="s">
        <v>1154</v>
      </c>
      <c r="D30" s="28"/>
      <c r="E30" s="28"/>
      <c r="F30" s="136"/>
      <c r="G30" s="111"/>
      <c r="H30" s="111"/>
      <c r="I30" s="51"/>
      <c r="J30" s="144" t="s">
        <v>2067</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2067</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41"/>
      <c r="Q35" s="2120"/>
      <c r="R35" s="212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55" t="s">
        <v>2064</v>
      </c>
      <c r="B38" s="2156"/>
      <c r="C38" s="2156"/>
      <c r="D38" s="2156"/>
      <c r="E38" s="2156"/>
      <c r="F38" s="2120"/>
      <c r="G38" s="2120"/>
      <c r="H38" s="2121"/>
      <c r="I38" s="2148"/>
      <c r="J38" s="2149"/>
      <c r="K38" s="2149"/>
      <c r="L38" s="2149"/>
      <c r="M38" s="2149"/>
      <c r="N38" s="2149"/>
      <c r="O38" s="2149"/>
      <c r="P38" s="2150"/>
      <c r="Q38" s="2150"/>
      <c r="R38" s="2150"/>
      <c r="S38" s="2151"/>
      <c r="T38" s="2192"/>
      <c r="U38" s="2149"/>
      <c r="V38" s="2149"/>
      <c r="W38" s="2149"/>
      <c r="X38" s="2150"/>
      <c r="Y38" s="2150"/>
      <c r="Z38" s="2150"/>
      <c r="AA38" s="2151"/>
    </row>
    <row r="39" spans="1:27" ht="12" customHeight="1" x14ac:dyDescent="0.2">
      <c r="A39" s="2125" t="s">
        <v>528</v>
      </c>
      <c r="B39" s="2126"/>
      <c r="C39" s="69"/>
      <c r="D39" s="66"/>
      <c r="E39" s="66"/>
      <c r="F39" s="76"/>
      <c r="G39" s="66"/>
      <c r="H39" s="53"/>
      <c r="I39" s="2125" t="s">
        <v>528</v>
      </c>
      <c r="J39" s="2126"/>
      <c r="K39" s="2126"/>
      <c r="L39" s="2126"/>
      <c r="M39" s="2126"/>
      <c r="N39" s="64"/>
      <c r="O39" s="69"/>
      <c r="P39" s="69"/>
      <c r="Q39" s="75"/>
      <c r="R39" s="69"/>
      <c r="S39" s="53"/>
      <c r="T39" s="69" t="s">
        <v>528</v>
      </c>
      <c r="U39" s="48"/>
      <c r="V39" s="69"/>
      <c r="W39" s="47"/>
      <c r="X39" s="75"/>
      <c r="Y39" s="43"/>
      <c r="Z39" s="43"/>
      <c r="AA39" s="44"/>
    </row>
    <row r="40" spans="1:27" ht="13.5" customHeight="1" x14ac:dyDescent="0.2">
      <c r="A40" s="2133" t="s">
        <v>2063</v>
      </c>
      <c r="B40" s="2134"/>
      <c r="C40" s="2135"/>
      <c r="D40" s="2135"/>
      <c r="E40" s="2135"/>
      <c r="F40" s="2136"/>
      <c r="G40" s="2136"/>
      <c r="H40" s="2137"/>
      <c r="I40" s="2158"/>
      <c r="J40" s="2159"/>
      <c r="K40" s="2159"/>
      <c r="L40" s="2159"/>
      <c r="M40" s="2159"/>
      <c r="N40" s="2159"/>
      <c r="O40" s="2159"/>
      <c r="P40" s="2159"/>
      <c r="Q40" s="2159"/>
      <c r="R40" s="2159"/>
      <c r="S40" s="2160"/>
      <c r="T40" s="2158"/>
      <c r="U40" s="2212"/>
      <c r="V40" s="2159"/>
      <c r="W40" s="2159"/>
      <c r="X40" s="2159"/>
      <c r="Y40" s="2159"/>
      <c r="Z40" s="2159"/>
      <c r="AA40" s="21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7" t="s">
        <v>2065</v>
      </c>
      <c r="B42" s="2139"/>
      <c r="C42" s="2140"/>
      <c r="D42" s="2138" t="s">
        <v>2066</v>
      </c>
      <c r="E42" s="2139"/>
      <c r="F42" s="2139"/>
      <c r="G42" s="2139"/>
      <c r="H42" s="2140"/>
      <c r="I42" s="2122"/>
      <c r="J42" s="2123"/>
      <c r="K42" s="2123"/>
      <c r="L42" s="2123"/>
      <c r="M42" s="2123"/>
      <c r="N42" s="2123"/>
      <c r="O42" s="2124"/>
      <c r="P42" s="2157"/>
      <c r="Q42" s="2123"/>
      <c r="R42" s="2123"/>
      <c r="S42" s="2124"/>
      <c r="T42" s="2122"/>
      <c r="U42" s="2123"/>
      <c r="V42" s="2123"/>
      <c r="W42" s="2124"/>
      <c r="X42" s="2157"/>
      <c r="Y42" s="2123"/>
      <c r="Z42" s="2123"/>
      <c r="AA42" s="212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52"/>
      <c r="B44" s="2153"/>
      <c r="C44" s="2153"/>
      <c r="D44" s="2153"/>
      <c r="E44" s="2153"/>
      <c r="F44" s="2153"/>
      <c r="G44" s="2153"/>
      <c r="H44" s="2154"/>
      <c r="I44" s="2127"/>
      <c r="J44" s="2128"/>
      <c r="K44" s="2128"/>
      <c r="L44" s="2128"/>
      <c r="M44" s="2128"/>
      <c r="N44" s="2128"/>
      <c r="O44" s="2128"/>
      <c r="P44" s="2128"/>
      <c r="Q44" s="2128"/>
      <c r="R44" s="2128"/>
      <c r="S44" s="2129"/>
      <c r="T44" s="2127"/>
      <c r="U44" s="2146"/>
      <c r="V44" s="2146"/>
      <c r="W44" s="2146"/>
      <c r="X44" s="2146"/>
      <c r="Y44" s="2146"/>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70" t="s">
        <v>1777</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71"/>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1783</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92" t="s">
        <v>625</v>
      </c>
      <c r="B1" s="2390"/>
      <c r="C1" s="585"/>
    </row>
    <row r="2" spans="1:7" ht="33.75" x14ac:dyDescent="0.2">
      <c r="A2" s="2397" t="s">
        <v>1777</v>
      </c>
      <c r="B2" s="239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99" t="s">
        <v>1104</v>
      </c>
      <c r="B3" s="2400"/>
      <c r="C3" s="2393"/>
      <c r="D3" s="2394"/>
      <c r="E3" s="2394"/>
      <c r="F3" s="2395"/>
    </row>
    <row r="4" spans="1:7" ht="12.75" customHeight="1" thickBot="1" x14ac:dyDescent="0.25">
      <c r="A4" s="2387" t="s">
        <v>626</v>
      </c>
      <c r="B4" s="2388"/>
      <c r="C4" s="1656"/>
      <c r="D4" s="1656"/>
      <c r="E4" s="1656"/>
      <c r="F4" s="1732">
        <f>SUM(C4+D4)-E4</f>
        <v>0</v>
      </c>
    </row>
    <row r="5" spans="1:7" ht="15.75" customHeight="1" thickTop="1" x14ac:dyDescent="0.2">
      <c r="A5" s="2391" t="s">
        <v>1101</v>
      </c>
      <c r="B5" s="2386"/>
      <c r="C5" s="2380"/>
      <c r="D5" s="2381"/>
      <c r="E5" s="2381"/>
      <c r="F5" s="238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83" t="s">
        <v>627</v>
      </c>
      <c r="B15" s="2384"/>
      <c r="C15" s="1732">
        <f>SUM(C6:C14)</f>
        <v>0</v>
      </c>
      <c r="D15" s="1732">
        <f>SUM(D6:D14)</f>
        <v>0</v>
      </c>
      <c r="E15" s="1732">
        <f>SUM(E6:E14)</f>
        <v>0</v>
      </c>
      <c r="F15" s="1732">
        <f>SUM(F6:F14)</f>
        <v>0</v>
      </c>
      <c r="G15" s="473"/>
    </row>
    <row r="16" spans="1:7" s="197" customFormat="1" ht="15.75" customHeight="1" thickTop="1" x14ac:dyDescent="0.2">
      <c r="A16" s="2396" t="s">
        <v>1102</v>
      </c>
      <c r="B16" s="2386"/>
      <c r="C16" s="2380"/>
      <c r="D16" s="2381"/>
      <c r="E16" s="2381"/>
      <c r="F16" s="2382"/>
    </row>
    <row r="17" spans="1:11" ht="12.75" customHeight="1" thickBot="1" x14ac:dyDescent="0.25">
      <c r="A17" s="2378" t="s">
        <v>64</v>
      </c>
      <c r="B17" s="2379"/>
      <c r="C17" s="1733"/>
      <c r="D17" s="1664"/>
      <c r="E17" s="1733"/>
      <c r="F17" s="1732">
        <f>SUM(C17+D17)-E17</f>
        <v>0</v>
      </c>
    </row>
    <row r="18" spans="1:11" ht="12.75" customHeight="1" thickTop="1" thickBot="1" x14ac:dyDescent="0.25">
      <c r="A18" s="2378" t="s">
        <v>6</v>
      </c>
      <c r="B18" s="2379"/>
      <c r="C18" s="1733"/>
      <c r="D18" s="1664"/>
      <c r="E18" s="1733"/>
      <c r="F18" s="1732">
        <f>SUM(C18+D18)-E18</f>
        <v>0</v>
      </c>
    </row>
    <row r="19" spans="1:11" ht="12.75" customHeight="1" thickTop="1" thickBot="1" x14ac:dyDescent="0.25">
      <c r="A19" s="2378" t="s">
        <v>385</v>
      </c>
      <c r="B19" s="2379"/>
      <c r="C19" s="1733"/>
      <c r="D19" s="1664"/>
      <c r="E19" s="1733"/>
      <c r="F19" s="1732">
        <f>SUM(C19+D19)-E19</f>
        <v>0</v>
      </c>
    </row>
    <row r="20" spans="1:11" ht="12.75" customHeight="1" thickTop="1" thickBot="1" x14ac:dyDescent="0.25">
      <c r="A20" s="2378" t="s">
        <v>445</v>
      </c>
      <c r="B20" s="2379"/>
      <c r="C20" s="1733"/>
      <c r="D20" s="1664"/>
      <c r="E20" s="1733"/>
      <c r="F20" s="1732">
        <f>SUM(C20+D20)-E20</f>
        <v>0</v>
      </c>
    </row>
    <row r="21" spans="1:11" ht="14.25" thickTop="1" thickBot="1" x14ac:dyDescent="0.25">
      <c r="A21" s="2383" t="s">
        <v>628</v>
      </c>
      <c r="B21" s="2384"/>
      <c r="C21" s="1732">
        <f>SUM(C17:C20)</f>
        <v>0</v>
      </c>
      <c r="D21" s="1732">
        <f>SUM(D17:D20)</f>
        <v>0</v>
      </c>
      <c r="E21" s="1732">
        <f>SUM(E17:E20)</f>
        <v>0</v>
      </c>
      <c r="F21" s="1732">
        <f>SUM(F17:F20)</f>
        <v>0</v>
      </c>
      <c r="G21" s="473"/>
    </row>
    <row r="22" spans="1:11" ht="15.75" customHeight="1" thickTop="1" x14ac:dyDescent="0.2">
      <c r="A22" s="2385" t="s">
        <v>1103</v>
      </c>
      <c r="B22" s="2386"/>
      <c r="C22" s="2380"/>
      <c r="D22" s="2381"/>
      <c r="E22" s="2381"/>
      <c r="F22" s="2382"/>
    </row>
    <row r="23" spans="1:11" ht="13.5" thickBot="1" x14ac:dyDescent="0.25">
      <c r="A23" s="2387" t="s">
        <v>629</v>
      </c>
      <c r="B23" s="2388"/>
      <c r="C23" s="1656"/>
      <c r="D23" s="1656"/>
      <c r="E23" s="1656"/>
      <c r="F23" s="1732">
        <f>SUM(C23+D23)-E23</f>
        <v>0</v>
      </c>
      <c r="G23" s="473"/>
    </row>
    <row r="24" spans="1:11" ht="15.75" customHeight="1" thickTop="1" x14ac:dyDescent="0.2">
      <c r="A24" s="2385" t="s">
        <v>2004</v>
      </c>
      <c r="B24" s="2386"/>
      <c r="C24" s="2380"/>
      <c r="D24" s="2381"/>
      <c r="E24" s="2381"/>
      <c r="F24" s="2382"/>
    </row>
    <row r="25" spans="1:11" ht="13.5" thickBot="1" x14ac:dyDescent="0.25">
      <c r="A25" s="2387" t="s">
        <v>2005</v>
      </c>
      <c r="B25" s="2388"/>
      <c r="C25" s="1656"/>
      <c r="D25" s="1656"/>
      <c r="E25" s="1656"/>
      <c r="F25" s="1732">
        <f>SUM(C25+D25)-E25</f>
        <v>0</v>
      </c>
      <c r="G25" s="473"/>
    </row>
    <row r="26" spans="1:11" ht="15.75" customHeight="1" thickTop="1" x14ac:dyDescent="0.2">
      <c r="A26" s="2391" t="s">
        <v>652</v>
      </c>
      <c r="B26" s="2386"/>
      <c r="C26" s="589"/>
      <c r="D26" s="589"/>
      <c r="E26" s="589"/>
      <c r="F26" s="590"/>
    </row>
    <row r="27" spans="1:11" ht="13.5" thickBot="1" x14ac:dyDescent="0.25">
      <c r="A27" s="2383" t="s">
        <v>1061</v>
      </c>
      <c r="B27" s="2384"/>
      <c r="C27" s="1664"/>
      <c r="D27" s="1664"/>
      <c r="E27" s="1664"/>
      <c r="F27" s="1732">
        <f>SUM(C27+D27)-E27</f>
        <v>0</v>
      </c>
      <c r="G27" s="473"/>
    </row>
    <row r="28" spans="1:11" ht="7.5" customHeight="1" thickTop="1" x14ac:dyDescent="0.2">
      <c r="A28" s="489"/>
    </row>
    <row r="29" spans="1:11" ht="23.25" customHeight="1" x14ac:dyDescent="0.2">
      <c r="A29" s="2389" t="s">
        <v>578</v>
      </c>
      <c r="B29" s="2390"/>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1875</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906</v>
      </c>
      <c r="B52" s="2372" t="s">
        <v>580</v>
      </c>
      <c r="C52" s="2373"/>
      <c r="D52" s="2373"/>
      <c r="E52" s="603" t="s">
        <v>840</v>
      </c>
      <c r="F52" s="2374"/>
      <c r="G52" s="2375"/>
      <c r="H52" s="596"/>
      <c r="I52" s="596"/>
      <c r="J52" s="600"/>
    </row>
    <row r="53" spans="1:11" ht="11.25" customHeight="1" x14ac:dyDescent="0.2">
      <c r="A53" s="604" t="s">
        <v>907</v>
      </c>
      <c r="B53" s="605" t="s">
        <v>945</v>
      </c>
      <c r="C53" s="600"/>
      <c r="D53" s="597"/>
      <c r="E53" s="603" t="s">
        <v>494</v>
      </c>
      <c r="F53" s="2376"/>
      <c r="G53" s="2377"/>
      <c r="H53" s="596"/>
      <c r="I53" s="596"/>
      <c r="J53" s="600"/>
    </row>
    <row r="54" spans="1:11" ht="11.25" customHeight="1" x14ac:dyDescent="0.2">
      <c r="A54" s="606" t="s">
        <v>908</v>
      </c>
      <c r="B54" s="601" t="s">
        <v>946</v>
      </c>
      <c r="C54" s="600"/>
      <c r="D54" s="597"/>
      <c r="E54" s="603" t="s">
        <v>495</v>
      </c>
      <c r="F54" s="2376"/>
      <c r="G54" s="237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01" t="s">
        <v>851</v>
      </c>
      <c r="B1" s="2402"/>
      <c r="C1" s="2402"/>
      <c r="D1" s="2402"/>
      <c r="E1" s="2402"/>
      <c r="F1" s="2402"/>
      <c r="G1" s="2403"/>
      <c r="H1" s="1298"/>
      <c r="I1" s="614"/>
      <c r="J1" s="400"/>
    </row>
    <row r="2" spans="1:11" ht="26.25" x14ac:dyDescent="0.2">
      <c r="A2" s="2420" t="s">
        <v>1658</v>
      </c>
      <c r="B2" s="2421"/>
      <c r="C2" s="2421"/>
      <c r="D2" s="2421"/>
      <c r="E2" s="2422"/>
      <c r="F2" s="615" t="s">
        <v>898</v>
      </c>
      <c r="G2" s="616" t="s">
        <v>1655</v>
      </c>
      <c r="H2" s="616" t="s">
        <v>407</v>
      </c>
      <c r="I2" s="616" t="s">
        <v>1148</v>
      </c>
      <c r="J2" s="616" t="s">
        <v>1787</v>
      </c>
      <c r="K2" s="616" t="s">
        <v>137</v>
      </c>
    </row>
    <row r="3" spans="1:11" x14ac:dyDescent="0.2">
      <c r="A3" s="2423" t="str">
        <f>"Cash Basis Fund Balance as of July 1, "&amp;'AFR20'!E2-1</f>
        <v>Cash Basis Fund Balance as of July 1, 2019</v>
      </c>
      <c r="B3" s="2424"/>
      <c r="C3" s="2424"/>
      <c r="D3" s="2424"/>
      <c r="E3" s="2425"/>
      <c r="F3" s="617"/>
      <c r="G3" s="1744"/>
      <c r="H3" s="1744"/>
      <c r="I3" s="1744"/>
      <c r="J3" s="1745"/>
      <c r="K3" s="1745"/>
    </row>
    <row r="4" spans="1:11" x14ac:dyDescent="0.2">
      <c r="A4" s="2426" t="s">
        <v>366</v>
      </c>
      <c r="B4" s="2427"/>
      <c r="C4" s="2427"/>
      <c r="D4" s="2427"/>
      <c r="E4" s="2373"/>
      <c r="F4" s="620"/>
      <c r="G4" s="1746"/>
      <c r="H4" s="1747"/>
      <c r="I4" s="1746"/>
      <c r="J4" s="1748"/>
      <c r="K4" s="1748"/>
    </row>
    <row r="5" spans="1:11" x14ac:dyDescent="0.2">
      <c r="A5" s="2404" t="s">
        <v>1060</v>
      </c>
      <c r="B5" s="2405"/>
      <c r="C5" s="2405"/>
      <c r="D5" s="2405"/>
      <c r="E5" s="2406"/>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404" t="s">
        <v>1788</v>
      </c>
      <c r="B10" s="2405"/>
      <c r="C10" s="2405"/>
      <c r="D10" s="2405"/>
      <c r="E10" s="2407"/>
      <c r="F10" s="633" t="s">
        <v>857</v>
      </c>
      <c r="G10" s="1753"/>
      <c r="H10" s="1754"/>
      <c r="I10" s="1744"/>
      <c r="J10" s="1745"/>
      <c r="K10" s="1745"/>
    </row>
    <row r="11" spans="1:11" x14ac:dyDescent="0.2">
      <c r="A11" s="2404" t="s">
        <v>159</v>
      </c>
      <c r="B11" s="2405"/>
      <c r="C11" s="2405"/>
      <c r="D11" s="2405"/>
      <c r="E11" s="2406"/>
      <c r="F11" s="622" t="s">
        <v>847</v>
      </c>
      <c r="G11" s="1749"/>
      <c r="H11" s="1744"/>
      <c r="I11" s="1744"/>
      <c r="J11" s="1745"/>
      <c r="K11" s="1751"/>
    </row>
    <row r="12" spans="1:11" ht="13.5" thickBot="1" x14ac:dyDescent="0.25">
      <c r="A12" s="2431" t="s">
        <v>899</v>
      </c>
      <c r="B12" s="2432"/>
      <c r="C12" s="2432"/>
      <c r="D12" s="2432"/>
      <c r="E12" s="2433"/>
      <c r="F12" s="1433"/>
      <c r="G12" s="1755">
        <f>SUM(G5:G11)</f>
        <v>0</v>
      </c>
      <c r="H12" s="1755">
        <f>SUM(H5:H11)</f>
        <v>0</v>
      </c>
      <c r="I12" s="1755">
        <f>SUM(I5:I11)</f>
        <v>0</v>
      </c>
      <c r="J12" s="1755">
        <f>SUM(J5:J11)</f>
        <v>0</v>
      </c>
      <c r="K12" s="1755">
        <f>SUM(K5:K11)</f>
        <v>0</v>
      </c>
    </row>
    <row r="13" spans="1:11" ht="13.5" thickTop="1" x14ac:dyDescent="0.2">
      <c r="A13" s="2428" t="s">
        <v>367</v>
      </c>
      <c r="B13" s="2429"/>
      <c r="C13" s="2429"/>
      <c r="D13" s="2429"/>
      <c r="E13" s="2430"/>
      <c r="F13" s="634"/>
      <c r="G13" s="1756"/>
      <c r="H13" s="1757"/>
      <c r="I13" s="1758"/>
      <c r="J13" s="1758"/>
      <c r="K13" s="1758"/>
    </row>
    <row r="14" spans="1:11" x14ac:dyDescent="0.2">
      <c r="A14" s="2411" t="s">
        <v>453</v>
      </c>
      <c r="B14" s="2411"/>
      <c r="C14" s="2411"/>
      <c r="D14" s="2411"/>
      <c r="E14" s="2412"/>
      <c r="F14" s="635" t="s">
        <v>849</v>
      </c>
      <c r="G14" s="1753"/>
      <c r="H14" s="1744"/>
      <c r="I14" s="1749"/>
      <c r="J14" s="1751"/>
      <c r="K14" s="1745"/>
    </row>
    <row r="15" spans="1:11" x14ac:dyDescent="0.2">
      <c r="A15" s="2405" t="s">
        <v>4</v>
      </c>
      <c r="B15" s="2405"/>
      <c r="C15" s="2405"/>
      <c r="D15" s="2405"/>
      <c r="E15" s="2406"/>
      <c r="F15" s="635" t="s">
        <v>850</v>
      </c>
      <c r="G15" s="1749"/>
      <c r="H15" s="1744"/>
      <c r="I15" s="1744"/>
      <c r="J15" s="1745"/>
      <c r="K15" s="1745"/>
    </row>
    <row r="16" spans="1:11" x14ac:dyDescent="0.2">
      <c r="A16" s="2405" t="s">
        <v>295</v>
      </c>
      <c r="B16" s="2405"/>
      <c r="C16" s="2405"/>
      <c r="D16" s="2405"/>
      <c r="E16" s="2406"/>
      <c r="F16" s="635" t="s">
        <v>917</v>
      </c>
      <c r="G16" s="1750"/>
      <c r="H16" s="1746"/>
      <c r="I16" s="1746"/>
      <c r="J16" s="1748"/>
      <c r="K16" s="1748"/>
    </row>
    <row r="17" spans="1:15" x14ac:dyDescent="0.2">
      <c r="A17" s="2438" t="s">
        <v>929</v>
      </c>
      <c r="B17" s="2438"/>
      <c r="C17" s="2438"/>
      <c r="D17" s="2438"/>
      <c r="E17" s="2439"/>
      <c r="F17" s="636"/>
      <c r="G17" s="1759"/>
      <c r="H17" s="1760"/>
      <c r="I17" s="1760"/>
      <c r="J17" s="1761"/>
      <c r="K17" s="1762"/>
    </row>
    <row r="18" spans="1:15" x14ac:dyDescent="0.2">
      <c r="A18" s="2415" t="s">
        <v>365</v>
      </c>
      <c r="B18" s="2416"/>
      <c r="C18" s="2416"/>
      <c r="D18" s="2416"/>
      <c r="E18" s="2417"/>
      <c r="F18" s="635" t="s">
        <v>926</v>
      </c>
      <c r="G18" s="1753"/>
      <c r="H18" s="1753"/>
      <c r="I18" s="1753"/>
      <c r="J18" s="1745"/>
      <c r="K18" s="1763"/>
    </row>
    <row r="19" spans="1:15" ht="21.75" customHeight="1" x14ac:dyDescent="0.2">
      <c r="A19" s="2413" t="s">
        <v>1784</v>
      </c>
      <c r="B19" s="2413"/>
      <c r="C19" s="2413"/>
      <c r="D19" s="2413"/>
      <c r="E19" s="2414"/>
      <c r="F19" s="635" t="s">
        <v>927</v>
      </c>
      <c r="G19" s="1753"/>
      <c r="H19" s="1753"/>
      <c r="I19" s="1753"/>
      <c r="J19" s="1745"/>
      <c r="K19" s="1763"/>
    </row>
    <row r="20" spans="1:15" x14ac:dyDescent="0.2">
      <c r="A20" s="2415" t="s">
        <v>1789</v>
      </c>
      <c r="B20" s="2416"/>
      <c r="C20" s="2416"/>
      <c r="D20" s="2416"/>
      <c r="E20" s="2417"/>
      <c r="F20" s="635" t="s">
        <v>928</v>
      </c>
      <c r="G20" s="1753"/>
      <c r="H20" s="1753"/>
      <c r="I20" s="1753"/>
      <c r="J20" s="1745"/>
      <c r="K20" s="1763"/>
    </row>
    <row r="21" spans="1:15" ht="13.5" thickBot="1" x14ac:dyDescent="0.25">
      <c r="A21" s="2434" t="s">
        <v>633</v>
      </c>
      <c r="B21" s="2434"/>
      <c r="C21" s="2434"/>
      <c r="D21" s="2434"/>
      <c r="E21" s="2434"/>
      <c r="F21" s="1434"/>
      <c r="G21" s="1760"/>
      <c r="H21" s="1764"/>
      <c r="I21" s="1764"/>
      <c r="J21" s="1765">
        <f>SUM(J18:J20)</f>
        <v>0</v>
      </c>
      <c r="K21" s="1761"/>
    </row>
    <row r="22" spans="1:15" ht="13.5" thickTop="1" x14ac:dyDescent="0.2">
      <c r="A22" s="2405" t="s">
        <v>1790</v>
      </c>
      <c r="B22" s="2405"/>
      <c r="C22" s="2405"/>
      <c r="D22" s="2405"/>
      <c r="E22" s="2406"/>
      <c r="F22" s="635" t="s">
        <v>857</v>
      </c>
      <c r="G22" s="1753"/>
      <c r="H22" s="1744"/>
      <c r="I22" s="1744"/>
      <c r="J22" s="1766"/>
      <c r="K22" s="1745"/>
    </row>
    <row r="23" spans="1:15" ht="13.5" thickBot="1" x14ac:dyDescent="0.25">
      <c r="A23" s="2435" t="s">
        <v>900</v>
      </c>
      <c r="B23" s="2434"/>
      <c r="C23" s="2434"/>
      <c r="D23" s="2434"/>
      <c r="E23" s="2434"/>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436" t="str">
        <f>"Ending Cash Basis Fund Balance as of June 30, "&amp;'AFR20'!E2</f>
        <v>Ending Cash Basis Fund Balance as of June 30, 2020</v>
      </c>
      <c r="B24" s="2437"/>
      <c r="C24" s="2437"/>
      <c r="D24" s="2437"/>
      <c r="E24" s="2437"/>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1874</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08"/>
      <c r="I31" s="2409"/>
      <c r="J31" s="2409"/>
      <c r="K31" s="2409"/>
    </row>
    <row r="32" spans="1:15" x14ac:dyDescent="0.2">
      <c r="A32" s="649"/>
      <c r="B32" s="232"/>
      <c r="C32" s="232"/>
      <c r="D32" s="232"/>
      <c r="E32" s="645"/>
      <c r="F32" s="651" t="s">
        <v>537</v>
      </c>
      <c r="G32" s="618"/>
      <c r="H32" s="2410"/>
      <c r="I32" s="2409"/>
      <c r="J32" s="2409"/>
      <c r="K32" s="2409"/>
    </row>
    <row r="33" spans="1:11" ht="1.5" customHeight="1" x14ac:dyDescent="0.2">
      <c r="A33" s="652" t="s">
        <v>1159</v>
      </c>
      <c r="B33" s="341"/>
      <c r="C33" s="341"/>
      <c r="D33" s="341"/>
      <c r="E33" s="341"/>
      <c r="F33" s="341"/>
      <c r="G33" s="653"/>
      <c r="H33" s="2410"/>
      <c r="I33" s="2409"/>
      <c r="J33" s="2409"/>
      <c r="K33" s="2409"/>
    </row>
    <row r="34" spans="1:11" x14ac:dyDescent="0.2">
      <c r="A34" s="654" t="s">
        <v>1791</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05" t="s">
        <v>538</v>
      </c>
      <c r="B41" s="2418"/>
      <c r="C41" s="2418"/>
      <c r="D41" s="2418"/>
      <c r="E41" s="2418"/>
      <c r="F41" s="241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1785</v>
      </c>
      <c r="B46" s="382" t="s">
        <v>1656</v>
      </c>
    </row>
    <row r="47" spans="1:11" s="663" customFormat="1" ht="12.75" customHeight="1" x14ac:dyDescent="0.2">
      <c r="A47" s="661"/>
      <c r="B47" s="662" t="s">
        <v>1657</v>
      </c>
      <c r="E47" s="662"/>
      <c r="K47" s="664"/>
    </row>
    <row r="48" spans="1:11" ht="12.75" customHeight="1" x14ac:dyDescent="0.2">
      <c r="A48" s="1300" t="s">
        <v>1786</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42" t="s">
        <v>1873</v>
      </c>
      <c r="B1" s="2443"/>
      <c r="C1" s="2444"/>
      <c r="D1" s="666"/>
      <c r="E1" s="667"/>
      <c r="F1" s="667"/>
      <c r="G1" s="668"/>
      <c r="H1" s="669"/>
      <c r="I1" s="670"/>
      <c r="J1" s="2440"/>
      <c r="K1" s="2441"/>
      <c r="L1" s="244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515570</v>
      </c>
      <c r="D8" s="1771"/>
      <c r="E8" s="1771"/>
      <c r="F8" s="1765">
        <f>(C8+D8)-E8</f>
        <v>515570</v>
      </c>
      <c r="G8" s="681">
        <v>50</v>
      </c>
      <c r="H8" s="619">
        <v>155566</v>
      </c>
      <c r="I8" s="619">
        <v>10311</v>
      </c>
      <c r="J8" s="619"/>
      <c r="K8" s="1442">
        <f>(H8+I8)-J8</f>
        <v>165877</v>
      </c>
      <c r="L8" s="1442">
        <f>F8-K8</f>
        <v>349693</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60666</v>
      </c>
      <c r="D12" s="1771"/>
      <c r="E12" s="1771"/>
      <c r="F12" s="1765">
        <f>(C12+D12)-E12</f>
        <v>60666</v>
      </c>
      <c r="G12" s="681">
        <v>10</v>
      </c>
      <c r="H12" s="619">
        <v>52693</v>
      </c>
      <c r="I12" s="619">
        <v>3382</v>
      </c>
      <c r="J12" s="619"/>
      <c r="K12" s="1442">
        <f>(H12+I12)-J12</f>
        <v>56075</v>
      </c>
      <c r="L12" s="1442">
        <f>F12-K12</f>
        <v>4591</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576236</v>
      </c>
      <c r="D16" s="1765">
        <f>SUM(D3,D5:D6,D8:D10,D12:D15)</f>
        <v>0</v>
      </c>
      <c r="E16" s="1765">
        <f>SUM(E3,E5:E6,E8:E10,E12:E15)</f>
        <v>0</v>
      </c>
      <c r="F16" s="1765">
        <f>SUM(F3,F5:F6,F8:F10,F12:F15)</f>
        <v>576236</v>
      </c>
      <c r="G16" s="681"/>
      <c r="H16" s="1435">
        <f>SUM(H3,H6,H8:H10,H12:H14,)</f>
        <v>208259</v>
      </c>
      <c r="I16" s="1435">
        <f>SUM(I3,I6,I8:I10,I12:I14,)</f>
        <v>13693</v>
      </c>
      <c r="J16" s="1435">
        <f>SUM(J3,J6,J8:J10,J12:J14,)</f>
        <v>0</v>
      </c>
      <c r="K16" s="1435">
        <f>(H16+I16)-J16</f>
        <v>221952</v>
      </c>
      <c r="L16" s="1435">
        <f>F16-K16</f>
        <v>354284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69941</v>
      </c>
      <c r="G17" s="676">
        <v>10</v>
      </c>
      <c r="H17" s="621"/>
      <c r="I17" s="1442">
        <f>F17/G17</f>
        <v>6994.1</v>
      </c>
      <c r="J17" s="621"/>
      <c r="K17" s="638"/>
      <c r="L17" s="638"/>
    </row>
    <row r="18" spans="1:12" ht="14.25" thickTop="1" thickBot="1" x14ac:dyDescent="0.25">
      <c r="A18" s="1440" t="s">
        <v>680</v>
      </c>
      <c r="B18" s="1441"/>
      <c r="C18" s="623"/>
      <c r="D18" s="623"/>
      <c r="E18" s="623"/>
      <c r="F18" s="686"/>
      <c r="G18" s="687"/>
      <c r="H18" s="624"/>
      <c r="I18" s="1435">
        <f>SUM(I16,I17)</f>
        <v>20687.099999999999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48" t="str">
        <f>"ESTIMATED OPERATING EXPENSE PER PUPIL (OEPP)/PER CAPITA TUITION CHARGE (PCTC) COMPUTATIONS ("&amp;'AFR20'!E2-1&amp;" - "&amp;'AFR20'!E2&amp;")"</f>
        <v>ESTIMATED OPERATING EXPENSE PER PUPIL (OEPP)/PER CAPITA TUITION CHARGE (PCTC) COMPUTATIONS (2019 - 2020)</v>
      </c>
      <c r="B1" s="2449"/>
      <c r="C1" s="2449"/>
      <c r="D1" s="2449"/>
      <c r="E1" s="2449"/>
      <c r="F1" s="2450"/>
      <c r="G1" s="691"/>
      <c r="I1" s="701"/>
    </row>
    <row r="2" spans="1:9" ht="15" customHeight="1" thickBot="1" x14ac:dyDescent="0.25">
      <c r="A2" s="2451" t="s">
        <v>474</v>
      </c>
      <c r="B2" s="2452"/>
      <c r="C2" s="2452"/>
      <c r="D2" s="2452"/>
      <c r="E2" s="2452"/>
      <c r="F2" s="245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54"/>
      <c r="B5" s="2455"/>
      <c r="C5" s="2455"/>
      <c r="D5" s="2455"/>
      <c r="E5" s="2455"/>
      <c r="F5" s="2455"/>
    </row>
    <row r="6" spans="1:9" ht="13.5" customHeight="1" thickBot="1" x14ac:dyDescent="0.25">
      <c r="A6" s="2445" t="s">
        <v>1095</v>
      </c>
      <c r="B6" s="2446"/>
      <c r="C6" s="2446"/>
      <c r="D6" s="2446"/>
      <c r="E6" s="2446"/>
      <c r="F6" s="244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8492230</v>
      </c>
      <c r="G8" s="701"/>
    </row>
    <row r="9" spans="1:9" x14ac:dyDescent="0.2">
      <c r="A9" s="705" t="s">
        <v>457</v>
      </c>
      <c r="B9" s="706" t="s">
        <v>1846</v>
      </c>
      <c r="C9" s="707"/>
      <c r="D9" s="705" t="s">
        <v>498</v>
      </c>
      <c r="E9" s="704"/>
      <c r="F9" s="1775">
        <f>'Expenditures 15-22'!K151</f>
        <v>0</v>
      </c>
      <c r="G9" s="708"/>
    </row>
    <row r="10" spans="1:9" x14ac:dyDescent="0.2">
      <c r="A10" s="705" t="s">
        <v>496</v>
      </c>
      <c r="B10" s="706" t="s">
        <v>1847</v>
      </c>
      <c r="C10" s="707"/>
      <c r="D10" s="705" t="s">
        <v>498</v>
      </c>
      <c r="E10" s="704"/>
      <c r="F10" s="1775">
        <f>'Expenditures 15-22'!K174</f>
        <v>0</v>
      </c>
      <c r="G10" s="708"/>
    </row>
    <row r="11" spans="1:9" x14ac:dyDescent="0.2">
      <c r="A11" s="705" t="s">
        <v>458</v>
      </c>
      <c r="B11" s="706" t="s">
        <v>1848</v>
      </c>
      <c r="C11" s="707"/>
      <c r="D11" s="705" t="s">
        <v>498</v>
      </c>
      <c r="E11" s="704"/>
      <c r="F11" s="1775">
        <f>'Expenditures 15-22'!K210</f>
        <v>0</v>
      </c>
      <c r="G11" s="708"/>
    </row>
    <row r="12" spans="1:9" x14ac:dyDescent="0.2">
      <c r="A12" s="705" t="s">
        <v>459</v>
      </c>
      <c r="B12" s="706" t="s">
        <v>1849</v>
      </c>
      <c r="C12" s="707"/>
      <c r="D12" s="705" t="s">
        <v>498</v>
      </c>
      <c r="E12" s="704"/>
      <c r="F12" s="1775">
        <f>'Expenditures 15-22'!K295</f>
        <v>0</v>
      </c>
      <c r="G12" s="708"/>
    </row>
    <row r="13" spans="1:9" x14ac:dyDescent="0.2">
      <c r="A13" s="705" t="s">
        <v>106</v>
      </c>
      <c r="B13" s="706" t="s">
        <v>1850</v>
      </c>
      <c r="C13" s="707"/>
      <c r="D13" s="705" t="s">
        <v>498</v>
      </c>
      <c r="E13" s="704"/>
      <c r="F13" s="1775">
        <f>'Expenditures 15-22'!K342</f>
        <v>56259</v>
      </c>
      <c r="G13" s="709"/>
    </row>
    <row r="14" spans="1:9" ht="12" customHeight="1" thickBot="1" x14ac:dyDescent="0.25">
      <c r="A14" s="1443"/>
      <c r="B14" s="1444"/>
      <c r="C14" s="1445"/>
      <c r="D14" s="1446" t="s">
        <v>498</v>
      </c>
      <c r="E14" s="1447" t="s">
        <v>952</v>
      </c>
      <c r="F14" s="1776">
        <f>SUM(F8:F13)</f>
        <v>8548489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1904</v>
      </c>
      <c r="C30" s="716">
        <f>'Revenues 9-14'!B150</f>
        <v>3499</v>
      </c>
      <c r="D30" s="717" t="str">
        <f>'Revenues 9-14'!A150</f>
        <v>Adult Ed - Other (Describe &amp; Itemize)</v>
      </c>
      <c r="E30" s="704"/>
      <c r="F30" s="1783">
        <f>('Revenues 9-14'!D150+'Revenues 9-14'!F150)</f>
        <v>0</v>
      </c>
      <c r="G30" s="701"/>
    </row>
    <row r="31" spans="1:7" x14ac:dyDescent="0.2">
      <c r="A31" s="705" t="s">
        <v>1088</v>
      </c>
      <c r="B31" s="706" t="s">
        <v>1905</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1906</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1907</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400523</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5699</v>
      </c>
      <c r="G52" s="701"/>
    </row>
    <row r="53" spans="1:7" x14ac:dyDescent="0.2">
      <c r="A53" s="705" t="s">
        <v>456</v>
      </c>
      <c r="B53" s="705" t="s">
        <v>1458</v>
      </c>
      <c r="C53" s="724">
        <f>'Expenditures 15-22'!B102</f>
        <v>4000</v>
      </c>
      <c r="D53" s="723" t="str">
        <f>'Expenditures 15-22'!A102</f>
        <v>Total Payments to Other Govt Units</v>
      </c>
      <c r="E53" s="704"/>
      <c r="F53" s="1782">
        <f>'Expenditures 15-22'!K102</f>
        <v>138701</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69941</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1851</v>
      </c>
      <c r="C57" s="724">
        <f>'Expenditures 15-22'!B139</f>
        <v>4000</v>
      </c>
      <c r="D57" s="722" t="str">
        <f>'Expenditures 15-22'!A139</f>
        <v>Total Payments to Other Govt Units</v>
      </c>
      <c r="E57" s="704"/>
      <c r="F57" s="1782">
        <f>'Expenditures 15-22'!K139</f>
        <v>0</v>
      </c>
      <c r="G57" s="701"/>
    </row>
    <row r="58" spans="1:7" x14ac:dyDescent="0.2">
      <c r="A58" s="705" t="s">
        <v>457</v>
      </c>
      <c r="B58" s="705" t="s">
        <v>1852</v>
      </c>
      <c r="C58" s="721" t="s">
        <v>975</v>
      </c>
      <c r="D58" s="720" t="s">
        <v>1086</v>
      </c>
      <c r="E58" s="704"/>
      <c r="F58" s="1784">
        <f>'Expenditures 15-22'!G151</f>
        <v>0</v>
      </c>
      <c r="G58" s="701"/>
    </row>
    <row r="59" spans="1:7" x14ac:dyDescent="0.2">
      <c r="A59" s="728" t="s">
        <v>457</v>
      </c>
      <c r="B59" s="692" t="s">
        <v>1853</v>
      </c>
      <c r="C59" s="729" t="s">
        <v>975</v>
      </c>
      <c r="D59" s="692" t="s">
        <v>288</v>
      </c>
      <c r="F59" s="1785">
        <f>'Expenditures 15-22'!I151</f>
        <v>0</v>
      </c>
      <c r="G59" s="701"/>
    </row>
    <row r="60" spans="1:7" x14ac:dyDescent="0.2">
      <c r="A60" s="728" t="s">
        <v>496</v>
      </c>
      <c r="B60" s="692" t="s">
        <v>1854</v>
      </c>
      <c r="C60" s="729">
        <v>4000</v>
      </c>
      <c r="D60" s="692" t="s">
        <v>309</v>
      </c>
      <c r="F60" s="1783">
        <f>'Expenditures 15-22'!K160</f>
        <v>0</v>
      </c>
      <c r="G60" s="701"/>
    </row>
    <row r="61" spans="1:7" x14ac:dyDescent="0.2">
      <c r="A61" s="730" t="s">
        <v>496</v>
      </c>
      <c r="B61" s="730" t="s">
        <v>1855</v>
      </c>
      <c r="C61" s="731" t="str">
        <f>'Expenditures 15-22'!B170</f>
        <v>5300</v>
      </c>
      <c r="D61" s="732" t="s">
        <v>308</v>
      </c>
      <c r="E61" s="715"/>
      <c r="F61" s="1782">
        <f>'Expenditures 15-22'!K170</f>
        <v>0</v>
      </c>
      <c r="G61" s="701"/>
    </row>
    <row r="62" spans="1:7" x14ac:dyDescent="0.2">
      <c r="A62" s="705" t="s">
        <v>458</v>
      </c>
      <c r="B62" s="705" t="s">
        <v>1856</v>
      </c>
      <c r="C62" s="721">
        <f>'Expenditures 15-22'!B185</f>
        <v>3000</v>
      </c>
      <c r="D62" s="712" t="s">
        <v>446</v>
      </c>
      <c r="E62" s="704"/>
      <c r="F62" s="1782">
        <f>'Expenditures 15-22'!K185-SUM('Expenditures 15-22'!G185,'Expenditures 15-22'!I185)</f>
        <v>0</v>
      </c>
      <c r="G62" s="701"/>
    </row>
    <row r="63" spans="1:7" x14ac:dyDescent="0.2">
      <c r="A63" s="705" t="s">
        <v>458</v>
      </c>
      <c r="B63" s="705" t="s">
        <v>1857</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1858</v>
      </c>
      <c r="C64" s="731" t="str">
        <f>'Expenditures 15-22'!B206</f>
        <v>5300</v>
      </c>
      <c r="D64" s="727" t="s">
        <v>308</v>
      </c>
      <c r="E64" s="704"/>
      <c r="F64" s="1782">
        <f>'Expenditures 15-22'!K206</f>
        <v>0</v>
      </c>
      <c r="G64" s="701"/>
    </row>
    <row r="65" spans="1:9" x14ac:dyDescent="0.2">
      <c r="A65" s="705" t="s">
        <v>458</v>
      </c>
      <c r="B65" s="705" t="s">
        <v>1859</v>
      </c>
      <c r="C65" s="721" t="s">
        <v>975</v>
      </c>
      <c r="D65" s="720" t="s">
        <v>1086</v>
      </c>
      <c r="E65" s="704"/>
      <c r="F65" s="1782">
        <f>'Expenditures 15-22'!G210</f>
        <v>0</v>
      </c>
      <c r="G65" s="701"/>
    </row>
    <row r="66" spans="1:9" x14ac:dyDescent="0.2">
      <c r="A66" s="705" t="s">
        <v>458</v>
      </c>
      <c r="B66" s="705" t="s">
        <v>1860</v>
      </c>
      <c r="C66" s="721" t="s">
        <v>975</v>
      </c>
      <c r="D66" s="720" t="s">
        <v>288</v>
      </c>
      <c r="E66" s="704"/>
      <c r="F66" s="1782">
        <f>'Expenditures 15-22'!I210</f>
        <v>0</v>
      </c>
      <c r="G66" s="701"/>
    </row>
    <row r="67" spans="1:9" x14ac:dyDescent="0.2">
      <c r="A67" s="705" t="s">
        <v>459</v>
      </c>
      <c r="B67" s="705" t="s">
        <v>1861</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1862</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1863</v>
      </c>
      <c r="C70" s="721">
        <f>'Expenditures 15-22'!B221</f>
        <v>1300</v>
      </c>
      <c r="D70" s="722" t="str">
        <f>'Expenditures 15-22'!A221</f>
        <v>Adult/Continuing Education Programs</v>
      </c>
      <c r="E70" s="704"/>
      <c r="F70" s="1782">
        <f>'Expenditures 15-22'!K221</f>
        <v>0</v>
      </c>
      <c r="G70" s="701"/>
    </row>
    <row r="71" spans="1:9" x14ac:dyDescent="0.2">
      <c r="A71" s="705" t="s">
        <v>459</v>
      </c>
      <c r="B71" s="705" t="s">
        <v>1864</v>
      </c>
      <c r="C71" s="721">
        <f>'Expenditures 15-22'!B224</f>
        <v>1600</v>
      </c>
      <c r="D71" s="722" t="str">
        <f>'Expenditures 15-22'!A224</f>
        <v>Summer School Programs</v>
      </c>
      <c r="E71" s="704"/>
      <c r="F71" s="1782">
        <f>'Expenditures 15-22'!K224</f>
        <v>0</v>
      </c>
      <c r="G71" s="701"/>
    </row>
    <row r="72" spans="1:9" x14ac:dyDescent="0.2">
      <c r="A72" s="705" t="s">
        <v>459</v>
      </c>
      <c r="B72" s="705" t="s">
        <v>1865</v>
      </c>
      <c r="C72" s="721">
        <f>'Expenditures 15-22'!B280</f>
        <v>3000</v>
      </c>
      <c r="D72" s="712" t="s">
        <v>446</v>
      </c>
      <c r="E72" s="704"/>
      <c r="F72" s="1782">
        <f>'Expenditures 15-22'!K280</f>
        <v>0</v>
      </c>
      <c r="G72" s="701"/>
    </row>
    <row r="73" spans="1:9" x14ac:dyDescent="0.2">
      <c r="A73" s="705" t="s">
        <v>459</v>
      </c>
      <c r="B73" s="705" t="s">
        <v>1866</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1867</v>
      </c>
      <c r="C74" s="721" t="s">
        <v>855</v>
      </c>
      <c r="D74" s="722" t="s">
        <v>1470</v>
      </c>
      <c r="E74" s="704"/>
      <c r="F74" s="1786">
        <f>'Expenditures 15-22'!K334</f>
        <v>0</v>
      </c>
      <c r="G74" s="701"/>
    </row>
    <row r="75" spans="1:9" x14ac:dyDescent="0.2">
      <c r="A75" s="705" t="s">
        <v>2006</v>
      </c>
      <c r="B75" s="705" t="s">
        <v>2007</v>
      </c>
      <c r="C75" s="721" t="s">
        <v>975</v>
      </c>
      <c r="D75" s="722" t="s">
        <v>1086</v>
      </c>
      <c r="E75" s="704"/>
      <c r="F75" s="1786">
        <f>'Expenditures 15-22'!G342</f>
        <v>0</v>
      </c>
      <c r="G75" s="701"/>
    </row>
    <row r="76" spans="1:9" ht="10.5" customHeight="1" x14ac:dyDescent="0.2">
      <c r="A76" s="701" t="s">
        <v>433</v>
      </c>
      <c r="B76" s="705" t="s">
        <v>2008</v>
      </c>
      <c r="C76" s="711" t="s">
        <v>975</v>
      </c>
      <c r="D76" s="701" t="s">
        <v>288</v>
      </c>
      <c r="E76" s="704"/>
      <c r="F76" s="1786">
        <f>'Expenditures 15-22'!I342</f>
        <v>0</v>
      </c>
      <c r="G76" s="703"/>
    </row>
    <row r="77" spans="1:9" ht="12" thickBot="1" x14ac:dyDescent="0.25">
      <c r="A77" s="1443"/>
      <c r="B77" s="1448"/>
      <c r="C77" s="1445"/>
      <c r="D77" s="1449" t="s">
        <v>2009</v>
      </c>
      <c r="E77" s="1447" t="s">
        <v>952</v>
      </c>
      <c r="F77" s="1787">
        <f>SUM(F18:F76)</f>
        <v>614864</v>
      </c>
      <c r="G77" s="701"/>
    </row>
    <row r="78" spans="1:9" s="728" customFormat="1" ht="12" customHeight="1" thickTop="1" thickBot="1" x14ac:dyDescent="0.25">
      <c r="A78" s="1450"/>
      <c r="B78" s="1448"/>
      <c r="C78" s="1445"/>
      <c r="D78" s="1449" t="s">
        <v>2010</v>
      </c>
      <c r="E78" s="1447"/>
      <c r="F78" s="1788">
        <f>(F14-F77)</f>
        <v>7933625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2011</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445" t="s">
        <v>1096</v>
      </c>
      <c r="B82" s="2446"/>
      <c r="C82" s="2446"/>
      <c r="D82" s="2446"/>
      <c r="E82" s="2446"/>
      <c r="F82" s="244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3351</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1908</v>
      </c>
      <c r="C106" s="746">
        <v>3100</v>
      </c>
      <c r="D106" s="752" t="str">
        <f>'Revenues 9-14'!A132</f>
        <v>Total Special Education</v>
      </c>
      <c r="E106" s="739"/>
      <c r="F106" s="1793">
        <f>SUM('Revenues 9-14'!C132:D132,'Revenues 9-14'!F132)</f>
        <v>0</v>
      </c>
      <c r="G106" s="745"/>
    </row>
    <row r="107" spans="1:7" x14ac:dyDescent="0.2">
      <c r="A107" s="741" t="s">
        <v>668</v>
      </c>
      <c r="B107" s="741" t="s">
        <v>1909</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1910</v>
      </c>
      <c r="C108" s="753">
        <v>3300</v>
      </c>
      <c r="D108" s="744" t="str">
        <f>'Revenues 9-14'!A145</f>
        <v>Total Bilingual Ed</v>
      </c>
      <c r="E108" s="739"/>
      <c r="F108" s="1793">
        <f>SUM('Revenues 9-14'!C145,'Revenues 9-14'!G145)</f>
        <v>0</v>
      </c>
      <c r="G108" s="745"/>
    </row>
    <row r="109" spans="1:7" x14ac:dyDescent="0.2">
      <c r="A109" s="741" t="s">
        <v>456</v>
      </c>
      <c r="B109" s="741" t="s">
        <v>1911</v>
      </c>
      <c r="C109" s="753">
        <f>'Revenues 9-14'!B146</f>
        <v>3360</v>
      </c>
      <c r="D109" s="744" t="str">
        <f>'Revenues 9-14'!A146</f>
        <v>State Free Lunch &amp; Breakfast</v>
      </c>
      <c r="E109" s="739"/>
      <c r="F109" s="1793">
        <f>'Revenues 9-14'!C146</f>
        <v>578</v>
      </c>
      <c r="G109" s="745"/>
    </row>
    <row r="110" spans="1:7" x14ac:dyDescent="0.2">
      <c r="A110" s="741" t="s">
        <v>668</v>
      </c>
      <c r="B110" s="741" t="s">
        <v>1912</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93">
        <f>SUM('Revenues 9-14'!C148,'Revenues 9-14'!D148)</f>
        <v>0</v>
      </c>
      <c r="G111" s="745"/>
    </row>
    <row r="112" spans="1:7" x14ac:dyDescent="0.2">
      <c r="A112" s="741" t="s">
        <v>663</v>
      </c>
      <c r="B112" s="741" t="s">
        <v>1914</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1915</v>
      </c>
      <c r="C113" s="753">
        <f>'Revenues 9-14'!B156</f>
        <v>3610</v>
      </c>
      <c r="D113" s="744" t="str">
        <f>'Revenues 9-14'!A156</f>
        <v>Learning Improvement - Change Grants</v>
      </c>
      <c r="E113" s="739"/>
      <c r="F113" s="1793">
        <f>'Revenues 9-14'!C156</f>
        <v>0</v>
      </c>
      <c r="G113" s="745"/>
    </row>
    <row r="114" spans="1:7" x14ac:dyDescent="0.2">
      <c r="A114" s="741" t="s">
        <v>663</v>
      </c>
      <c r="B114" s="741" t="s">
        <v>1916</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1918</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1919</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1920</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1921</v>
      </c>
      <c r="C119" s="757">
        <f>'Revenues 9-14'!B163</f>
        <v>3780</v>
      </c>
      <c r="D119" s="758" t="str">
        <f>'Revenues 9-14'!A163</f>
        <v>Technology - Technology for Success</v>
      </c>
      <c r="E119" s="739"/>
      <c r="F119" s="1792">
        <f>SUM('Revenues 9-14'!C163:G163)</f>
        <v>0</v>
      </c>
      <c r="G119" s="745"/>
    </row>
    <row r="120" spans="1:7" x14ac:dyDescent="0.2">
      <c r="A120" s="756" t="s">
        <v>501</v>
      </c>
      <c r="B120" s="756" t="s">
        <v>1922</v>
      </c>
      <c r="C120" s="757">
        <f>'Revenues 9-14'!B164</f>
        <v>3815</v>
      </c>
      <c r="D120" s="758" t="str">
        <f>'Revenues 9-14'!A164</f>
        <v>State Charter Schools</v>
      </c>
      <c r="E120" s="739"/>
      <c r="F120" s="1792">
        <f>SUM('Revenues 9-14'!C164,'Revenues 9-14'!F164)</f>
        <v>0</v>
      </c>
      <c r="G120" s="745"/>
    </row>
    <row r="121" spans="1:7" x14ac:dyDescent="0.2">
      <c r="A121" s="760" t="s">
        <v>457</v>
      </c>
      <c r="B121" s="760" t="s">
        <v>1923</v>
      </c>
      <c r="C121" s="761">
        <f>'Revenues 9-14'!B167</f>
        <v>3925</v>
      </c>
      <c r="D121" s="762" t="str">
        <f>'Revenues 9-14'!A167</f>
        <v>School Infrastructure - Maintenance Projects</v>
      </c>
      <c r="E121" s="739"/>
      <c r="F121" s="1793">
        <f>'Revenues 9-14'!D167</f>
        <v>0</v>
      </c>
      <c r="G121" s="763"/>
    </row>
    <row r="122" spans="1:7" x14ac:dyDescent="0.2">
      <c r="A122" s="760" t="s">
        <v>497</v>
      </c>
      <c r="B122" s="760" t="s">
        <v>1924</v>
      </c>
      <c r="C122" s="761">
        <f>'Revenues 9-14'!B168</f>
        <v>3999</v>
      </c>
      <c r="D122" s="762" t="s">
        <v>540</v>
      </c>
      <c r="E122" s="764"/>
      <c r="F122" s="1793">
        <f>SUM('Revenues 9-14'!C168:G168,'Revenues 9-14'!J168)</f>
        <v>0</v>
      </c>
      <c r="G122" s="763"/>
    </row>
    <row r="123" spans="1:7" x14ac:dyDescent="0.2">
      <c r="A123" s="760" t="s">
        <v>456</v>
      </c>
      <c r="B123" s="760" t="s">
        <v>1925</v>
      </c>
      <c r="C123" s="765">
        <f>'Revenues 9-14'!B177</f>
        <v>4045</v>
      </c>
      <c r="D123" s="762" t="str">
        <f>'Revenues 9-14'!A177 &amp; " (Subtract)"</f>
        <v>Head Start (Subtract)</v>
      </c>
      <c r="E123" s="739"/>
      <c r="F123" s="1793">
        <f>SUM(-'Revenues 9-14'!C177)</f>
        <v>0</v>
      </c>
      <c r="G123" s="763"/>
    </row>
    <row r="124" spans="1:7" x14ac:dyDescent="0.2">
      <c r="A124" s="760" t="s">
        <v>663</v>
      </c>
      <c r="B124" s="760" t="s">
        <v>1926</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1927</v>
      </c>
      <c r="C125" s="765">
        <v>4100</v>
      </c>
      <c r="D125" s="766" t="str">
        <f>'Revenues 9-14'!A188</f>
        <v>Total Title V</v>
      </c>
      <c r="E125" s="739"/>
      <c r="F125" s="1793">
        <f>SUM('Revenues 9-14'!C188,'Revenues 9-14'!D188,'Revenues 9-14'!F188,'Revenues 9-14'!G188)</f>
        <v>0</v>
      </c>
      <c r="G125" s="763"/>
    </row>
    <row r="126" spans="1:7" x14ac:dyDescent="0.2">
      <c r="A126" s="760" t="s">
        <v>659</v>
      </c>
      <c r="B126" s="760" t="s">
        <v>1928</v>
      </c>
      <c r="C126" s="765">
        <v>4200</v>
      </c>
      <c r="D126" s="762" t="str">
        <f>'Revenues 9-14'!A198</f>
        <v>Total Food Service</v>
      </c>
      <c r="E126" s="739"/>
      <c r="F126" s="1793">
        <f>SUM('Revenues 9-14'!C198,'Revenues 9-14'!G198)</f>
        <v>30460</v>
      </c>
      <c r="G126" s="763"/>
    </row>
    <row r="127" spans="1:7" x14ac:dyDescent="0.2">
      <c r="A127" s="760" t="s">
        <v>663</v>
      </c>
      <c r="B127" s="760" t="s">
        <v>1929</v>
      </c>
      <c r="C127" s="765">
        <v>4300</v>
      </c>
      <c r="D127" s="766" t="str">
        <f>'Revenues 9-14'!A204</f>
        <v>Total Title I</v>
      </c>
      <c r="E127" s="739"/>
      <c r="F127" s="1793">
        <f>SUM('Revenues 9-14'!C204,'Revenues 9-14'!D204,'Revenues 9-14'!F204,'Revenues 9-14'!G204)</f>
        <v>0</v>
      </c>
      <c r="G127" s="763"/>
    </row>
    <row r="128" spans="1:7" x14ac:dyDescent="0.2">
      <c r="A128" s="760" t="s">
        <v>663</v>
      </c>
      <c r="B128" s="760" t="s">
        <v>1930</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1931</v>
      </c>
      <c r="C129" s="765">
        <f>'Revenues 9-14'!B213</f>
        <v>4620</v>
      </c>
      <c r="D129" s="766" t="str">
        <f>'Revenues 9-14'!A213</f>
        <v>Fed - Spec Education - IDEA - Flow Through</v>
      </c>
      <c r="E129" s="739"/>
      <c r="F129" s="1793">
        <f>SUM('Revenues 9-14'!C213:D213,'Revenues 9-14'!F213:G213)</f>
        <v>1858527</v>
      </c>
      <c r="G129" s="763"/>
    </row>
    <row r="130" spans="1:7" x14ac:dyDescent="0.2">
      <c r="A130" s="760" t="s">
        <v>663</v>
      </c>
      <c r="B130" s="760" t="s">
        <v>1932</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1933</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1934</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93">
        <v>0</v>
      </c>
      <c r="G139" s="738"/>
    </row>
    <row r="140" spans="1:7" s="703" customFormat="1" hidden="1" x14ac:dyDescent="0.2">
      <c r="A140" s="767" t="s">
        <v>204</v>
      </c>
      <c r="B140" s="767" t="s">
        <v>1941</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1944</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1949</v>
      </c>
      <c r="C158" s="773" t="s">
        <v>836</v>
      </c>
      <c r="D158" s="774" t="s">
        <v>772</v>
      </c>
      <c r="E158" s="775"/>
      <c r="F158" s="1793">
        <f>SUM(F134:F157)</f>
        <v>0</v>
      </c>
      <c r="G158" s="738"/>
    </row>
    <row r="159" spans="1:7" s="703" customFormat="1" x14ac:dyDescent="0.2">
      <c r="A159" s="771" t="s">
        <v>456</v>
      </c>
      <c r="B159" s="772" t="s">
        <v>1950</v>
      </c>
      <c r="C159" s="773" t="s">
        <v>1410</v>
      </c>
      <c r="D159" s="774" t="s">
        <v>1411</v>
      </c>
      <c r="E159" s="775"/>
      <c r="F159" s="1793">
        <f>SUM('Revenues 9-14'!C253)</f>
        <v>0</v>
      </c>
      <c r="G159" s="738"/>
    </row>
    <row r="160" spans="1:7" s="703" customFormat="1" x14ac:dyDescent="0.2">
      <c r="A160" s="771" t="s">
        <v>497</v>
      </c>
      <c r="B160" s="772" t="s">
        <v>1951</v>
      </c>
      <c r="C160" s="773" t="s">
        <v>1449</v>
      </c>
      <c r="D160" s="774" t="s">
        <v>1450</v>
      </c>
      <c r="E160" s="775"/>
      <c r="F160" s="1793">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1954</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1955</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1956</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1957</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1902</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1903</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1958</v>
      </c>
      <c r="C169" s="765">
        <f>'Revenues 9-14'!B263</f>
        <v>4991</v>
      </c>
      <c r="D169" s="766" t="str">
        <f>'Revenues 9-14'!A263</f>
        <v>Medicaid Matching Funds - Administrative Outreach</v>
      </c>
      <c r="E169" s="739"/>
      <c r="F169" s="1793">
        <f>SUM('Revenues 9-14'!C263:D263,'Revenues 9-14'!F263:G263)</f>
        <v>81391</v>
      </c>
      <c r="G169" s="780">
        <v>6320</v>
      </c>
    </row>
    <row r="170" spans="1:7" x14ac:dyDescent="0.2">
      <c r="A170" s="760" t="s">
        <v>663</v>
      </c>
      <c r="B170" s="760" t="s">
        <v>1959</v>
      </c>
      <c r="C170" s="765">
        <f>'Revenues 9-14'!B264</f>
        <v>4992</v>
      </c>
      <c r="D170" s="766" t="str">
        <f>'Revenues 9-14'!A264</f>
        <v>Medicaid Matching Funds - Fee-for-Service Program</v>
      </c>
      <c r="E170" s="739"/>
      <c r="F170" s="1793">
        <f>SUM('Revenues 9-14'!C264:D264,'Revenues 9-14'!F264:G264)</f>
        <v>120560</v>
      </c>
      <c r="G170" s="780"/>
    </row>
    <row r="171" spans="1:7" x14ac:dyDescent="0.2">
      <c r="A171" s="781" t="s">
        <v>663</v>
      </c>
      <c r="B171" s="777" t="s">
        <v>1960</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1883</v>
      </c>
      <c r="C172" s="1531">
        <v>3100</v>
      </c>
      <c r="D172" s="1532" t="s">
        <v>1885</v>
      </c>
      <c r="E172" s="739"/>
      <c r="F172" s="1794"/>
      <c r="G172" s="760"/>
    </row>
    <row r="173" spans="1:7" x14ac:dyDescent="0.2">
      <c r="A173" s="1529" t="s">
        <v>659</v>
      </c>
      <c r="B173" s="1530" t="s">
        <v>1883</v>
      </c>
      <c r="C173" s="1531">
        <v>3300</v>
      </c>
      <c r="D173" s="1532" t="s">
        <v>1886</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2014</v>
      </c>
      <c r="E175" s="1456" t="s">
        <v>952</v>
      </c>
      <c r="F175" s="1796">
        <f>SUM(F85:F133,F158:F173)</f>
        <v>2094867</v>
      </c>
    </row>
    <row r="176" spans="1:7" ht="12" customHeight="1" x14ac:dyDescent="0.2">
      <c r="A176" s="1443"/>
      <c r="B176" s="1453"/>
      <c r="C176" s="1454"/>
      <c r="D176" s="1455" t="s">
        <v>2012</v>
      </c>
      <c r="E176" s="1456"/>
      <c r="F176" s="1793">
        <f>'PCTC-OEPP 27-28'!F78-F175</f>
        <v>5838758</v>
      </c>
    </row>
    <row r="177" spans="1:9" ht="12" customHeight="1" x14ac:dyDescent="0.2">
      <c r="A177" s="1443"/>
      <c r="B177" s="1453"/>
      <c r="C177" s="1454"/>
      <c r="D177" s="1455" t="s">
        <v>1792</v>
      </c>
      <c r="E177" s="1456"/>
      <c r="F177" s="1793">
        <f>'Cap Outlay Deprec 26'!I18</f>
        <v>20687.099999999999</v>
      </c>
    </row>
    <row r="178" spans="1:9" ht="12" customHeight="1" x14ac:dyDescent="0.2">
      <c r="A178" s="1443"/>
      <c r="B178" s="1453"/>
      <c r="C178" s="1454"/>
      <c r="D178" s="1455" t="s">
        <v>2013</v>
      </c>
      <c r="E178" s="1456"/>
      <c r="F178" s="1793">
        <f>F176+F177</f>
        <v>5859445.0999999996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2015</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1888</v>
      </c>
      <c r="B186" s="1536"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1805</v>
      </c>
      <c r="B1" s="1860"/>
      <c r="C1" s="1861"/>
      <c r="D1" s="1861"/>
      <c r="E1" s="1861"/>
      <c r="F1" s="1861"/>
    </row>
    <row r="2" spans="1:6" x14ac:dyDescent="0.25">
      <c r="A2" s="1863"/>
      <c r="B2" s="1864"/>
      <c r="C2" s="1913" t="s">
        <v>2001</v>
      </c>
      <c r="D2" s="1863"/>
      <c r="E2" s="1863"/>
      <c r="F2" s="1863"/>
    </row>
    <row r="3" spans="1:6" ht="5.25" customHeight="1" x14ac:dyDescent="0.25">
      <c r="A3" s="1865"/>
      <c r="B3" s="1866"/>
      <c r="C3" s="1865"/>
      <c r="D3" s="1865"/>
      <c r="E3" s="1865"/>
      <c r="F3" s="1865"/>
    </row>
    <row r="4" spans="1:6" ht="18.75" customHeight="1" x14ac:dyDescent="0.25">
      <c r="A4" s="2459" t="s">
        <v>1793</v>
      </c>
      <c r="B4" s="2460"/>
      <c r="C4" s="2460"/>
      <c r="D4" s="2460"/>
      <c r="E4" s="2460"/>
      <c r="F4" s="2461"/>
    </row>
    <row r="5" spans="1:6" x14ac:dyDescent="0.25">
      <c r="A5" s="2462"/>
      <c r="B5" s="2463"/>
      <c r="C5" s="2463"/>
      <c r="D5" s="2463"/>
      <c r="E5" s="2463"/>
      <c r="F5" s="2464"/>
    </row>
    <row r="6" spans="1:6" ht="18.75" x14ac:dyDescent="0.25">
      <c r="A6" s="1867" t="s">
        <v>1794</v>
      </c>
      <c r="B6" s="1868"/>
      <c r="C6" s="1869"/>
      <c r="D6" s="1869"/>
      <c r="E6" s="1869"/>
      <c r="F6" s="1870"/>
    </row>
    <row r="7" spans="1:6" ht="47.25" customHeight="1" x14ac:dyDescent="0.25">
      <c r="A7" s="2465" t="s">
        <v>1983</v>
      </c>
      <c r="B7" s="2466"/>
      <c r="C7" s="2466"/>
      <c r="D7" s="2466"/>
      <c r="E7" s="2466"/>
      <c r="F7" s="2467"/>
    </row>
    <row r="8" spans="1:6" ht="20.25" customHeight="1" x14ac:dyDescent="0.25">
      <c r="A8" s="1902" t="s">
        <v>1985</v>
      </c>
      <c r="B8" s="1903"/>
      <c r="C8" s="1903"/>
      <c r="D8" s="1903"/>
      <c r="E8" s="1871"/>
      <c r="F8" s="1872"/>
    </row>
    <row r="9" spans="1:6" ht="18" customHeight="1" x14ac:dyDescent="0.25">
      <c r="A9" s="1873" t="s">
        <v>1982</v>
      </c>
      <c r="B9" s="1875"/>
      <c r="C9" s="1875"/>
      <c r="D9" s="1875"/>
      <c r="E9" s="1871"/>
      <c r="F9" s="1872"/>
    </row>
    <row r="10" spans="1:6" ht="15.75" customHeight="1" x14ac:dyDescent="0.25">
      <c r="A10" s="2468" t="s">
        <v>1979</v>
      </c>
      <c r="B10" s="2469"/>
      <c r="C10" s="2469"/>
      <c r="D10" s="2469"/>
      <c r="E10" s="2469"/>
      <c r="F10" s="2470"/>
    </row>
    <row r="11" spans="1:6" ht="33" customHeight="1" x14ac:dyDescent="0.25">
      <c r="A11" s="2465" t="s">
        <v>1984</v>
      </c>
      <c r="B11" s="2466"/>
      <c r="C11" s="2466"/>
      <c r="D11" s="2466"/>
      <c r="E11" s="2466"/>
      <c r="F11" s="2467"/>
    </row>
    <row r="12" spans="1:6" ht="15" customHeight="1" x14ac:dyDescent="0.25">
      <c r="A12" s="1873" t="s">
        <v>1980</v>
      </c>
      <c r="B12" s="1874"/>
      <c r="C12" s="1875"/>
      <c r="D12" s="1875"/>
      <c r="E12" s="1875"/>
      <c r="F12" s="1876"/>
    </row>
    <row r="13" spans="1:6" ht="17.25" customHeight="1" x14ac:dyDescent="0.25">
      <c r="A13" s="2465" t="s">
        <v>1981</v>
      </c>
      <c r="B13" s="2466"/>
      <c r="C13" s="2466"/>
      <c r="D13" s="2466"/>
      <c r="E13" s="2466"/>
      <c r="F13" s="2467"/>
    </row>
    <row r="14" spans="1:6" ht="15" customHeight="1" x14ac:dyDescent="0.25">
      <c r="A14" s="1873" t="s">
        <v>1798</v>
      </c>
      <c r="B14" s="1874"/>
      <c r="C14" s="1875"/>
      <c r="D14" s="1875"/>
      <c r="E14" s="1875"/>
      <c r="F14" s="1876"/>
    </row>
    <row r="15" spans="1:6" ht="32.25" customHeight="1" x14ac:dyDescent="0.25">
      <c r="A15" s="245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57"/>
      <c r="C15" s="2457"/>
      <c r="D15" s="2457"/>
      <c r="E15" s="2457"/>
      <c r="F15" s="2458"/>
    </row>
    <row r="16" spans="1:6" ht="61.5" customHeight="1" x14ac:dyDescent="0.25">
      <c r="A16" s="1877" t="s">
        <v>1799</v>
      </c>
      <c r="B16" s="1878" t="s">
        <v>1800</v>
      </c>
      <c r="C16" s="1877" t="s">
        <v>1801</v>
      </c>
      <c r="D16" s="1879" t="s">
        <v>1802</v>
      </c>
      <c r="E16" s="1879" t="s">
        <v>1803</v>
      </c>
      <c r="F16" s="1879" t="s">
        <v>1804</v>
      </c>
    </row>
    <row r="17" spans="1:7" x14ac:dyDescent="0.25">
      <c r="A17" s="1880" t="s">
        <v>1806</v>
      </c>
      <c r="B17" s="1907" t="s">
        <v>1797</v>
      </c>
      <c r="C17" s="1881" t="s">
        <v>1795</v>
      </c>
      <c r="D17" s="1882">
        <v>500000</v>
      </c>
      <c r="E17" s="1882" t="str">
        <f>IF(D17&lt;25000,D17,"25,000")</f>
        <v>25,000</v>
      </c>
      <c r="F17" s="1883">
        <f>IF(D17&gt;=25000,(D17-E17),"0")</f>
        <v>475000</v>
      </c>
    </row>
    <row r="18" spans="1:7" x14ac:dyDescent="0.25">
      <c r="A18" s="2036" t="s">
        <v>2078</v>
      </c>
      <c r="B18" s="1908">
        <v>102100300</v>
      </c>
      <c r="C18" s="2037" t="s">
        <v>2079</v>
      </c>
      <c r="D18" s="1886">
        <v>38696</v>
      </c>
      <c r="E18" s="1906">
        <v>25000</v>
      </c>
      <c r="F18" s="1906">
        <f t="shared" ref="F18:F81" si="0">IF(D18&gt;=25000,(D18-E18),"0")</f>
        <v>13696</v>
      </c>
      <c r="G18" s="1887"/>
    </row>
    <row r="19" spans="1:7" x14ac:dyDescent="0.25">
      <c r="A19" s="1888"/>
      <c r="B19" s="1908"/>
      <c r="C19" s="1885"/>
      <c r="D19" s="1886"/>
      <c r="E19" s="1906">
        <f t="shared" ref="E19:E81" si="1">IF(D19&lt;25000,D19,"25,000")</f>
        <v>0</v>
      </c>
      <c r="F19" s="1906" t="str">
        <f t="shared" si="0"/>
        <v>0</v>
      </c>
    </row>
    <row r="20" spans="1:7" x14ac:dyDescent="0.25">
      <c r="A20" s="1888"/>
      <c r="B20" s="1908"/>
      <c r="C20" s="1885"/>
      <c r="D20" s="1886"/>
      <c r="E20" s="1906">
        <f t="shared" si="1"/>
        <v>0</v>
      </c>
      <c r="F20" s="1906" t="str">
        <f t="shared" si="0"/>
        <v>0</v>
      </c>
    </row>
    <row r="21" spans="1:7" x14ac:dyDescent="0.25">
      <c r="A21" s="1888"/>
      <c r="B21" s="1908"/>
      <c r="C21" s="1885"/>
      <c r="D21" s="1886"/>
      <c r="E21" s="1906">
        <f t="shared" si="1"/>
        <v>0</v>
      </c>
      <c r="F21" s="1906" t="str">
        <f t="shared" si="0"/>
        <v>0</v>
      </c>
    </row>
    <row r="22" spans="1:7" x14ac:dyDescent="0.25">
      <c r="A22" s="1888"/>
      <c r="B22" s="1908"/>
      <c r="C22" s="1885"/>
      <c r="D22" s="1886"/>
      <c r="E22" s="1906">
        <f t="shared" si="1"/>
        <v>0</v>
      </c>
      <c r="F22" s="1906" t="str">
        <f t="shared" si="0"/>
        <v>0</v>
      </c>
    </row>
    <row r="23" spans="1:7" x14ac:dyDescent="0.25">
      <c r="A23" s="1888"/>
      <c r="B23" s="1908"/>
      <c r="C23" s="1885"/>
      <c r="D23" s="1886"/>
      <c r="E23" s="1906">
        <f t="shared" si="1"/>
        <v>0</v>
      </c>
      <c r="F23" s="1906" t="str">
        <f t="shared" si="0"/>
        <v>0</v>
      </c>
    </row>
    <row r="24" spans="1:7" x14ac:dyDescent="0.25">
      <c r="A24" s="1888"/>
      <c r="B24" s="1908"/>
      <c r="C24" s="1885"/>
      <c r="D24" s="1886"/>
      <c r="E24" s="1906">
        <f t="shared" si="1"/>
        <v>0</v>
      </c>
      <c r="F24" s="1906" t="str">
        <f t="shared" si="0"/>
        <v>0</v>
      </c>
    </row>
    <row r="25" spans="1:7" x14ac:dyDescent="0.25">
      <c r="A25" s="1888"/>
      <c r="B25" s="1908"/>
      <c r="C25" s="1885"/>
      <c r="D25" s="1886"/>
      <c r="E25" s="1906">
        <f t="shared" si="1"/>
        <v>0</v>
      </c>
      <c r="F25" s="1906" t="str">
        <f t="shared" si="0"/>
        <v>0</v>
      </c>
    </row>
    <row r="26" spans="1:7" x14ac:dyDescent="0.25">
      <c r="A26" s="1888"/>
      <c r="B26" s="1908"/>
      <c r="C26" s="1885"/>
      <c r="D26" s="1886"/>
      <c r="E26" s="1906">
        <f t="shared" si="1"/>
        <v>0</v>
      </c>
      <c r="F26" s="1906" t="str">
        <f t="shared" si="0"/>
        <v>0</v>
      </c>
    </row>
    <row r="27" spans="1:7" x14ac:dyDescent="0.25">
      <c r="A27" s="1888"/>
      <c r="B27" s="1908"/>
      <c r="C27" s="1889"/>
      <c r="D27" s="1886"/>
      <c r="E27" s="1906">
        <f t="shared" si="1"/>
        <v>0</v>
      </c>
      <c r="F27" s="1906" t="str">
        <f t="shared" si="0"/>
        <v>0</v>
      </c>
    </row>
    <row r="28" spans="1:7" x14ac:dyDescent="0.25">
      <c r="A28" s="1888"/>
      <c r="B28" s="1908"/>
      <c r="C28" s="1889"/>
      <c r="D28" s="1886"/>
      <c r="E28" s="1906">
        <f t="shared" si="1"/>
        <v>0</v>
      </c>
      <c r="F28" s="1906" t="str">
        <f t="shared" si="0"/>
        <v>0</v>
      </c>
    </row>
    <row r="29" spans="1:7" x14ac:dyDescent="0.25">
      <c r="A29" s="1888"/>
      <c r="B29" s="1908"/>
      <c r="C29" s="1889"/>
      <c r="D29" s="1886"/>
      <c r="E29" s="1906">
        <f t="shared" si="1"/>
        <v>0</v>
      </c>
      <c r="F29" s="1906" t="str">
        <f t="shared" si="0"/>
        <v>0</v>
      </c>
    </row>
    <row r="30" spans="1:7" x14ac:dyDescent="0.25">
      <c r="A30" s="1888"/>
      <c r="B30" s="1908"/>
      <c r="C30" s="1889"/>
      <c r="D30" s="1886"/>
      <c r="E30" s="1906">
        <f t="shared" si="1"/>
        <v>0</v>
      </c>
      <c r="F30" s="1906" t="str">
        <f t="shared" si="0"/>
        <v>0</v>
      </c>
    </row>
    <row r="31" spans="1:7" x14ac:dyDescent="0.25">
      <c r="A31" s="1888"/>
      <c r="B31" s="1908"/>
      <c r="C31" s="1889"/>
      <c r="D31" s="1886"/>
      <c r="E31" s="1906">
        <f t="shared" si="1"/>
        <v>0</v>
      </c>
      <c r="F31" s="1906" t="str">
        <f t="shared" si="0"/>
        <v>0</v>
      </c>
    </row>
    <row r="32" spans="1:7" x14ac:dyDescent="0.25">
      <c r="A32" s="1888"/>
      <c r="B32" s="1908"/>
      <c r="C32" s="1889"/>
      <c r="D32" s="1886"/>
      <c r="E32" s="1906">
        <f t="shared" si="1"/>
        <v>0</v>
      </c>
      <c r="F32" s="1906" t="str">
        <f t="shared" si="0"/>
        <v>0</v>
      </c>
    </row>
    <row r="33" spans="1:6" x14ac:dyDescent="0.25">
      <c r="A33" s="1888"/>
      <c r="B33" s="1908"/>
      <c r="C33" s="1889"/>
      <c r="D33" s="1886"/>
      <c r="E33" s="1906">
        <f t="shared" si="1"/>
        <v>0</v>
      </c>
      <c r="F33" s="1906" t="str">
        <f t="shared" si="0"/>
        <v>0</v>
      </c>
    </row>
    <row r="34" spans="1:6" x14ac:dyDescent="0.25">
      <c r="A34" s="1888"/>
      <c r="B34" s="1908"/>
      <c r="C34" s="1889"/>
      <c r="D34" s="1886"/>
      <c r="E34" s="1906">
        <f t="shared" si="1"/>
        <v>0</v>
      </c>
      <c r="F34" s="1906" t="str">
        <f t="shared" si="0"/>
        <v>0</v>
      </c>
    </row>
    <row r="35" spans="1:6" x14ac:dyDescent="0.25">
      <c r="A35" s="1888"/>
      <c r="B35" s="1908"/>
      <c r="C35" s="1889"/>
      <c r="D35" s="1886"/>
      <c r="E35" s="1906">
        <f t="shared" si="1"/>
        <v>0</v>
      </c>
      <c r="F35" s="1906" t="str">
        <f t="shared" si="0"/>
        <v>0</v>
      </c>
    </row>
    <row r="36" spans="1:6" x14ac:dyDescent="0.25">
      <c r="A36" s="1888"/>
      <c r="B36" s="1908"/>
      <c r="C36" s="1889"/>
      <c r="D36" s="1886"/>
      <c r="E36" s="1906">
        <f t="shared" si="1"/>
        <v>0</v>
      </c>
      <c r="F36" s="1906" t="str">
        <f t="shared" si="0"/>
        <v>0</v>
      </c>
    </row>
    <row r="37" spans="1:6" x14ac:dyDescent="0.25">
      <c r="A37" s="1888"/>
      <c r="B37" s="1908"/>
      <c r="C37" s="1889"/>
      <c r="D37" s="1886"/>
      <c r="E37" s="1906">
        <f t="shared" si="1"/>
        <v>0</v>
      </c>
      <c r="F37" s="1906" t="str">
        <f t="shared" si="0"/>
        <v>0</v>
      </c>
    </row>
    <row r="38" spans="1:6" x14ac:dyDescent="0.25">
      <c r="A38" s="1888"/>
      <c r="B38" s="1908"/>
      <c r="C38" s="1889"/>
      <c r="D38" s="1886"/>
      <c r="E38" s="1906">
        <f t="shared" si="1"/>
        <v>0</v>
      </c>
      <c r="F38" s="1906" t="str">
        <f t="shared" si="0"/>
        <v>0</v>
      </c>
    </row>
    <row r="39" spans="1:6" x14ac:dyDescent="0.25">
      <c r="A39" s="1888"/>
      <c r="B39" s="1909"/>
      <c r="C39" s="1889"/>
      <c r="D39" s="1886"/>
      <c r="E39" s="1906">
        <f t="shared" si="1"/>
        <v>0</v>
      </c>
      <c r="F39" s="1906" t="str">
        <f t="shared" si="0"/>
        <v>0</v>
      </c>
    </row>
    <row r="40" spans="1:6" x14ac:dyDescent="0.25">
      <c r="A40" s="1888"/>
      <c r="B40" s="1909"/>
      <c r="C40" s="1889"/>
      <c r="D40" s="1886"/>
      <c r="E40" s="1906">
        <f t="shared" si="1"/>
        <v>0</v>
      </c>
      <c r="F40" s="1906" t="str">
        <f t="shared" si="0"/>
        <v>0</v>
      </c>
    </row>
    <row r="41" spans="1:6" x14ac:dyDescent="0.25">
      <c r="A41" s="1888"/>
      <c r="B41" s="1909"/>
      <c r="C41" s="1889"/>
      <c r="D41" s="1886"/>
      <c r="E41" s="1906">
        <f t="shared" si="1"/>
        <v>0</v>
      </c>
      <c r="F41" s="1906" t="str">
        <f t="shared" si="0"/>
        <v>0</v>
      </c>
    </row>
    <row r="42" spans="1:6" x14ac:dyDescent="0.25">
      <c r="A42" s="1888"/>
      <c r="B42" s="1909"/>
      <c r="C42" s="1889"/>
      <c r="D42" s="1886"/>
      <c r="E42" s="1906">
        <f t="shared" si="1"/>
        <v>0</v>
      </c>
      <c r="F42" s="1906" t="str">
        <f t="shared" si="0"/>
        <v>0</v>
      </c>
    </row>
    <row r="43" spans="1:6" x14ac:dyDescent="0.25">
      <c r="A43" s="1888"/>
      <c r="B43" s="1909"/>
      <c r="C43" s="1889"/>
      <c r="D43" s="1886"/>
      <c r="E43" s="1906">
        <f t="shared" si="1"/>
        <v>0</v>
      </c>
      <c r="F43" s="1906" t="str">
        <f t="shared" si="0"/>
        <v>0</v>
      </c>
    </row>
    <row r="44" spans="1:6" x14ac:dyDescent="0.25">
      <c r="A44" s="1888"/>
      <c r="B44" s="1909"/>
      <c r="C44" s="1889"/>
      <c r="D44" s="1886"/>
      <c r="E44" s="1906">
        <f t="shared" si="1"/>
        <v>0</v>
      </c>
      <c r="F44" s="1906" t="str">
        <f t="shared" si="0"/>
        <v>0</v>
      </c>
    </row>
    <row r="45" spans="1:6" x14ac:dyDescent="0.25">
      <c r="A45" s="1888"/>
      <c r="B45" s="1909"/>
      <c r="C45" s="1889"/>
      <c r="D45" s="1886"/>
      <c r="E45" s="1906">
        <f t="shared" si="1"/>
        <v>0</v>
      </c>
      <c r="F45" s="1906" t="str">
        <f t="shared" si="0"/>
        <v>0</v>
      </c>
    </row>
    <row r="46" spans="1:6" x14ac:dyDescent="0.25">
      <c r="A46" s="1888"/>
      <c r="B46" s="1909"/>
      <c r="C46" s="1889"/>
      <c r="D46" s="1886"/>
      <c r="E46" s="1906">
        <f t="shared" si="1"/>
        <v>0</v>
      </c>
      <c r="F46" s="1906" t="str">
        <f t="shared" si="0"/>
        <v>0</v>
      </c>
    </row>
    <row r="47" spans="1:6" x14ac:dyDescent="0.25">
      <c r="A47" s="1888"/>
      <c r="B47" s="1909"/>
      <c r="C47" s="1889"/>
      <c r="D47" s="1886"/>
      <c r="E47" s="1906">
        <f t="shared" si="1"/>
        <v>0</v>
      </c>
      <c r="F47" s="1906" t="str">
        <f t="shared" si="0"/>
        <v>0</v>
      </c>
    </row>
    <row r="48" spans="1:6" x14ac:dyDescent="0.25">
      <c r="A48" s="1888"/>
      <c r="B48" s="1909"/>
      <c r="C48" s="1889"/>
      <c r="D48" s="1886"/>
      <c r="E48" s="1906">
        <f t="shared" si="1"/>
        <v>0</v>
      </c>
      <c r="F48" s="1906" t="str">
        <f t="shared" si="0"/>
        <v>0</v>
      </c>
    </row>
    <row r="49" spans="1:6" x14ac:dyDescent="0.25">
      <c r="A49" s="1888"/>
      <c r="B49" s="1909"/>
      <c r="C49" s="1889"/>
      <c r="D49" s="1886"/>
      <c r="E49" s="1906">
        <f t="shared" si="1"/>
        <v>0</v>
      </c>
      <c r="F49" s="1906" t="str">
        <f t="shared" si="0"/>
        <v>0</v>
      </c>
    </row>
    <row r="50" spans="1:6" x14ac:dyDescent="0.25">
      <c r="A50" s="1888"/>
      <c r="B50" s="1909"/>
      <c r="C50" s="1889"/>
      <c r="D50" s="1886"/>
      <c r="E50" s="1906">
        <f t="shared" si="1"/>
        <v>0</v>
      </c>
      <c r="F50" s="1906" t="str">
        <f t="shared" si="0"/>
        <v>0</v>
      </c>
    </row>
    <row r="51" spans="1:6" x14ac:dyDescent="0.25">
      <c r="A51" s="1888"/>
      <c r="B51" s="1909"/>
      <c r="C51" s="1889"/>
      <c r="D51" s="1886"/>
      <c r="E51" s="1906">
        <f t="shared" si="1"/>
        <v>0</v>
      </c>
      <c r="F51" s="1906" t="str">
        <f t="shared" si="0"/>
        <v>0</v>
      </c>
    </row>
    <row r="52" spans="1:6" x14ac:dyDescent="0.25">
      <c r="A52" s="1888"/>
      <c r="B52" s="1909"/>
      <c r="C52" s="1889"/>
      <c r="D52" s="1886"/>
      <c r="E52" s="1906">
        <f t="shared" si="1"/>
        <v>0</v>
      </c>
      <c r="F52" s="1906" t="str">
        <f t="shared" si="0"/>
        <v>0</v>
      </c>
    </row>
    <row r="53" spans="1:6" x14ac:dyDescent="0.25">
      <c r="A53" s="1888"/>
      <c r="B53" s="1909"/>
      <c r="C53" s="1889"/>
      <c r="D53" s="1886"/>
      <c r="E53" s="1906">
        <f t="shared" si="1"/>
        <v>0</v>
      </c>
      <c r="F53" s="1906" t="str">
        <f t="shared" si="0"/>
        <v>0</v>
      </c>
    </row>
    <row r="54" spans="1:6" x14ac:dyDescent="0.25">
      <c r="A54" s="1888"/>
      <c r="B54" s="1909"/>
      <c r="C54" s="1889"/>
      <c r="D54" s="1886"/>
      <c r="E54" s="1906">
        <f t="shared" si="1"/>
        <v>0</v>
      </c>
      <c r="F54" s="1906" t="str">
        <f t="shared" si="0"/>
        <v>0</v>
      </c>
    </row>
    <row r="55" spans="1:6" x14ac:dyDescent="0.25">
      <c r="A55" s="1888"/>
      <c r="B55" s="1909"/>
      <c r="C55" s="1889"/>
      <c r="D55" s="1886"/>
      <c r="E55" s="1906">
        <f t="shared" si="1"/>
        <v>0</v>
      </c>
      <c r="F55" s="1906" t="str">
        <f t="shared" si="0"/>
        <v>0</v>
      </c>
    </row>
    <row r="56" spans="1:6" x14ac:dyDescent="0.25">
      <c r="A56" s="1888"/>
      <c r="B56" s="1909"/>
      <c r="C56" s="1889"/>
      <c r="D56" s="1886"/>
      <c r="E56" s="1906">
        <f t="shared" si="1"/>
        <v>0</v>
      </c>
      <c r="F56" s="1906" t="str">
        <f t="shared" si="0"/>
        <v>0</v>
      </c>
    </row>
    <row r="57" spans="1:6" x14ac:dyDescent="0.25">
      <c r="A57" s="1888"/>
      <c r="B57" s="1909"/>
      <c r="C57" s="1889"/>
      <c r="D57" s="1886"/>
      <c r="E57" s="1906">
        <f t="shared" si="1"/>
        <v>0</v>
      </c>
      <c r="F57" s="1906" t="str">
        <f t="shared" si="0"/>
        <v>0</v>
      </c>
    </row>
    <row r="58" spans="1:6" x14ac:dyDescent="0.25">
      <c r="A58" s="1888"/>
      <c r="B58" s="1909"/>
      <c r="C58" s="1889"/>
      <c r="D58" s="1886"/>
      <c r="E58" s="1906">
        <f t="shared" si="1"/>
        <v>0</v>
      </c>
      <c r="F58" s="1906" t="str">
        <f t="shared" si="0"/>
        <v>0</v>
      </c>
    </row>
    <row r="59" spans="1:6" x14ac:dyDescent="0.25">
      <c r="A59" s="1888"/>
      <c r="B59" s="1909"/>
      <c r="C59" s="1889"/>
      <c r="D59" s="1886"/>
      <c r="E59" s="1906">
        <f t="shared" si="1"/>
        <v>0</v>
      </c>
      <c r="F59" s="1906" t="str">
        <f t="shared" si="0"/>
        <v>0</v>
      </c>
    </row>
    <row r="60" spans="1:6" x14ac:dyDescent="0.25">
      <c r="A60" s="1888"/>
      <c r="B60" s="1909"/>
      <c r="C60" s="1889"/>
      <c r="D60" s="1886"/>
      <c r="E60" s="1906">
        <f t="shared" si="1"/>
        <v>0</v>
      </c>
      <c r="F60" s="1906" t="str">
        <f t="shared" si="0"/>
        <v>0</v>
      </c>
    </row>
    <row r="61" spans="1:6" x14ac:dyDescent="0.25">
      <c r="A61" s="1888"/>
      <c r="B61" s="1909"/>
      <c r="C61" s="1889"/>
      <c r="D61" s="1886"/>
      <c r="E61" s="1906">
        <f t="shared" si="1"/>
        <v>0</v>
      </c>
      <c r="F61" s="1906" t="str">
        <f t="shared" si="0"/>
        <v>0</v>
      </c>
    </row>
    <row r="62" spans="1:6" x14ac:dyDescent="0.25">
      <c r="A62" s="1888"/>
      <c r="B62" s="1909"/>
      <c r="C62" s="1889"/>
      <c r="D62" s="1886"/>
      <c r="E62" s="1906">
        <f t="shared" si="1"/>
        <v>0</v>
      </c>
      <c r="F62" s="1906" t="str">
        <f t="shared" si="0"/>
        <v>0</v>
      </c>
    </row>
    <row r="63" spans="1:6" x14ac:dyDescent="0.25">
      <c r="A63" s="1888"/>
      <c r="B63" s="1909"/>
      <c r="C63" s="1889"/>
      <c r="D63" s="1886"/>
      <c r="E63" s="1906">
        <f t="shared" si="1"/>
        <v>0</v>
      </c>
      <c r="F63" s="1906" t="str">
        <f t="shared" si="0"/>
        <v>0</v>
      </c>
    </row>
    <row r="64" spans="1:6" x14ac:dyDescent="0.25">
      <c r="A64" s="1888"/>
      <c r="B64" s="1909"/>
      <c r="C64" s="1889"/>
      <c r="D64" s="1886"/>
      <c r="E64" s="1906">
        <f t="shared" si="1"/>
        <v>0</v>
      </c>
      <c r="F64" s="1906" t="str">
        <f t="shared" si="0"/>
        <v>0</v>
      </c>
    </row>
    <row r="65" spans="1:6" x14ac:dyDescent="0.25">
      <c r="A65" s="1884"/>
      <c r="B65" s="1909"/>
      <c r="C65" s="1885"/>
      <c r="D65" s="1886"/>
      <c r="E65" s="1906">
        <f t="shared" si="1"/>
        <v>0</v>
      </c>
      <c r="F65" s="1906" t="str">
        <f t="shared" si="0"/>
        <v>0</v>
      </c>
    </row>
    <row r="66" spans="1:6" x14ac:dyDescent="0.25">
      <c r="A66" s="1888"/>
      <c r="B66" s="1909"/>
      <c r="C66" s="1889"/>
      <c r="D66" s="1886"/>
      <c r="E66" s="1906">
        <f t="shared" si="1"/>
        <v>0</v>
      </c>
      <c r="F66" s="1906" t="str">
        <f t="shared" si="0"/>
        <v>0</v>
      </c>
    </row>
    <row r="67" spans="1:6" x14ac:dyDescent="0.25">
      <c r="A67" s="1888"/>
      <c r="B67" s="1909"/>
      <c r="C67" s="1889"/>
      <c r="D67" s="1886"/>
      <c r="E67" s="1906">
        <f t="shared" si="1"/>
        <v>0</v>
      </c>
      <c r="F67" s="1906" t="str">
        <f t="shared" si="0"/>
        <v>0</v>
      </c>
    </row>
    <row r="68" spans="1:6" x14ac:dyDescent="0.25">
      <c r="A68" s="1888"/>
      <c r="B68" s="1909"/>
      <c r="C68" s="1889"/>
      <c r="D68" s="1886"/>
      <c r="E68" s="1906">
        <f t="shared" si="1"/>
        <v>0</v>
      </c>
      <c r="F68" s="1906" t="str">
        <f t="shared" si="0"/>
        <v>0</v>
      </c>
    </row>
    <row r="69" spans="1:6" x14ac:dyDescent="0.25">
      <c r="A69" s="1888"/>
      <c r="B69" s="1909"/>
      <c r="C69" s="1889"/>
      <c r="D69" s="1886"/>
      <c r="E69" s="1906">
        <f t="shared" si="1"/>
        <v>0</v>
      </c>
      <c r="F69" s="1906" t="str">
        <f t="shared" si="0"/>
        <v>0</v>
      </c>
    </row>
    <row r="70" spans="1:6" x14ac:dyDescent="0.25">
      <c r="A70" s="1888"/>
      <c r="B70" s="1909"/>
      <c r="C70" s="1889"/>
      <c r="D70" s="1886"/>
      <c r="E70" s="1906">
        <f t="shared" si="1"/>
        <v>0</v>
      </c>
      <c r="F70" s="1906" t="str">
        <f t="shared" si="0"/>
        <v>0</v>
      </c>
    </row>
    <row r="71" spans="1:6" x14ac:dyDescent="0.25">
      <c r="A71" s="1888"/>
      <c r="B71" s="1909"/>
      <c r="C71" s="1889"/>
      <c r="D71" s="1886"/>
      <c r="E71" s="1906">
        <f t="shared" si="1"/>
        <v>0</v>
      </c>
      <c r="F71" s="1906" t="str">
        <f t="shared" si="0"/>
        <v>0</v>
      </c>
    </row>
    <row r="72" spans="1:6" x14ac:dyDescent="0.25">
      <c r="A72" s="1888"/>
      <c r="B72" s="1909"/>
      <c r="C72" s="1889"/>
      <c r="D72" s="1886"/>
      <c r="E72" s="1906">
        <f t="shared" si="1"/>
        <v>0</v>
      </c>
      <c r="F72" s="1906" t="str">
        <f t="shared" si="0"/>
        <v>0</v>
      </c>
    </row>
    <row r="73" spans="1:6" x14ac:dyDescent="0.25">
      <c r="A73" s="1888"/>
      <c r="B73" s="1909"/>
      <c r="C73" s="1889"/>
      <c r="D73" s="1886"/>
      <c r="E73" s="1906">
        <f t="shared" si="1"/>
        <v>0</v>
      </c>
      <c r="F73" s="1906" t="str">
        <f t="shared" si="0"/>
        <v>0</v>
      </c>
    </row>
    <row r="74" spans="1:6" x14ac:dyDescent="0.25">
      <c r="A74" s="1888"/>
      <c r="B74" s="1909"/>
      <c r="C74" s="1889"/>
      <c r="D74" s="1886"/>
      <c r="E74" s="1906">
        <f t="shared" si="1"/>
        <v>0</v>
      </c>
      <c r="F74" s="1906" t="str">
        <f t="shared" si="0"/>
        <v>0</v>
      </c>
    </row>
    <row r="75" spans="1:6" x14ac:dyDescent="0.25">
      <c r="A75" s="1888"/>
      <c r="B75" s="1909"/>
      <c r="C75" s="1889"/>
      <c r="D75" s="1886"/>
      <c r="E75" s="1906">
        <f t="shared" si="1"/>
        <v>0</v>
      </c>
      <c r="F75" s="1906" t="str">
        <f t="shared" si="0"/>
        <v>0</v>
      </c>
    </row>
    <row r="76" spans="1:6" x14ac:dyDescent="0.25">
      <c r="A76" s="1888"/>
      <c r="B76" s="1909"/>
      <c r="C76" s="1889"/>
      <c r="D76" s="1886"/>
      <c r="E76" s="1906">
        <f t="shared" si="1"/>
        <v>0</v>
      </c>
      <c r="F76" s="1906" t="str">
        <f t="shared" si="0"/>
        <v>0</v>
      </c>
    </row>
    <row r="77" spans="1:6" x14ac:dyDescent="0.25">
      <c r="A77" s="1888"/>
      <c r="B77" s="1909"/>
      <c r="C77" s="1889"/>
      <c r="D77" s="1886"/>
      <c r="E77" s="1906">
        <f t="shared" si="1"/>
        <v>0</v>
      </c>
      <c r="F77" s="1906" t="str">
        <f t="shared" si="0"/>
        <v>0</v>
      </c>
    </row>
    <row r="78" spans="1:6" x14ac:dyDescent="0.25">
      <c r="A78" s="1888"/>
      <c r="B78" s="1909"/>
      <c r="C78" s="1889"/>
      <c r="D78" s="1886"/>
      <c r="E78" s="1906">
        <f t="shared" si="1"/>
        <v>0</v>
      </c>
      <c r="F78" s="1906" t="str">
        <f t="shared" si="0"/>
        <v>0</v>
      </c>
    </row>
    <row r="79" spans="1:6" x14ac:dyDescent="0.25">
      <c r="A79" s="1888"/>
      <c r="B79" s="1909"/>
      <c r="C79" s="1889"/>
      <c r="D79" s="1886"/>
      <c r="E79" s="1906">
        <f t="shared" si="1"/>
        <v>0</v>
      </c>
      <c r="F79" s="1906" t="str">
        <f t="shared" si="0"/>
        <v>0</v>
      </c>
    </row>
    <row r="80" spans="1:6" x14ac:dyDescent="0.25">
      <c r="A80" s="1888"/>
      <c r="B80" s="1909"/>
      <c r="C80" s="1889"/>
      <c r="D80" s="1886"/>
      <c r="E80" s="1906">
        <f t="shared" si="1"/>
        <v>0</v>
      </c>
      <c r="F80" s="1906" t="str">
        <f t="shared" si="0"/>
        <v>0</v>
      </c>
    </row>
    <row r="81" spans="1:6" x14ac:dyDescent="0.25">
      <c r="A81" s="1888"/>
      <c r="B81" s="1909"/>
      <c r="C81" s="1889"/>
      <c r="D81" s="1886"/>
      <c r="E81" s="1906">
        <f t="shared" si="1"/>
        <v>0</v>
      </c>
      <c r="F81" s="1906" t="str">
        <f t="shared" si="0"/>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38696</v>
      </c>
      <c r="E142" s="1893">
        <f>SUM(E18:E141)</f>
        <v>25000</v>
      </c>
      <c r="F142" s="1894">
        <f>SUM(F18:F141)</f>
        <v>13696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71" t="s">
        <v>1660</v>
      </c>
      <c r="B5" s="2472"/>
      <c r="C5" s="2472"/>
      <c r="D5" s="2472"/>
      <c r="E5" s="2472"/>
      <c r="F5" s="2472"/>
      <c r="G5" s="247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1892</v>
      </c>
      <c r="B10" s="803"/>
      <c r="C10" s="807"/>
      <c r="D10" s="804"/>
      <c r="E10" s="1800"/>
      <c r="F10" s="805"/>
      <c r="G10" s="806"/>
      <c r="H10" s="157"/>
      <c r="I10" s="157"/>
    </row>
    <row r="11" spans="1:13" s="542" customFormat="1" ht="22.5" customHeight="1" x14ac:dyDescent="0.2">
      <c r="A11" s="247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77"/>
      <c r="C11" s="2477"/>
      <c r="D11" s="2478"/>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4595981</v>
      </c>
      <c r="F19" s="1802"/>
      <c r="G19" s="1804">
        <f>'Expenditures 15-22'!K33-SUM('Expenditures 15-22'!G33,'Expenditures 15-22'!I33)+'Expenditures 15-22'!D229</f>
        <v>4595981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2189003</v>
      </c>
      <c r="F21" s="1805"/>
      <c r="G21" s="1808">
        <f>'Expenditures 15-22'!K42-SUM('Expenditures 15-22'!G42,'Expenditures 15-22'!I42)+'Expenditures 15-22'!K120-SUM('Expenditures 15-22'!G120,'Expenditures 15-22'!I120)+'Expenditures 15-22'!K180-SUM('Expenditures 15-22'!G180,'Expenditures 15-22'!I180)+'Expenditures 15-22'!D238</f>
        <v>2189003</v>
      </c>
      <c r="H21" s="817"/>
      <c r="I21" s="157"/>
    </row>
    <row r="22" spans="1:9" s="542" customFormat="1" ht="12" customHeight="1" x14ac:dyDescent="0.2">
      <c r="A22" s="824" t="s">
        <v>560</v>
      </c>
      <c r="B22" s="825"/>
      <c r="C22" s="823">
        <v>2200</v>
      </c>
      <c r="D22" s="1805"/>
      <c r="E22" s="1807">
        <f>'Expenditures 15-22'!K47-SUM('Expenditures 15-22'!G47,'Expenditures 15-22'!I47)+'Expenditures 15-22'!D243</f>
        <v>816758</v>
      </c>
      <c r="F22" s="1805"/>
      <c r="G22" s="1808">
        <f>'Expenditures 15-22'!K47-SUM('Expenditures 15-22'!G47,'Expenditures 15-22'!I47)+'Expenditures 15-22'!D243</f>
        <v>816758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373083</v>
      </c>
      <c r="F23" s="1805"/>
      <c r="G23" s="1807">
        <f>'Expenditures 15-22'!K53-SUM('Expenditures 15-22'!G53,'Expenditures 15-22'!I53)+'Expenditures 15-22'!D257+'Expenditures 15-22'!K330-SUM('Expenditures 15-22'!G330,'Expenditures 15-22'!I330)</f>
        <v>373083</v>
      </c>
      <c r="H23" s="817"/>
      <c r="I23" s="157"/>
    </row>
    <row r="24" spans="1:9" s="542" customFormat="1" ht="12" customHeight="1" x14ac:dyDescent="0.2">
      <c r="A24" s="824" t="s">
        <v>562</v>
      </c>
      <c r="B24" s="825"/>
      <c r="C24" s="823">
        <v>2400</v>
      </c>
      <c r="D24" s="1805"/>
      <c r="E24" s="1807">
        <f>'Expenditures 15-22'!K57-SUM('Expenditures 15-22'!G57,'Expenditures 15-22'!I57)+'Expenditures 15-22'!D261</f>
        <v>129908</v>
      </c>
      <c r="F24" s="1805"/>
      <c r="G24" s="1808">
        <f>'Expenditures 15-22'!K57-SUM('Expenditures 15-22'!G57,'Expenditures 15-22'!I57)+'Expenditures 15-22'!D261</f>
        <v>129908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72368</v>
      </c>
      <c r="E27" s="1807">
        <f>E8</f>
        <v>0</v>
      </c>
      <c r="F27" s="1807">
        <f>'Expenditures 15-22'!K60-SUM('Expenditures 15-22'!G60,'Expenditures 15-22'!I60)+'Expenditures 15-22'!D264-E8</f>
        <v>72368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96024</v>
      </c>
      <c r="F28" s="1809">
        <f>'Expenditures 15-22'!K61-SUM('Expenditures 15-22'!G61,'Expenditures 15-22'!I61)+'Expenditures 15-22'!K124-SUM('Expenditures 15-22'!G124,'Expenditures 15-22'!I124)+'Expenditures 15-22'!D266-E9</f>
        <v>96024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45278</v>
      </c>
      <c r="F30" s="1805"/>
      <c r="G30" s="1807">
        <f>'Expenditures 15-22'!K63-SUM('Expenditures 15-22'!G63,'Expenditures 15-22'!I63)+'Expenditures 15-22'!D268-E10</f>
        <v>45278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14972</v>
      </c>
      <c r="F33" s="1805"/>
      <c r="G33" s="1807">
        <f>'Expenditures 15-22'!K67-SUM('Expenditures 15-22'!G67,'Expenditures 15-22'!I67)+'Expenditures 15-22'!D272</f>
        <v>14972</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773</v>
      </c>
      <c r="F35" s="1805"/>
      <c r="G35" s="1807">
        <f>'Expenditures 15-22'!K69-SUM('Expenditures 15-22'!G69,'Expenditures 15-22'!I69)+'Expenditures 15-22'!D274</f>
        <v>773</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5699</v>
      </c>
      <c r="F39" s="1805"/>
      <c r="G39" s="1807">
        <f>'Expenditures 15-22'!K75-SUM('Expenditures 15-22'!G75,'Expenditures 15-22'!I75)+'Expenditures 15-22'!K130-SUM('Expenditures 15-22'!G130,'Expenditures 15-22'!I130)+'Expenditures 15-22'!K185-SUM('Expenditures 15-22'!G185,'Expenditures 15-22'!I185)+'Expenditures 15-22'!D280</f>
        <v>5699</v>
      </c>
    </row>
    <row r="40" spans="1:7" ht="12" customHeight="1" x14ac:dyDescent="0.2">
      <c r="A40" s="820" t="s">
        <v>1796</v>
      </c>
      <c r="B40" s="821"/>
      <c r="C40" s="823"/>
      <c r="D40" s="1805"/>
      <c r="E40" s="1809">
        <f>-'Contracts Paid in CY 29'!F142</f>
        <v>-13696</v>
      </c>
      <c r="F40" s="1805"/>
      <c r="G40" s="1809">
        <f>-'Contracts Paid in CY 29'!F142</f>
        <v>-13696</v>
      </c>
    </row>
    <row r="41" spans="1:7" ht="12" customHeight="1" x14ac:dyDescent="0.2">
      <c r="A41" s="828" t="s">
        <v>155</v>
      </c>
      <c r="B41" s="829"/>
      <c r="C41" s="830"/>
      <c r="D41" s="1809">
        <f>SUM(D19:D39)</f>
        <v>72368</v>
      </c>
      <c r="E41" s="1809">
        <f>SUM(E19:E40)</f>
        <v>8253783</v>
      </c>
      <c r="F41" s="1809">
        <f>SUM(F19:F39)</f>
        <v>168392</v>
      </c>
      <c r="G41" s="1809">
        <f>SUM(G19:G40)</f>
        <v>8157759</v>
      </c>
    </row>
    <row r="42" spans="1:7" x14ac:dyDescent="0.2">
      <c r="A42" s="817"/>
      <c r="B42" s="157"/>
      <c r="C42" s="831"/>
      <c r="D42" s="2474" t="s">
        <v>519</v>
      </c>
      <c r="E42" s="2475"/>
      <c r="F42" s="832" t="s">
        <v>520</v>
      </c>
      <c r="G42" s="833"/>
    </row>
    <row r="43" spans="1:7" ht="12" customHeight="1" x14ac:dyDescent="0.2">
      <c r="A43" s="817"/>
      <c r="B43" s="157"/>
      <c r="C43" s="831"/>
      <c r="D43" s="1458" t="s">
        <v>470</v>
      </c>
      <c r="E43" s="1810">
        <f>D41</f>
        <v>72368</v>
      </c>
      <c r="F43" s="1458" t="s">
        <v>470</v>
      </c>
      <c r="G43" s="1810">
        <f>F41</f>
        <v>168392</v>
      </c>
    </row>
    <row r="44" spans="1:7" ht="12" customHeight="1" x14ac:dyDescent="0.2">
      <c r="A44" s="817"/>
      <c r="B44" s="157"/>
      <c r="C44" s="831"/>
      <c r="D44" s="1458" t="s">
        <v>471</v>
      </c>
      <c r="E44" s="1810">
        <f>E41</f>
        <v>8253783</v>
      </c>
      <c r="F44" s="1458" t="s">
        <v>471</v>
      </c>
      <c r="G44" s="1810">
        <f>G41</f>
        <v>8157759</v>
      </c>
    </row>
    <row r="45" spans="1:7" ht="12" customHeight="1" x14ac:dyDescent="0.2">
      <c r="A45" s="817"/>
      <c r="B45" s="157"/>
      <c r="C45" s="157"/>
      <c r="D45" s="1459" t="s">
        <v>999</v>
      </c>
      <c r="E45" s="1811">
        <f>(E43/E44)</f>
        <v>8.7678583262971663E-3</v>
      </c>
      <c r="F45" s="1459" t="s">
        <v>999</v>
      </c>
      <c r="G45" s="1811">
        <f>(G43/G44)</f>
        <v>2.0641943455304332E-2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93" t="s">
        <v>1363</v>
      </c>
      <c r="B1" s="2493"/>
      <c r="C1" s="2493"/>
      <c r="D1" s="2493"/>
      <c r="E1" s="2493"/>
      <c r="F1" s="2493"/>
    </row>
    <row r="2" spans="1:15" x14ac:dyDescent="0.2">
      <c r="A2" s="1513" t="s">
        <v>1876</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94" t="s">
        <v>1529</v>
      </c>
      <c r="B5" s="2495"/>
      <c r="C5" s="2496"/>
      <c r="D5" s="2496"/>
      <c r="E5" s="2496"/>
      <c r="F5" s="2496"/>
      <c r="G5" s="1507"/>
      <c r="L5" s="1507"/>
      <c r="M5" s="1855"/>
      <c r="N5" s="1855"/>
      <c r="O5" s="1855"/>
    </row>
    <row r="6" spans="1:15" ht="12" customHeight="1" x14ac:dyDescent="0.25">
      <c r="A6" s="1480"/>
      <c r="B6" s="1481"/>
      <c r="C6" s="2497" t="str">
        <f>COVER!A17</f>
        <v xml:space="preserve">  Henry-Stark County Spec Ed Dist</v>
      </c>
      <c r="D6" s="2497"/>
      <c r="E6" s="2497"/>
      <c r="F6" s="1482"/>
      <c r="G6" s="1507"/>
      <c r="L6" s="1507"/>
      <c r="M6" s="1855"/>
      <c r="N6" s="1855"/>
      <c r="O6" s="1855"/>
    </row>
    <row r="7" spans="1:15" ht="11.25" customHeight="1" thickBot="1" x14ac:dyDescent="0.3">
      <c r="A7" s="1480"/>
      <c r="B7" s="1481"/>
      <c r="C7" s="2498">
        <f>COVER!A13</f>
        <v>28037801060</v>
      </c>
      <c r="D7" s="2498"/>
      <c r="E7" s="2498"/>
      <c r="F7" s="1482"/>
      <c r="G7" s="1507"/>
      <c r="L7" s="1507"/>
      <c r="M7" s="1855"/>
      <c r="N7" s="1855"/>
      <c r="O7" s="1855"/>
    </row>
    <row r="8" spans="1:15" ht="25.5" customHeight="1" thickBot="1" x14ac:dyDescent="0.25">
      <c r="A8" s="1519" t="s">
        <v>1872</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2049</v>
      </c>
      <c r="D26" s="1495" t="s">
        <v>2049</v>
      </c>
      <c r="E26" s="1498"/>
      <c r="F26" s="1497" t="s">
        <v>2080</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0</v>
      </c>
      <c r="K34" s="1507">
        <f>SUM(H34:J34)</f>
        <v>10</v>
      </c>
      <c r="L34" s="1507"/>
      <c r="M34" s="1855"/>
      <c r="N34" s="1855"/>
      <c r="O34" s="1855"/>
    </row>
    <row r="35" spans="1:15" ht="12" customHeight="1" x14ac:dyDescent="0.2">
      <c r="A35" s="1500" t="s">
        <v>1376</v>
      </c>
      <c r="B35" s="1501"/>
      <c r="C35" s="2499"/>
      <c r="D35" s="2499"/>
      <c r="E35" s="2499"/>
      <c r="F35" s="2500"/>
    </row>
    <row r="36" spans="1:15" ht="12" customHeight="1" x14ac:dyDescent="0.2">
      <c r="A36" s="2482"/>
      <c r="B36" s="2483"/>
      <c r="C36" s="2483"/>
      <c r="D36" s="2483"/>
      <c r="E36" s="2483"/>
      <c r="F36" s="2484"/>
    </row>
    <row r="37" spans="1:15" ht="12" customHeight="1" x14ac:dyDescent="0.2">
      <c r="A37" s="2482"/>
      <c r="B37" s="2483"/>
      <c r="C37" s="2483"/>
      <c r="D37" s="2483"/>
      <c r="E37" s="2483"/>
      <c r="F37" s="2484"/>
    </row>
    <row r="38" spans="1:15" ht="12" customHeight="1" x14ac:dyDescent="0.2">
      <c r="A38" s="2485"/>
      <c r="B38" s="2486"/>
      <c r="C38" s="2486"/>
      <c r="D38" s="2486"/>
      <c r="E38" s="2486"/>
      <c r="F38" s="2487"/>
    </row>
    <row r="39" spans="1:15" ht="4.5" hidden="1" customHeight="1" x14ac:dyDescent="0.2">
      <c r="A39" s="1502"/>
      <c r="B39" s="1502"/>
      <c r="C39" s="1502"/>
      <c r="D39" s="1502"/>
      <c r="E39" s="1502"/>
      <c r="F39" s="1502"/>
    </row>
    <row r="40" spans="1:15" s="1499" customFormat="1" ht="12" customHeight="1" x14ac:dyDescent="0.25">
      <c r="A40" s="1503" t="s">
        <v>1375</v>
      </c>
      <c r="B40" s="1504"/>
      <c r="C40" s="2488"/>
      <c r="D40" s="2488"/>
      <c r="E40" s="2488"/>
      <c r="F40" s="2489"/>
      <c r="H40" s="1508"/>
      <c r="I40" s="1508"/>
      <c r="J40" s="1508"/>
      <c r="K40" s="1508"/>
    </row>
    <row r="41" spans="1:15" s="1499" customFormat="1" ht="12" customHeight="1" x14ac:dyDescent="0.25">
      <c r="A41" s="2490" t="s">
        <v>2081</v>
      </c>
      <c r="B41" s="2491"/>
      <c r="C41" s="2491"/>
      <c r="D41" s="2491"/>
      <c r="E41" s="2491"/>
      <c r="F41" s="2492"/>
      <c r="H41" s="1508"/>
      <c r="I41" s="1508"/>
      <c r="J41" s="1508"/>
      <c r="K41" s="1508"/>
    </row>
    <row r="42" spans="1:15" s="1499" customFormat="1" ht="12" customHeight="1" x14ac:dyDescent="0.25">
      <c r="A42" s="2490"/>
      <c r="B42" s="2491"/>
      <c r="C42" s="2491"/>
      <c r="D42" s="2491"/>
      <c r="E42" s="2491"/>
      <c r="F42" s="2492"/>
      <c r="H42" s="1508"/>
      <c r="I42" s="1508"/>
      <c r="J42" s="1508"/>
      <c r="K42" s="1508"/>
    </row>
    <row r="43" spans="1:15" s="1499" customFormat="1" ht="15" x14ac:dyDescent="0.25">
      <c r="A43" s="2479"/>
      <c r="B43" s="2480"/>
      <c r="C43" s="2480"/>
      <c r="D43" s="2480"/>
      <c r="E43" s="2480"/>
      <c r="F43" s="2481"/>
      <c r="H43" s="1508"/>
      <c r="I43" s="1508"/>
      <c r="J43" s="1508"/>
      <c r="K43" s="1508"/>
    </row>
    <row r="44" spans="1:15" s="1499" customFormat="1" ht="12" hidden="1" customHeight="1" x14ac:dyDescent="0.25">
      <c r="A44" s="2479"/>
      <c r="B44" s="2480"/>
      <c r="C44" s="2480"/>
      <c r="D44" s="2480"/>
      <c r="E44" s="2480"/>
      <c r="F44" s="248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2000</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519" t="str">
        <f>COVER!A17</f>
        <v xml:space="preserve">  Henry-Stark County Spec Ed Dist</v>
      </c>
      <c r="K6" s="2519"/>
      <c r="L6" s="2533"/>
      <c r="M6" s="838"/>
      <c r="N6" s="1998"/>
    </row>
    <row r="7" spans="1:14" x14ac:dyDescent="0.2">
      <c r="A7" s="2534" t="s">
        <v>864</v>
      </c>
      <c r="B7" s="2535"/>
      <c r="C7" s="2535"/>
      <c r="D7" s="2535"/>
      <c r="E7" s="2536"/>
      <c r="F7" s="839"/>
      <c r="G7" s="838"/>
      <c r="H7" s="838"/>
      <c r="I7" s="1924" t="s">
        <v>369</v>
      </c>
      <c r="J7" s="2521">
        <f>COVER!A13</f>
        <v>28037801060</v>
      </c>
      <c r="K7" s="2521"/>
      <c r="L7" s="2521"/>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2016</v>
      </c>
      <c r="F9" s="1857"/>
      <c r="G9" s="1857"/>
      <c r="H9" s="1857"/>
      <c r="I9" s="1929" t="s">
        <v>2017</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537" t="s">
        <v>478</v>
      </c>
      <c r="B11" s="2538"/>
      <c r="C11" s="2539"/>
      <c r="D11" s="1937" t="s">
        <v>866</v>
      </c>
      <c r="E11" s="1937" t="s">
        <v>64</v>
      </c>
      <c r="F11" s="1937" t="s">
        <v>6</v>
      </c>
      <c r="G11" s="1938" t="s">
        <v>2018</v>
      </c>
      <c r="H11" s="1939" t="s">
        <v>155</v>
      </c>
      <c r="I11" s="1937" t="s">
        <v>64</v>
      </c>
      <c r="J11" s="1937" t="s">
        <v>6</v>
      </c>
      <c r="K11" s="1938" t="s">
        <v>1999</v>
      </c>
      <c r="L11" s="1939" t="s">
        <v>155</v>
      </c>
      <c r="M11" s="838"/>
      <c r="N11" s="1998"/>
    </row>
    <row r="12" spans="1:14" x14ac:dyDescent="0.2">
      <c r="A12" s="2003">
        <v>1</v>
      </c>
      <c r="B12" s="1940" t="s">
        <v>813</v>
      </c>
      <c r="C12" s="842"/>
      <c r="D12" s="1941">
        <v>2320</v>
      </c>
      <c r="E12" s="1944">
        <f>'Expenditures 15-22'!K50</f>
        <v>0</v>
      </c>
      <c r="F12" s="1942"/>
      <c r="G12" s="1968">
        <f>G68</f>
        <v>0</v>
      </c>
      <c r="H12" s="1944">
        <f t="shared" ref="H12:H18" si="0">SUM(E12:G12)</f>
        <v>0</v>
      </c>
      <c r="I12" s="1943"/>
      <c r="J12" s="1942"/>
      <c r="K12" s="1943"/>
      <c r="L12" s="1944">
        <f t="shared" ref="L12:L18" si="1">SUM(I12:K12)</f>
        <v>0</v>
      </c>
      <c r="M12" s="838"/>
      <c r="N12" s="1998"/>
    </row>
    <row r="13" spans="1:14" x14ac:dyDescent="0.2">
      <c r="A13" s="2003">
        <v>2</v>
      </c>
      <c r="B13" s="1940" t="s">
        <v>42</v>
      </c>
      <c r="C13" s="842"/>
      <c r="D13" s="1941">
        <v>2330</v>
      </c>
      <c r="E13" s="1944">
        <f>'Expenditures 15-22'!K51</f>
        <v>320669</v>
      </c>
      <c r="F13" s="1942"/>
      <c r="G13" s="1968">
        <f>H68</f>
        <v>0</v>
      </c>
      <c r="H13" s="1944">
        <f t="shared" si="0"/>
        <v>320669</v>
      </c>
      <c r="I13" s="1943"/>
      <c r="J13" s="1942"/>
      <c r="K13" s="1943"/>
      <c r="L13" s="1944">
        <f t="shared" si="1"/>
        <v>0</v>
      </c>
      <c r="M13" s="838"/>
      <c r="N13" s="1998"/>
    </row>
    <row r="14" spans="1:14" x14ac:dyDescent="0.2">
      <c r="A14" s="2003">
        <v>3</v>
      </c>
      <c r="B14" s="1940" t="s">
        <v>43</v>
      </c>
      <c r="C14" s="842"/>
      <c r="D14" s="1945">
        <v>2490</v>
      </c>
      <c r="E14" s="1944">
        <f>'Expenditures 15-22'!K56</f>
        <v>1500</v>
      </c>
      <c r="F14" s="1942"/>
      <c r="G14" s="1968">
        <f>I68</f>
        <v>0</v>
      </c>
      <c r="H14" s="1944">
        <f t="shared" si="0"/>
        <v>1500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14972</v>
      </c>
      <c r="F17" s="1942"/>
      <c r="G17" s="1968">
        <f>L68</f>
        <v>0</v>
      </c>
      <c r="H17" s="1944">
        <f t="shared" si="0"/>
        <v>14972</v>
      </c>
      <c r="I17" s="1943"/>
      <c r="J17" s="1942"/>
      <c r="K17" s="1943"/>
      <c r="L17" s="1944">
        <f t="shared" si="1"/>
        <v>0</v>
      </c>
      <c r="M17" s="838"/>
      <c r="N17" s="1998"/>
    </row>
    <row r="18" spans="1:14" ht="26.25" customHeight="1" x14ac:dyDescent="0.2">
      <c r="A18" s="2004">
        <v>7</v>
      </c>
      <c r="B18" s="2540" t="s">
        <v>7</v>
      </c>
      <c r="C18" s="2541"/>
      <c r="D18" s="2542"/>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337141</v>
      </c>
      <c r="F19" s="1950">
        <f t="shared" si="2"/>
        <v>0</v>
      </c>
      <c r="G19" s="1950">
        <f t="shared" ref="G19" si="3">SUM(G12:G17)-G18</f>
        <v>0</v>
      </c>
      <c r="H19" s="1950">
        <f t="shared" si="2"/>
        <v>337141</v>
      </c>
      <c r="I19" s="1950">
        <f t="shared" si="2"/>
        <v>0</v>
      </c>
      <c r="J19" s="1950">
        <f t="shared" si="2"/>
        <v>0</v>
      </c>
      <c r="K19" s="1950">
        <f t="shared" si="2"/>
        <v>0</v>
      </c>
      <c r="L19" s="1950">
        <f t="shared" si="2"/>
        <v>0</v>
      </c>
      <c r="M19" s="838"/>
      <c r="N19" s="1998"/>
    </row>
    <row r="20" spans="1:14" ht="13.5" thickTop="1" x14ac:dyDescent="0.2">
      <c r="A20" s="2003">
        <v>9</v>
      </c>
      <c r="B20" s="2543" t="s">
        <v>2019</v>
      </c>
      <c r="C20" s="2543"/>
      <c r="D20" s="2544"/>
      <c r="E20" s="1951"/>
      <c r="F20" s="1951"/>
      <c r="G20" s="1951"/>
      <c r="H20" s="1951"/>
      <c r="I20" s="1951"/>
      <c r="J20" s="1951"/>
      <c r="K20" s="1951"/>
      <c r="L20" s="1952" t="str">
        <f>IF(AND(H19&gt;0,L19&gt;0),(((L19-H19)/H19)),"Enter Budget Data")</f>
        <v>Enter Budget Data</v>
      </c>
      <c r="M20" s="838"/>
      <c r="N20" s="1998"/>
    </row>
    <row r="21" spans="1:14" x14ac:dyDescent="0.2">
      <c r="A21" s="2005" t="s">
        <v>194</v>
      </c>
      <c r="B21" s="2006" t="s">
        <v>2044</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2020</v>
      </c>
      <c r="B24" s="2010"/>
      <c r="C24" s="2011"/>
      <c r="D24" s="2011"/>
      <c r="E24" s="2011"/>
      <c r="F24" s="2011"/>
      <c r="G24" s="2011"/>
      <c r="H24" s="2011"/>
      <c r="I24" s="2011"/>
      <c r="J24" s="2011"/>
      <c r="K24" s="2011"/>
      <c r="L24" s="838"/>
      <c r="M24" s="838"/>
      <c r="N24" s="1998"/>
    </row>
    <row r="25" spans="1:14" x14ac:dyDescent="0.2">
      <c r="A25" s="2009" t="s">
        <v>2021</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545"/>
      <c r="D27" s="2545"/>
      <c r="E27" s="843"/>
      <c r="F27" s="2546"/>
      <c r="G27" s="2546"/>
      <c r="H27" s="2546"/>
      <c r="I27" s="838"/>
      <c r="J27" s="838"/>
      <c r="K27" s="838"/>
      <c r="L27" s="838"/>
      <c r="M27" s="838"/>
      <c r="N27" s="1998"/>
    </row>
    <row r="28" spans="1:14" x14ac:dyDescent="0.2">
      <c r="A28" s="1997"/>
      <c r="B28" s="2007"/>
      <c r="C28" s="1957" t="s">
        <v>1026</v>
      </c>
      <c r="D28" s="844"/>
      <c r="E28" s="1958"/>
      <c r="F28" s="2547" t="s">
        <v>1492</v>
      </c>
      <c r="G28" s="2547"/>
      <c r="H28" s="2547"/>
      <c r="I28" s="838"/>
      <c r="J28" s="838"/>
      <c r="K28" s="838"/>
      <c r="L28" s="838"/>
      <c r="M28" s="838"/>
      <c r="N28" s="1998"/>
    </row>
    <row r="29" spans="1:14" x14ac:dyDescent="0.2">
      <c r="A29" s="1997"/>
      <c r="B29" s="2007"/>
      <c r="C29" s="2548"/>
      <c r="D29" s="2548"/>
      <c r="E29" s="845"/>
      <c r="F29" s="2548"/>
      <c r="G29" s="2548"/>
      <c r="H29" s="2548"/>
      <c r="I29" s="838"/>
      <c r="J29" s="838"/>
      <c r="K29" s="838"/>
      <c r="L29" s="838"/>
      <c r="M29" s="838"/>
      <c r="N29" s="1998"/>
    </row>
    <row r="30" spans="1:14" x14ac:dyDescent="0.2">
      <c r="A30" s="1997"/>
      <c r="B30" s="2007"/>
      <c r="C30" s="1960" t="s">
        <v>1544</v>
      </c>
      <c r="D30" s="838"/>
      <c r="E30" s="1959"/>
      <c r="F30" s="2532" t="s">
        <v>1493</v>
      </c>
      <c r="G30" s="2532"/>
      <c r="H30" s="2532"/>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509" t="s">
        <v>2022</v>
      </c>
      <c r="D34" s="2510"/>
      <c r="E34" s="2510"/>
      <c r="F34" s="2510"/>
      <c r="G34" s="2510"/>
      <c r="H34" s="2510"/>
      <c r="I34" s="2510"/>
      <c r="J34" s="2510"/>
      <c r="K34" s="2016"/>
      <c r="L34" s="838"/>
      <c r="M34" s="838"/>
      <c r="N34" s="1998"/>
    </row>
    <row r="35" spans="1:14" x14ac:dyDescent="0.2">
      <c r="A35" s="1997"/>
      <c r="B35" s="838"/>
      <c r="C35" s="2510"/>
      <c r="D35" s="2510"/>
      <c r="E35" s="2510"/>
      <c r="F35" s="2510"/>
      <c r="G35" s="2510"/>
      <c r="H35" s="2510"/>
      <c r="I35" s="2510"/>
      <c r="J35" s="2510"/>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509" t="s">
        <v>2023</v>
      </c>
      <c r="D37" s="2510"/>
      <c r="E37" s="2510"/>
      <c r="F37" s="2510"/>
      <c r="G37" s="2510"/>
      <c r="H37" s="2510"/>
      <c r="I37" s="2510"/>
      <c r="J37" s="2510"/>
      <c r="K37" s="2016"/>
      <c r="L37" s="2018"/>
      <c r="M37" s="838"/>
      <c r="N37" s="1998"/>
    </row>
    <row r="38" spans="1:14" x14ac:dyDescent="0.2">
      <c r="A38" s="1997"/>
      <c r="B38" s="838"/>
      <c r="C38" s="2510"/>
      <c r="D38" s="2510"/>
      <c r="E38" s="2510"/>
      <c r="F38" s="2510"/>
      <c r="G38" s="2510"/>
      <c r="H38" s="2510"/>
      <c r="I38" s="2510"/>
      <c r="J38" s="2510"/>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511" t="s">
        <v>2024</v>
      </c>
      <c r="D40" s="2512"/>
      <c r="E40" s="2512"/>
      <c r="F40" s="2512"/>
      <c r="G40" s="2512"/>
      <c r="H40" s="2512"/>
      <c r="I40" s="2512"/>
      <c r="J40" s="2512"/>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513" t="s">
        <v>2025</v>
      </c>
      <c r="B43" s="2514"/>
      <c r="C43" s="2514"/>
      <c r="D43" s="2514"/>
      <c r="E43" s="2514"/>
      <c r="F43" s="2514"/>
      <c r="G43" s="2514"/>
      <c r="H43" s="2514"/>
      <c r="I43" s="2514"/>
      <c r="J43" s="2514"/>
      <c r="K43" s="2514"/>
      <c r="L43" s="2514"/>
      <c r="M43" s="2514"/>
      <c r="N43" s="2515"/>
    </row>
    <row r="44" spans="1:14" x14ac:dyDescent="0.2">
      <c r="A44" s="1982"/>
      <c r="B44" s="1983"/>
      <c r="C44" s="1983"/>
      <c r="D44" s="1983"/>
      <c r="E44" s="1983"/>
      <c r="F44" s="1983"/>
      <c r="G44" s="1983"/>
      <c r="H44" s="1983"/>
      <c r="I44" s="1983"/>
      <c r="J44" s="1983"/>
      <c r="K44" s="1983"/>
      <c r="L44" s="1983"/>
      <c r="M44" s="1983"/>
      <c r="N44" s="1984"/>
    </row>
    <row r="45" spans="1:14" x14ac:dyDescent="0.2">
      <c r="A45" s="1982" t="s">
        <v>2026</v>
      </c>
      <c r="B45" s="1983"/>
      <c r="C45" s="1983"/>
      <c r="D45" s="1983"/>
      <c r="E45" s="1983"/>
      <c r="F45" s="1983"/>
      <c r="G45" s="1983"/>
      <c r="H45" s="1983"/>
      <c r="I45" s="1983"/>
      <c r="J45" s="1983"/>
      <c r="K45" s="1983"/>
      <c r="L45" s="1983"/>
      <c r="M45" s="1983"/>
      <c r="N45" s="1984"/>
    </row>
    <row r="46" spans="1:14" x14ac:dyDescent="0.2">
      <c r="A46" s="2516" t="s">
        <v>2027</v>
      </c>
      <c r="B46" s="2517"/>
      <c r="C46" s="2517"/>
      <c r="D46" s="2517"/>
      <c r="E46" s="2517"/>
      <c r="F46" s="2517"/>
      <c r="G46" s="2517"/>
      <c r="H46" s="2517"/>
      <c r="I46" s="2517"/>
      <c r="J46" s="2517"/>
      <c r="K46" s="2517"/>
      <c r="L46" s="2517"/>
      <c r="M46" s="2517"/>
      <c r="N46" s="2518"/>
    </row>
    <row r="47" spans="1:14" x14ac:dyDescent="0.2">
      <c r="A47" s="2516"/>
      <c r="B47" s="2517"/>
      <c r="C47" s="2517"/>
      <c r="D47" s="2517"/>
      <c r="E47" s="2517"/>
      <c r="F47" s="2517"/>
      <c r="G47" s="2517"/>
      <c r="H47" s="2517"/>
      <c r="I47" s="2517"/>
      <c r="J47" s="2517"/>
      <c r="K47" s="2517"/>
      <c r="L47" s="2517"/>
      <c r="M47" s="2517"/>
      <c r="N47" s="2518"/>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2043</v>
      </c>
      <c r="B49" s="2024"/>
      <c r="C49" s="2024"/>
      <c r="D49" s="2025"/>
      <c r="E49" s="2025"/>
      <c r="F49" s="2025"/>
      <c r="G49" s="2025"/>
      <c r="H49" s="2025"/>
      <c r="I49" s="2025"/>
      <c r="J49" s="2025"/>
      <c r="K49" s="2025"/>
      <c r="L49" s="2025"/>
      <c r="M49" s="2025"/>
      <c r="N49" s="2026"/>
    </row>
    <row r="50" spans="1:14" ht="15" x14ac:dyDescent="0.25">
      <c r="A50" s="2028" t="s">
        <v>2042</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519" t="str">
        <f>J6</f>
        <v xml:space="preserve">  Henry-Stark County Spec Ed Dist</v>
      </c>
      <c r="M52" s="2519"/>
      <c r="N52" s="2520"/>
    </row>
    <row r="53" spans="1:14" x14ac:dyDescent="0.2">
      <c r="A53" s="1982"/>
      <c r="B53" s="1983"/>
      <c r="C53" s="1983"/>
      <c r="D53" s="1983"/>
      <c r="E53" s="1983"/>
      <c r="F53" s="1983"/>
      <c r="G53" s="1983"/>
      <c r="H53" s="1983"/>
      <c r="I53" s="1983"/>
      <c r="J53" s="1983"/>
      <c r="K53" s="1924" t="s">
        <v>369</v>
      </c>
      <c r="L53" s="2521">
        <f>J7</f>
        <v>28037801060</v>
      </c>
      <c r="M53" s="2521"/>
      <c r="N53" s="252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523"/>
      <c r="B55" s="2524"/>
      <c r="C55" s="2524"/>
      <c r="D55" s="1970"/>
      <c r="E55" s="1970"/>
      <c r="F55" s="1970"/>
      <c r="G55" s="2525" t="s">
        <v>2028</v>
      </c>
      <c r="H55" s="2525"/>
      <c r="I55" s="2525"/>
      <c r="J55" s="2525"/>
      <c r="K55" s="2525"/>
      <c r="L55" s="2525"/>
      <c r="M55" s="2525"/>
      <c r="N55" s="2526"/>
    </row>
    <row r="56" spans="1:14" ht="63.75" x14ac:dyDescent="0.2">
      <c r="A56" s="2527" t="s">
        <v>2029</v>
      </c>
      <c r="B56" s="2528"/>
      <c r="C56" s="2529"/>
      <c r="D56" s="1964" t="s">
        <v>2030</v>
      </c>
      <c r="E56" s="1964" t="s">
        <v>2031</v>
      </c>
      <c r="F56" s="1971"/>
      <c r="G56" s="1964" t="s">
        <v>2032</v>
      </c>
      <c r="H56" s="1964" t="s">
        <v>2033</v>
      </c>
      <c r="I56" s="1964" t="s">
        <v>2034</v>
      </c>
      <c r="J56" s="1964" t="s">
        <v>2035</v>
      </c>
      <c r="K56" s="1964" t="s">
        <v>2036</v>
      </c>
      <c r="L56" s="1964" t="s">
        <v>2037</v>
      </c>
      <c r="M56" s="1964" t="s">
        <v>2038</v>
      </c>
      <c r="N56" s="1965" t="s">
        <v>2045</v>
      </c>
    </row>
    <row r="57" spans="1:14" ht="24.75" customHeight="1" x14ac:dyDescent="0.2">
      <c r="A57" s="2530" t="s">
        <v>296</v>
      </c>
      <c r="B57" s="2531"/>
      <c r="C57" s="253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507" t="s">
        <v>2039</v>
      </c>
      <c r="B58" s="2508"/>
      <c r="C58" s="2508"/>
      <c r="D58" s="1967">
        <v>2362</v>
      </c>
      <c r="E58" s="1977">
        <f>'Expenditures 15-22'!K320</f>
        <v>19839</v>
      </c>
      <c r="F58" s="1972"/>
      <c r="G58" s="2031"/>
      <c r="H58" s="2032"/>
      <c r="I58" s="2032"/>
      <c r="J58" s="2032"/>
      <c r="K58" s="2032"/>
      <c r="L58" s="2032"/>
      <c r="M58" s="2032">
        <v>19839</v>
      </c>
      <c r="N58" s="1975">
        <f>IF((SUM(G58:M58))=E58,SUM(G58:M58),"Column N does not agree with Column E")</f>
        <v>19839</v>
      </c>
    </row>
    <row r="59" spans="1:14" ht="24.75" customHeight="1" x14ac:dyDescent="0.2">
      <c r="A59" s="2501" t="s">
        <v>297</v>
      </c>
      <c r="B59" s="2502"/>
      <c r="C59" s="2502"/>
      <c r="D59" s="1967">
        <v>2363</v>
      </c>
      <c r="E59" s="1977">
        <f>'Expenditures 15-22'!K321</f>
        <v>1168</v>
      </c>
      <c r="F59" s="1972"/>
      <c r="G59" s="2031"/>
      <c r="H59" s="2032"/>
      <c r="I59" s="2032"/>
      <c r="J59" s="2032"/>
      <c r="K59" s="2032"/>
      <c r="L59" s="2032"/>
      <c r="M59" s="2032">
        <v>1168</v>
      </c>
      <c r="N59" s="1975">
        <f>IF((SUM(G59:M59))=E59,SUM(G59:M59),"Column N does not agree with Column E")</f>
        <v>1168</v>
      </c>
    </row>
    <row r="60" spans="1:14" ht="24" customHeight="1" x14ac:dyDescent="0.2">
      <c r="A60" s="2501" t="s">
        <v>236</v>
      </c>
      <c r="B60" s="2502"/>
      <c r="C60" s="2502"/>
      <c r="D60" s="1967">
        <v>2364</v>
      </c>
      <c r="E60" s="1977">
        <f>'Expenditures 15-22'!K322</f>
        <v>15015</v>
      </c>
      <c r="F60" s="1972"/>
      <c r="G60" s="2031"/>
      <c r="H60" s="2032"/>
      <c r="I60" s="2032"/>
      <c r="J60" s="2032"/>
      <c r="K60" s="2032"/>
      <c r="L60" s="2032"/>
      <c r="M60" s="2032">
        <v>15015</v>
      </c>
      <c r="N60" s="1975">
        <f t="shared" ref="N60:N67" si="4">IF((SUM(G60:M60))=E60,SUM(G60:M60),"Column N does not agree with Column E")</f>
        <v>15015</v>
      </c>
    </row>
    <row r="61" spans="1:14" ht="24.75" customHeight="1" x14ac:dyDescent="0.2">
      <c r="A61" s="2501" t="s">
        <v>697</v>
      </c>
      <c r="B61" s="2502"/>
      <c r="C61" s="2502"/>
      <c r="D61" s="1967">
        <v>2365</v>
      </c>
      <c r="E61" s="1977">
        <f>'Expenditures 15-22'!K323</f>
        <v>0</v>
      </c>
      <c r="F61" s="1972"/>
      <c r="G61" s="2031"/>
      <c r="H61" s="2032"/>
      <c r="I61" s="2032"/>
      <c r="J61" s="2032"/>
      <c r="K61" s="2032"/>
      <c r="L61" s="2032"/>
      <c r="M61" s="2032"/>
      <c r="N61" s="1975">
        <f t="shared" si="4"/>
        <v>0</v>
      </c>
    </row>
    <row r="62" spans="1:14" ht="24" customHeight="1" x14ac:dyDescent="0.2">
      <c r="A62" s="2501" t="s">
        <v>237</v>
      </c>
      <c r="B62" s="2502"/>
      <c r="C62" s="2502"/>
      <c r="D62" s="1967">
        <v>2366</v>
      </c>
      <c r="E62" s="1977">
        <f>'Expenditures 15-22'!K324</f>
        <v>0</v>
      </c>
      <c r="F62" s="1972"/>
      <c r="G62" s="2031"/>
      <c r="H62" s="2032"/>
      <c r="I62" s="2032"/>
      <c r="J62" s="2032"/>
      <c r="K62" s="2032"/>
      <c r="L62" s="2032"/>
      <c r="M62" s="2032"/>
      <c r="N62" s="1975">
        <f t="shared" si="4"/>
        <v>0</v>
      </c>
    </row>
    <row r="63" spans="1:14" ht="24" customHeight="1" x14ac:dyDescent="0.2">
      <c r="A63" s="2507" t="s">
        <v>1022</v>
      </c>
      <c r="B63" s="2508"/>
      <c r="C63" s="2508"/>
      <c r="D63" s="1967">
        <v>2367</v>
      </c>
      <c r="E63" s="1977">
        <f>'Expenditures 15-22'!K325</f>
        <v>14051</v>
      </c>
      <c r="F63" s="1972"/>
      <c r="G63" s="2031"/>
      <c r="H63" s="2032"/>
      <c r="I63" s="2032"/>
      <c r="J63" s="2032"/>
      <c r="K63" s="2032"/>
      <c r="L63" s="2032"/>
      <c r="M63" s="2032">
        <v>14051</v>
      </c>
      <c r="N63" s="1975">
        <f t="shared" si="4"/>
        <v>14051</v>
      </c>
    </row>
    <row r="64" spans="1:14" ht="24" customHeight="1" x14ac:dyDescent="0.2">
      <c r="A64" s="2501" t="s">
        <v>1023</v>
      </c>
      <c r="B64" s="2502"/>
      <c r="C64" s="2502"/>
      <c r="D64" s="1967">
        <v>2368</v>
      </c>
      <c r="E64" s="1977">
        <f>'Expenditures 15-22'!K326</f>
        <v>0</v>
      </c>
      <c r="F64" s="1972"/>
      <c r="G64" s="2031"/>
      <c r="H64" s="2032"/>
      <c r="I64" s="2032"/>
      <c r="J64" s="2032"/>
      <c r="K64" s="2032"/>
      <c r="L64" s="2032"/>
      <c r="M64" s="2032"/>
      <c r="N64" s="1975">
        <f t="shared" si="4"/>
        <v>0</v>
      </c>
    </row>
    <row r="65" spans="1:14" ht="24" customHeight="1" x14ac:dyDescent="0.2">
      <c r="A65" s="2501" t="s">
        <v>965</v>
      </c>
      <c r="B65" s="2502"/>
      <c r="C65" s="2502"/>
      <c r="D65" s="1967">
        <v>2369</v>
      </c>
      <c r="E65" s="1977">
        <f>'Expenditures 15-22'!K327</f>
        <v>6186</v>
      </c>
      <c r="F65" s="1972"/>
      <c r="G65" s="2031"/>
      <c r="H65" s="2032"/>
      <c r="I65" s="2032"/>
      <c r="J65" s="2032"/>
      <c r="K65" s="2032"/>
      <c r="L65" s="2032"/>
      <c r="M65" s="2032">
        <v>6186</v>
      </c>
      <c r="N65" s="1975">
        <f t="shared" si="4"/>
        <v>6186</v>
      </c>
    </row>
    <row r="66" spans="1:14" ht="24" customHeight="1" x14ac:dyDescent="0.2">
      <c r="A66" s="2501" t="s">
        <v>469</v>
      </c>
      <c r="B66" s="2502"/>
      <c r="C66" s="2502"/>
      <c r="D66" s="1967">
        <v>2371</v>
      </c>
      <c r="E66" s="1977">
        <f>'Expenditures 15-22'!K328</f>
        <v>0</v>
      </c>
      <c r="F66" s="1972"/>
      <c r="G66" s="2031"/>
      <c r="H66" s="2032"/>
      <c r="I66" s="2032"/>
      <c r="J66" s="2032"/>
      <c r="K66" s="2032"/>
      <c r="L66" s="2032"/>
      <c r="M66" s="2032"/>
      <c r="N66" s="1975">
        <f t="shared" si="4"/>
        <v>0</v>
      </c>
    </row>
    <row r="67" spans="1:14" ht="24.75" customHeight="1" x14ac:dyDescent="0.2">
      <c r="A67" s="2503" t="s">
        <v>2040</v>
      </c>
      <c r="B67" s="2504"/>
      <c r="C67" s="2504"/>
      <c r="D67" s="1969">
        <v>2372</v>
      </c>
      <c r="E67" s="1978">
        <f>'Expenditures 15-22'!K329</f>
        <v>0</v>
      </c>
      <c r="F67" s="1972"/>
      <c r="G67" s="2033"/>
      <c r="H67" s="2034"/>
      <c r="I67" s="2034"/>
      <c r="J67" s="2034"/>
      <c r="K67" s="2034"/>
      <c r="L67" s="2034"/>
      <c r="M67" s="2034"/>
      <c r="N67" s="1975">
        <f t="shared" si="4"/>
        <v>0</v>
      </c>
    </row>
    <row r="68" spans="1:14" x14ac:dyDescent="0.2">
      <c r="A68" s="2505" t="s">
        <v>1151</v>
      </c>
      <c r="B68" s="2506"/>
      <c r="C68" s="2506"/>
      <c r="D68" s="1970"/>
      <c r="E68" s="1974">
        <f>SUM(E57:E67)</f>
        <v>56259</v>
      </c>
      <c r="F68" s="1973"/>
      <c r="G68" s="1974">
        <f t="shared" ref="G68:N68" si="5">SUM(G57:G67)</f>
        <v>0</v>
      </c>
      <c r="H68" s="1974">
        <f t="shared" si="5"/>
        <v>0</v>
      </c>
      <c r="I68" s="1974">
        <f t="shared" si="5"/>
        <v>0</v>
      </c>
      <c r="J68" s="1974">
        <f t="shared" si="5"/>
        <v>0</v>
      </c>
      <c r="K68" s="1974">
        <f t="shared" si="5"/>
        <v>0</v>
      </c>
      <c r="L68" s="1974">
        <f t="shared" si="5"/>
        <v>0</v>
      </c>
      <c r="M68" s="1974">
        <f t="shared" si="5"/>
        <v>56259</v>
      </c>
      <c r="N68" s="1988">
        <f t="shared" si="5"/>
        <v>56259</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2041</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2082</v>
      </c>
    </row>
    <row r="6" spans="1:2" x14ac:dyDescent="0.2">
      <c r="A6" s="847">
        <v>2</v>
      </c>
      <c r="B6" s="307" t="s">
        <v>2083</v>
      </c>
    </row>
    <row r="7" spans="1:2" x14ac:dyDescent="0.2">
      <c r="A7" s="847"/>
    </row>
    <row r="8" spans="1:2" x14ac:dyDescent="0.2">
      <c r="A8" s="847"/>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Henry-Stark County Spec Ed Dist</v>
      </c>
    </row>
    <row r="65" spans="2:2" x14ac:dyDescent="0.2">
      <c r="B65" s="849">
        <f>COVER!A13</f>
        <v>28037801060</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1828</v>
      </c>
      <c r="C4" s="157" t="s">
        <v>1159</v>
      </c>
      <c r="D4" s="164" t="s">
        <v>10</v>
      </c>
      <c r="E4" s="165" t="s">
        <v>22</v>
      </c>
    </row>
    <row r="5" spans="1:5" x14ac:dyDescent="0.2">
      <c r="A5" s="163" t="s">
        <v>1830</v>
      </c>
      <c r="C5" s="157" t="s">
        <v>1159</v>
      </c>
      <c r="D5" s="164" t="s">
        <v>10</v>
      </c>
      <c r="E5" s="165" t="s">
        <v>22</v>
      </c>
    </row>
    <row r="6" spans="1:5" x14ac:dyDescent="0.2">
      <c r="A6" s="163" t="s">
        <v>1829</v>
      </c>
      <c r="C6" s="157" t="s">
        <v>1159</v>
      </c>
      <c r="D6" s="162" t="s">
        <v>11</v>
      </c>
      <c r="E6" s="165" t="s">
        <v>935</v>
      </c>
    </row>
    <row r="7" spans="1:5" x14ac:dyDescent="0.2">
      <c r="A7" s="163" t="s">
        <v>1831</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1832</v>
      </c>
      <c r="C11" s="157" t="s">
        <v>1159</v>
      </c>
      <c r="D11" s="164" t="s">
        <v>14</v>
      </c>
      <c r="E11" s="165" t="s">
        <v>1146</v>
      </c>
    </row>
    <row r="12" spans="1:5" x14ac:dyDescent="0.2">
      <c r="B12" s="164" t="s">
        <v>1833</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1834</v>
      </c>
      <c r="C15" s="157" t="s">
        <v>1159</v>
      </c>
      <c r="D15" s="164" t="s">
        <v>17</v>
      </c>
      <c r="E15" s="165" t="s">
        <v>631</v>
      </c>
    </row>
    <row r="16" spans="1:5" x14ac:dyDescent="0.2">
      <c r="A16" s="167"/>
      <c r="B16" s="157" t="s">
        <v>1835</v>
      </c>
      <c r="C16" s="157" t="s">
        <v>1159</v>
      </c>
      <c r="D16" s="164" t="s">
        <v>676</v>
      </c>
      <c r="E16" s="165" t="s">
        <v>1033</v>
      </c>
    </row>
    <row r="17" spans="1:5" x14ac:dyDescent="0.2">
      <c r="B17" s="162" t="s">
        <v>981</v>
      </c>
      <c r="C17" s="157" t="s">
        <v>1159</v>
      </c>
    </row>
    <row r="18" spans="1:5" x14ac:dyDescent="0.2">
      <c r="B18" s="162" t="s">
        <v>1841</v>
      </c>
      <c r="D18" s="164" t="s">
        <v>18</v>
      </c>
      <c r="E18" s="165" t="s">
        <v>1034</v>
      </c>
    </row>
    <row r="19" spans="1:5" x14ac:dyDescent="0.2">
      <c r="A19" s="163" t="s">
        <v>1090</v>
      </c>
      <c r="C19" s="157" t="s">
        <v>1159</v>
      </c>
      <c r="D19" s="164"/>
      <c r="E19" s="166"/>
    </row>
    <row r="20" spans="1:5" x14ac:dyDescent="0.2">
      <c r="B20" s="162" t="s">
        <v>1836</v>
      </c>
      <c r="C20" s="157" t="s">
        <v>1159</v>
      </c>
      <c r="D20" s="164" t="s">
        <v>19</v>
      </c>
      <c r="E20" s="165" t="s">
        <v>51</v>
      </c>
    </row>
    <row r="21" spans="1:5" x14ac:dyDescent="0.2">
      <c r="B21" s="162" t="s">
        <v>1837</v>
      </c>
      <c r="C21" s="157" t="s">
        <v>1159</v>
      </c>
      <c r="D21" s="164" t="s">
        <v>20</v>
      </c>
      <c r="E21" s="165" t="s">
        <v>1593</v>
      </c>
    </row>
    <row r="22" spans="1:5" x14ac:dyDescent="0.2">
      <c r="A22" s="163"/>
      <c r="B22" s="157" t="s">
        <v>1825</v>
      </c>
      <c r="C22" s="157" t="s">
        <v>1159</v>
      </c>
      <c r="D22" s="162" t="s">
        <v>1827</v>
      </c>
      <c r="E22" s="1470" t="s">
        <v>1594</v>
      </c>
    </row>
    <row r="23" spans="1:5" x14ac:dyDescent="0.2">
      <c r="A23" s="163"/>
      <c r="B23" s="157" t="s">
        <v>1826</v>
      </c>
      <c r="D23" s="162" t="s">
        <v>632</v>
      </c>
      <c r="E23" s="1470" t="s">
        <v>953</v>
      </c>
    </row>
    <row r="24" spans="1:5" x14ac:dyDescent="0.2">
      <c r="A24" s="163" t="s">
        <v>1592</v>
      </c>
      <c r="C24" s="157" t="s">
        <v>1159</v>
      </c>
      <c r="D24" s="162" t="s">
        <v>1377</v>
      </c>
      <c r="E24" s="165" t="s">
        <v>954</v>
      </c>
    </row>
    <row r="25" spans="1:5" x14ac:dyDescent="0.2">
      <c r="A25" s="163" t="s">
        <v>1838</v>
      </c>
      <c r="C25" s="157" t="s">
        <v>1159</v>
      </c>
      <c r="D25" s="164" t="s">
        <v>21</v>
      </c>
      <c r="E25" s="1470" t="s">
        <v>2046</v>
      </c>
    </row>
    <row r="26" spans="1:5" x14ac:dyDescent="0.2">
      <c r="A26" s="163" t="s">
        <v>1839</v>
      </c>
      <c r="C26" s="157" t="s">
        <v>1159</v>
      </c>
      <c r="D26" s="164" t="s">
        <v>559</v>
      </c>
      <c r="E26" s="1470" t="s">
        <v>678</v>
      </c>
    </row>
    <row r="27" spans="1:5" x14ac:dyDescent="0.2">
      <c r="A27" s="163" t="s">
        <v>1840</v>
      </c>
      <c r="C27" s="157" t="s">
        <v>1159</v>
      </c>
      <c r="D27" s="164" t="s">
        <v>553</v>
      </c>
      <c r="E27" s="1470" t="s">
        <v>1350</v>
      </c>
    </row>
    <row r="28" spans="1:5" x14ac:dyDescent="0.2">
      <c r="A28" s="163" t="s">
        <v>1842</v>
      </c>
      <c r="D28" s="164" t="s">
        <v>679</v>
      </c>
      <c r="E28" s="1470" t="s">
        <v>1359</v>
      </c>
    </row>
    <row r="29" spans="1:5" x14ac:dyDescent="0.2">
      <c r="A29" s="163" t="s">
        <v>1843</v>
      </c>
      <c r="D29" s="164" t="s">
        <v>1378</v>
      </c>
      <c r="E29" s="1470" t="s">
        <v>2047</v>
      </c>
    </row>
    <row r="30" spans="1:5" x14ac:dyDescent="0.2">
      <c r="A30" s="168" t="s">
        <v>1844</v>
      </c>
      <c r="C30" s="157" t="s">
        <v>1159</v>
      </c>
      <c r="D30" s="164" t="s">
        <v>40</v>
      </c>
      <c r="E30" s="165" t="s">
        <v>975</v>
      </c>
    </row>
    <row r="31" spans="1:5" x14ac:dyDescent="0.2">
      <c r="A31" s="163" t="s">
        <v>1504</v>
      </c>
      <c r="C31" s="157" t="s">
        <v>1159</v>
      </c>
      <c r="D31" s="162"/>
      <c r="E31" s="166"/>
    </row>
    <row r="32" spans="1:5" x14ac:dyDescent="0.2">
      <c r="B32" s="162" t="s">
        <v>1845</v>
      </c>
      <c r="C32" s="157" t="s">
        <v>1159</v>
      </c>
      <c r="D32" s="164" t="s">
        <v>1505</v>
      </c>
      <c r="E32" s="165" t="s">
        <v>2048</v>
      </c>
    </row>
    <row r="33" spans="1:5" x14ac:dyDescent="0.2">
      <c r="A33" s="167"/>
      <c r="D33" s="164"/>
      <c r="E33" s="166"/>
    </row>
    <row r="34" spans="1:5" x14ac:dyDescent="0.2">
      <c r="A34" s="167"/>
      <c r="D34" s="164"/>
      <c r="E34" s="166"/>
    </row>
    <row r="35" spans="1:5" ht="15.75" customHeight="1" thickBot="1" x14ac:dyDescent="0.25">
      <c r="A35" s="2235" t="s">
        <v>1056</v>
      </c>
      <c r="B35" s="2235"/>
      <c r="C35" s="2235"/>
      <c r="D35" s="2235"/>
      <c r="E35" s="223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32" t="s">
        <v>686</v>
      </c>
      <c r="B40" s="2232"/>
      <c r="C40" s="2232"/>
      <c r="D40" s="2232"/>
      <c r="E40" s="2232"/>
    </row>
    <row r="41" spans="1:5" x14ac:dyDescent="0.2">
      <c r="A41" s="2233" t="s">
        <v>1591</v>
      </c>
      <c r="B41" s="2233"/>
      <c r="C41" s="2233"/>
      <c r="D41" s="2233"/>
      <c r="E41" s="2233"/>
    </row>
    <row r="42" spans="1:5" ht="12.75" customHeight="1" x14ac:dyDescent="0.2">
      <c r="A42" s="2234" t="s">
        <v>1015</v>
      </c>
      <c r="B42" s="2234"/>
      <c r="C42" s="2234"/>
      <c r="D42" s="2234"/>
      <c r="E42" s="2234"/>
    </row>
    <row r="43" spans="1:5" ht="6.75" customHeight="1" x14ac:dyDescent="0.2">
      <c r="A43" s="162"/>
      <c r="B43" s="171"/>
    </row>
    <row r="44" spans="1:5" x14ac:dyDescent="0.2">
      <c r="A44" s="180" t="s">
        <v>976</v>
      </c>
      <c r="B44" s="181" t="s">
        <v>1868</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6" t="s">
        <v>1751</v>
      </c>
    </row>
    <row r="60" spans="1:3" x14ac:dyDescent="0.2">
      <c r="A60" s="191"/>
      <c r="B60" s="1256" t="s">
        <v>1752</v>
      </c>
    </row>
    <row r="61" spans="1:3" ht="6" customHeight="1" x14ac:dyDescent="0.2">
      <c r="A61" s="192"/>
      <c r="B61" s="184"/>
    </row>
    <row r="62" spans="1:3" x14ac:dyDescent="0.2">
      <c r="A62" s="164" t="s">
        <v>1599</v>
      </c>
      <c r="B62" s="193" t="s">
        <v>1748</v>
      </c>
    </row>
    <row r="63" spans="1:3" x14ac:dyDescent="0.2">
      <c r="A63" s="183"/>
      <c r="B63" s="164" t="s">
        <v>1763</v>
      </c>
    </row>
    <row r="64" spans="1:3" x14ac:dyDescent="0.2">
      <c r="A64" s="190"/>
      <c r="B64" s="1258"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7" t="s">
        <v>1602</v>
      </c>
    </row>
    <row r="72" spans="1:9" ht="9" customHeight="1" x14ac:dyDescent="0.2">
      <c r="A72" s="187"/>
      <c r="B72" s="194"/>
    </row>
    <row r="73" spans="1:9" x14ac:dyDescent="0.2">
      <c r="A73" s="184" t="s">
        <v>1603</v>
      </c>
      <c r="B73" s="164" t="s">
        <v>1759</v>
      </c>
    </row>
    <row r="74" spans="1:9" x14ac:dyDescent="0.2">
      <c r="A74" s="184"/>
      <c r="B74" s="164" t="s">
        <v>1758</v>
      </c>
    </row>
    <row r="75" spans="1:9" ht="8.25" customHeight="1" x14ac:dyDescent="0.2">
      <c r="A75" s="184"/>
      <c r="B75" s="184"/>
    </row>
    <row r="76" spans="1:9" ht="12.2" customHeight="1" x14ac:dyDescent="0.2">
      <c r="A76" s="184" t="s">
        <v>1604</v>
      </c>
      <c r="B76" s="193" t="s">
        <v>1760</v>
      </c>
    </row>
    <row r="77" spans="1:9" ht="12.2" customHeight="1" x14ac:dyDescent="0.2">
      <c r="A77" s="185"/>
      <c r="B77" s="164" t="s">
        <v>1605</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16" sqref="G1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1971</v>
      </c>
    </row>
    <row r="17" spans="1:2" ht="6" customHeight="1" x14ac:dyDescent="0.2"/>
    <row r="18" spans="1:2" ht="24.75" customHeight="1" x14ac:dyDescent="0.2">
      <c r="A18" s="2549" t="s">
        <v>1665</v>
      </c>
      <c r="B18" s="254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1971675</xdr:colOff>
                <xdr:row>1</xdr:row>
                <xdr:rowOff>114300</xdr:rowOff>
              </from>
              <to>
                <xdr:col>1</xdr:col>
                <xdr:colOff>2886075</xdr:colOff>
                <xdr:row>6</xdr:row>
                <xdr:rowOff>76200</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50" t="s">
        <v>1669</v>
      </c>
      <c r="B1" s="2551"/>
      <c r="C1" s="2551"/>
      <c r="D1" s="2551"/>
      <c r="E1" s="2551"/>
      <c r="F1" s="2552"/>
    </row>
    <row r="2" spans="1:8" ht="45" customHeight="1" x14ac:dyDescent="0.2">
      <c r="A2" s="256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61"/>
      <c r="C2" s="2561"/>
      <c r="D2" s="2561"/>
      <c r="E2" s="2561"/>
      <c r="F2" s="2562"/>
      <c r="G2" s="853"/>
      <c r="H2" s="853"/>
    </row>
    <row r="3" spans="1:8" ht="57" customHeight="1" x14ac:dyDescent="0.2">
      <c r="A3" s="2563" t="s">
        <v>1970</v>
      </c>
      <c r="B3" s="2564"/>
      <c r="C3" s="2564"/>
      <c r="D3" s="2564"/>
      <c r="E3" s="2564"/>
      <c r="F3" s="2565"/>
      <c r="G3" s="853"/>
      <c r="H3" s="853"/>
    </row>
    <row r="4" spans="1:8" ht="14.25" customHeight="1" x14ac:dyDescent="0.2">
      <c r="A4" s="256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70"/>
      <c r="C4" s="2570"/>
      <c r="D4" s="2570"/>
      <c r="E4" s="2570"/>
      <c r="F4" s="2571"/>
      <c r="G4" s="853"/>
      <c r="H4" s="853"/>
    </row>
    <row r="5" spans="1:8" ht="14.25" customHeight="1" x14ac:dyDescent="0.2">
      <c r="A5" s="257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73"/>
      <c r="C5" s="2573"/>
      <c r="D5" s="2573"/>
      <c r="E5" s="2573"/>
      <c r="F5" s="2574"/>
      <c r="G5" s="853"/>
      <c r="H5" s="853"/>
    </row>
    <row r="6" spans="1:8" s="854" customFormat="1" ht="41.25" customHeight="1" x14ac:dyDescent="0.2">
      <c r="A6" s="2566" t="s">
        <v>1670</v>
      </c>
      <c r="B6" s="2567"/>
      <c r="C6" s="2567"/>
      <c r="D6" s="2567"/>
      <c r="E6" s="2567"/>
      <c r="F6" s="256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10471339</v>
      </c>
      <c r="C8" s="1813">
        <f>'Acct Summary 7-8'!D8</f>
        <v>0</v>
      </c>
      <c r="D8" s="1813">
        <f>'Acct Summary 7-8'!F8</f>
        <v>0</v>
      </c>
      <c r="E8" s="1813">
        <f>'Acct Summary 7-8'!I8</f>
        <v>0</v>
      </c>
      <c r="F8" s="1813">
        <f>SUM(B8:E8)</f>
        <v>10471339</v>
      </c>
    </row>
    <row r="9" spans="1:8" s="858" customFormat="1" ht="14.25" customHeight="1" thickBot="1" x14ac:dyDescent="0.25">
      <c r="A9" s="857" t="s">
        <v>1353</v>
      </c>
      <c r="B9" s="1814">
        <f>'Acct Summary 7-8'!C17</f>
        <v>8492230</v>
      </c>
      <c r="C9" s="1814">
        <f>'Acct Summary 7-8'!D17</f>
        <v>0</v>
      </c>
      <c r="D9" s="1814">
        <f>'Acct Summary 7-8'!F17</f>
        <v>0</v>
      </c>
      <c r="E9" s="1813"/>
      <c r="F9" s="1813">
        <f>SUM(B9:E9)</f>
        <v>8492230</v>
      </c>
    </row>
    <row r="10" spans="1:8" s="858" customFormat="1" ht="14.25" thickTop="1" thickBot="1" x14ac:dyDescent="0.25">
      <c r="A10" s="859" t="s">
        <v>1354</v>
      </c>
      <c r="B10" s="1815">
        <f>(B8-B9)</f>
        <v>1979109</v>
      </c>
      <c r="C10" s="1815">
        <f>(C8-C9)</f>
        <v>0</v>
      </c>
      <c r="D10" s="1815">
        <f>(D8-D9)</f>
        <v>0</v>
      </c>
      <c r="E10" s="1814">
        <f>(E8-E9)</f>
        <v>0</v>
      </c>
      <c r="F10" s="1816">
        <f>SUM(F8-F9)</f>
        <v>1979109</v>
      </c>
    </row>
    <row r="11" spans="1:8" s="858" customFormat="1" ht="14.25" thickTop="1" thickBot="1" x14ac:dyDescent="0.25">
      <c r="A11" s="860" t="s">
        <v>1901</v>
      </c>
      <c r="B11" s="1817">
        <f>'Acct Summary 7-8'!C81</f>
        <v>2035145</v>
      </c>
      <c r="C11" s="1817">
        <f>'Acct Summary 7-8'!D81</f>
        <v>0</v>
      </c>
      <c r="D11" s="1817">
        <f>'Acct Summary 7-8'!F81</f>
        <v>0</v>
      </c>
      <c r="E11" s="1817">
        <f>'Acct Summary 7-8'!I81</f>
        <v>0</v>
      </c>
      <c r="F11" s="1818">
        <f>SUM(B11:E11)</f>
        <v>2035145</v>
      </c>
    </row>
    <row r="12" spans="1:8" ht="16.5" customHeight="1" thickTop="1" x14ac:dyDescent="0.2">
      <c r="A12" s="861"/>
      <c r="B12" s="862"/>
      <c r="C12" s="2554" t="str">
        <f>IF(AND(F10&lt;0,F11&gt;=0,ABS(F10*3)&gt;ABS(F11)),A16,IF(AND(F10&lt;0,F11&gt;0,ABS(F10*3)&lt;=ABS(F11)),A17,IF(AND(F10&lt;0,F11&lt;0),A16,IF(F11=0,A19,A18))))</f>
        <v>Balanced - no deficit reduction plan is required.</v>
      </c>
      <c r="D12" s="2555"/>
      <c r="E12" s="2555"/>
      <c r="F12" s="2556"/>
    </row>
    <row r="13" spans="1:8" ht="19.5" customHeight="1" x14ac:dyDescent="0.2">
      <c r="A13" s="863"/>
      <c r="B13" s="864"/>
      <c r="C13" s="2554"/>
      <c r="D13" s="2555"/>
      <c r="E13" s="2555"/>
      <c r="F13" s="2556"/>
      <c r="H13" s="853"/>
    </row>
    <row r="14" spans="1:8" ht="19.5" customHeight="1" x14ac:dyDescent="0.2">
      <c r="A14" s="863"/>
      <c r="B14" s="864"/>
      <c r="C14" s="2554"/>
      <c r="D14" s="2555"/>
      <c r="E14" s="2555"/>
      <c r="F14" s="2556"/>
      <c r="H14" s="853"/>
    </row>
    <row r="15" spans="1:8" ht="17.25" customHeight="1" x14ac:dyDescent="0.2">
      <c r="A15" s="863"/>
      <c r="B15" s="864"/>
      <c r="C15" s="2557"/>
      <c r="D15" s="2558"/>
      <c r="E15" s="2558"/>
      <c r="F15" s="2559"/>
      <c r="H15" s="853"/>
    </row>
    <row r="16" spans="1:8" s="288" customFormat="1" ht="51.75" hidden="1" customHeight="1" x14ac:dyDescent="0.2">
      <c r="A16" s="2553" t="s">
        <v>1666</v>
      </c>
      <c r="B16" s="2553"/>
      <c r="C16" s="2553"/>
      <c r="D16" s="2553"/>
      <c r="E16" s="255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75" t="s">
        <v>660</v>
      </c>
      <c r="B3" s="2576"/>
      <c r="C3" s="2576"/>
      <c r="D3" s="2577"/>
    </row>
    <row r="4" spans="1:4" x14ac:dyDescent="0.2">
      <c r="A4" s="931" t="s">
        <v>1671</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86" t="s">
        <v>1487</v>
      </c>
      <c r="D7" s="2587"/>
    </row>
    <row r="8" spans="1:4" s="542" customFormat="1" ht="12.75" x14ac:dyDescent="0.2">
      <c r="A8" s="917"/>
      <c r="B8" s="872"/>
      <c r="C8" s="875" t="s">
        <v>1486</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78" t="s">
        <v>1001</v>
      </c>
      <c r="B15" s="2579"/>
      <c r="C15" s="2579"/>
      <c r="D15" s="2580"/>
    </row>
    <row r="16" spans="1:4" s="542" customFormat="1" ht="24" customHeight="1" x14ac:dyDescent="0.2">
      <c r="A16" s="2581" t="s">
        <v>658</v>
      </c>
      <c r="B16" s="2582"/>
      <c r="C16" s="2582"/>
      <c r="D16" s="2583"/>
    </row>
    <row r="17" spans="1:10" s="542" customFormat="1" ht="12.75" customHeight="1" x14ac:dyDescent="0.2">
      <c r="A17" s="935" t="s">
        <v>1672</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90" t="s">
        <v>311</v>
      </c>
      <c r="D21" s="2591"/>
    </row>
    <row r="22" spans="1:10" ht="12.75" x14ac:dyDescent="0.2">
      <c r="A22" s="918"/>
      <c r="B22" s="919">
        <v>2</v>
      </c>
      <c r="C22" s="2588" t="s">
        <v>1507</v>
      </c>
      <c r="D22" s="258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92" t="s">
        <v>533</v>
      </c>
      <c r="D43" s="259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84" t="s">
        <v>779</v>
      </c>
      <c r="D56" s="258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1014</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584" t="s">
        <v>1674</v>
      </c>
      <c r="D70" s="258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x14ac:dyDescent="0.2">
      <c r="A82" s="877"/>
      <c r="B82" s="899">
        <v>15</v>
      </c>
      <c r="C82" s="909" t="s">
        <v>1882</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1965</v>
      </c>
      <c r="F1" s="1543" t="s">
        <v>1966</v>
      </c>
      <c r="G1" s="1900" t="s">
        <v>1976</v>
      </c>
    </row>
    <row r="2" spans="1:7" ht="15.75" x14ac:dyDescent="0.25">
      <c r="A2" t="s">
        <v>260</v>
      </c>
      <c r="B2" s="135">
        <f>COVER!A13</f>
        <v>28037801060</v>
      </c>
      <c r="E2" s="1542">
        <v>2020</v>
      </c>
      <c r="F2" s="1542">
        <v>1</v>
      </c>
      <c r="G2" s="1899">
        <v>101000300</v>
      </c>
    </row>
    <row r="3" spans="1:7" ht="15" x14ac:dyDescent="0.25">
      <c r="A3" t="s">
        <v>950</v>
      </c>
      <c r="B3" s="135" t="str">
        <f>COVER!A15</f>
        <v>Henry</v>
      </c>
      <c r="E3" s="1830" t="s">
        <v>1969</v>
      </c>
      <c r="F3" s="1830" t="s">
        <v>1968</v>
      </c>
      <c r="G3" s="1899">
        <v>101000400</v>
      </c>
    </row>
    <row r="4" spans="1:7" ht="15" x14ac:dyDescent="0.25">
      <c r="A4" t="s">
        <v>1000</v>
      </c>
      <c r="B4" s="135" t="str">
        <f>COVER!A17</f>
        <v xml:space="preserve">  Henry-Stark County Spec Ed Dist</v>
      </c>
      <c r="E4" s="1828">
        <v>44119</v>
      </c>
      <c r="F4" s="1829">
        <v>44151</v>
      </c>
      <c r="G4" s="1899">
        <v>101000600</v>
      </c>
    </row>
    <row r="5" spans="1:7" ht="15" x14ac:dyDescent="0.25">
      <c r="A5" t="s">
        <v>699</v>
      </c>
      <c r="B5" s="135" t="str">
        <f>COVER!A38</f>
        <v>T. Gregory Wetheim</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Thomas R. Peffer, CPA</v>
      </c>
      <c r="G17" s="1899">
        <v>402100800</v>
      </c>
    </row>
    <row r="18" spans="1:7" ht="15" x14ac:dyDescent="0.25">
      <c r="A18" t="s">
        <v>1140</v>
      </c>
      <c r="B18" s="135" t="str">
        <f>COVER!T17</f>
        <v>4200 N Knoxville Ave.</v>
      </c>
      <c r="G18" s="1899">
        <v>102200300</v>
      </c>
    </row>
    <row r="19" spans="1:7" ht="15" x14ac:dyDescent="0.25">
      <c r="A19" t="s">
        <v>880</v>
      </c>
      <c r="B19" s="135" t="str">
        <f>COVER!T25</f>
        <v>tpeffer@gorenzcpa.com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2035145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1995817</v>
      </c>
      <c r="D92" s="2" t="str">
        <f t="shared" si="0"/>
        <v>Error?</v>
      </c>
      <c r="G92" s="1899">
        <v>102640600</v>
      </c>
    </row>
    <row r="93" spans="1:7" ht="15" x14ac:dyDescent="0.25">
      <c r="A93" s="5">
        <v>32</v>
      </c>
      <c r="B93" s="1832">
        <f>'Assets-Liab 5-6'!C41</f>
        <v>2035145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515570</v>
      </c>
      <c r="D274" s="2" t="str">
        <f t="shared" si="3"/>
        <v>Error?</v>
      </c>
    </row>
    <row r="275" spans="1:4" x14ac:dyDescent="0.2">
      <c r="A275" s="5">
        <v>214</v>
      </c>
      <c r="B275" s="1832">
        <f>'Assets-Liab 5-6'!M18</f>
        <v>0</v>
      </c>
      <c r="D275" s="2" t="str">
        <f t="shared" si="3"/>
        <v>Error?</v>
      </c>
    </row>
    <row r="276" spans="1:4" x14ac:dyDescent="0.2">
      <c r="A276" s="5">
        <v>215</v>
      </c>
      <c r="B276" s="1832">
        <f>'Assets-Liab 5-6'!M19</f>
        <v>60666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576236</v>
      </c>
      <c r="C279" s="2" t="s">
        <v>569</v>
      </c>
      <c r="D279" s="2" t="str">
        <f t="shared" si="3"/>
        <v>Error?</v>
      </c>
    </row>
    <row r="280" spans="1:4" x14ac:dyDescent="0.2">
      <c r="A280" s="5">
        <v>219</v>
      </c>
      <c r="B280" s="1832">
        <f>'Assets-Liab 5-6'!M40</f>
        <v>576236</v>
      </c>
      <c r="D280" s="2" t="str">
        <f t="shared" si="3"/>
        <v>Error?</v>
      </c>
    </row>
    <row r="281" spans="1:4" x14ac:dyDescent="0.2">
      <c r="A281" s="5">
        <v>220</v>
      </c>
      <c r="B281" s="1832">
        <f>'Assets-Liab 5-6'!M41</f>
        <v>576236</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3532293</v>
      </c>
      <c r="C720" s="2" t="s">
        <v>569</v>
      </c>
      <c r="D720" s="2" t="str">
        <f t="shared" si="10"/>
        <v>Error?</v>
      </c>
    </row>
    <row r="721" spans="1:4" x14ac:dyDescent="0.2">
      <c r="A721" s="5">
        <v>660</v>
      </c>
      <c r="B721" s="1832">
        <f>'Expenditures 15-22'!C36</f>
        <v>646149</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548225</v>
      </c>
      <c r="D724" s="2" t="str">
        <f t="shared" si="10"/>
        <v>Error?</v>
      </c>
    </row>
    <row r="725" spans="1:4" x14ac:dyDescent="0.2">
      <c r="A725" s="5">
        <v>664</v>
      </c>
      <c r="B725" s="1832">
        <f>'Expenditures 15-22'!C40</f>
        <v>546790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1741164</v>
      </c>
      <c r="C727" s="2" t="s">
        <v>569</v>
      </c>
      <c r="D727" s="2" t="str">
        <f t="shared" si="10"/>
        <v>Error?</v>
      </c>
    </row>
    <row r="728" spans="1:4" x14ac:dyDescent="0.2">
      <c r="A728" s="5">
        <v>667</v>
      </c>
      <c r="B728" s="1832">
        <f>'Expenditures 15-22'!C44</f>
        <v>520563</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520563</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176141</v>
      </c>
      <c r="C734" s="2" t="s">
        <v>569</v>
      </c>
      <c r="D734" s="2" t="str">
        <f t="shared" si="10"/>
        <v>Error?</v>
      </c>
    </row>
    <row r="735" spans="1:4" x14ac:dyDescent="0.2">
      <c r="A735" s="5">
        <v>674</v>
      </c>
      <c r="B735" s="1832">
        <f>'Expenditures 15-22'!C55</f>
        <v>84326</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84326</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39333</v>
      </c>
      <c r="D739" s="2" t="str">
        <f t="shared" si="10"/>
        <v>Error?</v>
      </c>
    </row>
    <row r="740" spans="1:4" x14ac:dyDescent="0.2">
      <c r="A740" s="5">
        <v>679</v>
      </c>
      <c r="B740" s="1832">
        <f>'Expenditures 15-22'!C61</f>
        <v>16620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55953</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2578147</v>
      </c>
      <c r="C755" s="2" t="s">
        <v>569</v>
      </c>
      <c r="D755" s="2" t="str">
        <f t="shared" si="10"/>
        <v>Error?</v>
      </c>
    </row>
    <row r="756" spans="1:4" x14ac:dyDescent="0.2">
      <c r="A756" s="5">
        <v>695</v>
      </c>
      <c r="B756" s="1832">
        <f>'Expenditures 15-22'!C75</f>
        <v>5621</v>
      </c>
      <c r="D756" s="2" t="str">
        <f t="shared" si="10"/>
        <v>Error?</v>
      </c>
    </row>
    <row r="757" spans="1:4" x14ac:dyDescent="0.2">
      <c r="A757" s="5">
        <v>696</v>
      </c>
      <c r="B757" s="1832">
        <f>'Expenditures 15-22'!C114</f>
        <v>6116061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870046</v>
      </c>
      <c r="C778" s="2" t="s">
        <v>569</v>
      </c>
      <c r="D778" s="2" t="str">
        <f t="shared" si="11"/>
        <v>Error?</v>
      </c>
    </row>
    <row r="779" spans="1:4" x14ac:dyDescent="0.2">
      <c r="A779" s="5">
        <v>718</v>
      </c>
      <c r="B779" s="1832">
        <f>'Expenditures 15-22'!D36</f>
        <v>92694</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69902</v>
      </c>
      <c r="D782" s="2" t="str">
        <f t="shared" si="11"/>
        <v>Error?</v>
      </c>
    </row>
    <row r="783" spans="1:4" x14ac:dyDescent="0.2">
      <c r="A783" s="5">
        <v>722</v>
      </c>
      <c r="B783" s="1832">
        <f>'Expenditures 15-22'!D40</f>
        <v>102428</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265024</v>
      </c>
      <c r="C785" s="2" t="s">
        <v>569</v>
      </c>
      <c r="D785" s="2" t="str">
        <f t="shared" si="11"/>
        <v>Error?</v>
      </c>
    </row>
    <row r="786" spans="1:4" x14ac:dyDescent="0.2">
      <c r="A786" s="5">
        <v>725</v>
      </c>
      <c r="B786" s="1832">
        <f>'Expenditures 15-22'!D44</f>
        <v>241533</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241533</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52508</v>
      </c>
      <c r="C792" s="2" t="s">
        <v>569</v>
      </c>
      <c r="D792" s="2" t="str">
        <f t="shared" si="11"/>
        <v>Error?</v>
      </c>
    </row>
    <row r="793" spans="1:4" x14ac:dyDescent="0.2">
      <c r="A793" s="5">
        <v>732</v>
      </c>
      <c r="B793" s="1832">
        <f>'Expenditures 15-22'!D55</f>
        <v>26051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26051</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11065</v>
      </c>
      <c r="D797" s="2" t="str">
        <f t="shared" si="11"/>
        <v>Error?</v>
      </c>
    </row>
    <row r="798" spans="1:4" x14ac:dyDescent="0.2">
      <c r="A798" s="5">
        <v>737</v>
      </c>
      <c r="B798" s="1832">
        <f>'Expenditures 15-22'!D61</f>
        <v>1375</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12440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597556</v>
      </c>
      <c r="C813" s="2" t="s">
        <v>569</v>
      </c>
      <c r="D813" s="2" t="str">
        <f t="shared" si="11"/>
        <v>Error?</v>
      </c>
    </row>
    <row r="814" spans="1:4" x14ac:dyDescent="0.2">
      <c r="A814" s="5">
        <v>753</v>
      </c>
      <c r="B814" s="1832">
        <f>'Expenditures 15-22'!D75</f>
        <v>78</v>
      </c>
      <c r="D814" s="2" t="str">
        <f t="shared" si="11"/>
        <v>Error?</v>
      </c>
    </row>
    <row r="815" spans="1:4" x14ac:dyDescent="0.2">
      <c r="A815" s="5">
        <v>754</v>
      </c>
      <c r="B815" s="1832">
        <f>'Expenditures 15-22'!D114</f>
        <v>1467680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106937</v>
      </c>
      <c r="C836" s="2" t="s">
        <v>569</v>
      </c>
      <c r="D836" s="2" t="str">
        <f t="shared" si="12"/>
        <v>Error?</v>
      </c>
    </row>
    <row r="837" spans="1:4" x14ac:dyDescent="0.2">
      <c r="A837" s="5">
        <v>776</v>
      </c>
      <c r="B837" s="1832">
        <f>'Expenditures 15-22'!E36</f>
        <v>436</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163975</v>
      </c>
      <c r="D839" s="2" t="str">
        <f t="shared" si="12"/>
        <v>Error?</v>
      </c>
    </row>
    <row r="840" spans="1:4" x14ac:dyDescent="0.2">
      <c r="A840" s="5">
        <v>779</v>
      </c>
      <c r="B840" s="1832">
        <f>'Expenditures 15-22'!E39</f>
        <v>11608</v>
      </c>
      <c r="D840" s="2" t="str">
        <f t="shared" si="12"/>
        <v>Error?</v>
      </c>
    </row>
    <row r="841" spans="1:4" x14ac:dyDescent="0.2">
      <c r="A841" s="5">
        <v>780</v>
      </c>
      <c r="B841" s="1832">
        <f>'Expenditures 15-22'!E40</f>
        <v>542</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176561</v>
      </c>
      <c r="C843" s="2" t="s">
        <v>569</v>
      </c>
      <c r="D843" s="2" t="str">
        <f t="shared" si="12"/>
        <v>Error?</v>
      </c>
    </row>
    <row r="844" spans="1:4" x14ac:dyDescent="0.2">
      <c r="A844" s="5">
        <v>783</v>
      </c>
      <c r="B844" s="1832">
        <f>'Expenditures 15-22'!E44</f>
        <v>52061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52061</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49897</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1500</v>
      </c>
      <c r="D852" s="2" t="str">
        <f t="shared" si="12"/>
        <v>Error?</v>
      </c>
    </row>
    <row r="853" spans="1:4" x14ac:dyDescent="0.2">
      <c r="A853" s="5">
        <v>792</v>
      </c>
      <c r="B853" s="1832">
        <f>'Expenditures 15-22'!E57</f>
        <v>1500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11348</v>
      </c>
      <c r="D855" s="2" t="str">
        <f t="shared" si="12"/>
        <v>Error?</v>
      </c>
    </row>
    <row r="856" spans="1:4" x14ac:dyDescent="0.2">
      <c r="A856" s="5">
        <v>795</v>
      </c>
      <c r="B856" s="1832">
        <f>'Expenditures 15-22'!E61</f>
        <v>71897</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45278</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128523</v>
      </c>
      <c r="C861" s="2" t="s">
        <v>569</v>
      </c>
      <c r="D861" s="2" t="str">
        <f t="shared" si="12"/>
        <v>Error?</v>
      </c>
    </row>
    <row r="862" spans="1:4" x14ac:dyDescent="0.2">
      <c r="A862" s="5">
        <v>801</v>
      </c>
      <c r="B862" s="1832">
        <f>'Expenditures 15-22'!E67</f>
        <v>14972</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225</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15197</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423739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530676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84780</v>
      </c>
      <c r="C894" s="2" t="s">
        <v>569</v>
      </c>
      <c r="D894" s="2" t="str">
        <f t="shared" si="12"/>
        <v>Error?</v>
      </c>
    </row>
    <row r="895" spans="1:4" x14ac:dyDescent="0.2">
      <c r="A895" s="5">
        <v>834</v>
      </c>
      <c r="B895" s="1832">
        <f>'Expenditures 15-22'!F36</f>
        <v>637</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128</v>
      </c>
      <c r="D897" s="2" t="str">
        <f t="shared" si="13"/>
        <v>Error?</v>
      </c>
    </row>
    <row r="898" spans="1:4" x14ac:dyDescent="0.2">
      <c r="A898" s="5">
        <v>837</v>
      </c>
      <c r="B898" s="1832">
        <f>'Expenditures 15-22'!F39</f>
        <v>13</v>
      </c>
      <c r="D898" s="2" t="str">
        <f t="shared" si="13"/>
        <v>Error?</v>
      </c>
    </row>
    <row r="899" spans="1:4" x14ac:dyDescent="0.2">
      <c r="A899" s="5">
        <v>838</v>
      </c>
      <c r="B899" s="1832">
        <f>'Expenditures 15-22'!F40</f>
        <v>3676</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4454</v>
      </c>
      <c r="C901" s="2" t="s">
        <v>569</v>
      </c>
      <c r="D901" s="2" t="str">
        <f t="shared" si="13"/>
        <v>Error?</v>
      </c>
    </row>
    <row r="902" spans="1:4" x14ac:dyDescent="0.2">
      <c r="A902" s="5">
        <v>841</v>
      </c>
      <c r="B902" s="1832">
        <f>'Expenditures 15-22'!F44</f>
        <v>2601</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2601</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11359</v>
      </c>
      <c r="C908" s="2" t="s">
        <v>569</v>
      </c>
      <c r="D908" s="2" t="str">
        <f t="shared" si="13"/>
        <v>Error?</v>
      </c>
    </row>
    <row r="909" spans="1:4" x14ac:dyDescent="0.2">
      <c r="A909" s="5">
        <v>848</v>
      </c>
      <c r="B909" s="1832">
        <f>'Expenditures 15-22'!F55</f>
        <v>18031</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18031</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807</v>
      </c>
      <c r="D913" s="2" t="str">
        <f t="shared" si="13"/>
        <v>Error?</v>
      </c>
    </row>
    <row r="914" spans="1:4" x14ac:dyDescent="0.2">
      <c r="A914" s="5">
        <v>853</v>
      </c>
      <c r="B914" s="1832">
        <f>'Expenditures 15-22'!F61</f>
        <v>6132</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6939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548</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548</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43932</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128712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1925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1800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1800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26919</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9815</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9815</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38534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138701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179160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1995</v>
      </c>
      <c r="E1056" s="4" t="s">
        <v>1994</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4658631</v>
      </c>
      <c r="C1108" s="2" t="s">
        <v>569</v>
      </c>
      <c r="D1108" s="2" t="str">
        <f t="shared" si="16"/>
        <v>Error?</v>
      </c>
    </row>
    <row r="1109" spans="1:4" x14ac:dyDescent="0.2">
      <c r="A1109" s="5">
        <v>1048</v>
      </c>
      <c r="B1109" s="1832">
        <f>'Expenditures 15-22'!K36</f>
        <v>742403</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164103</v>
      </c>
      <c r="C1111" s="2" t="s">
        <v>569</v>
      </c>
      <c r="D1111" s="2" t="str">
        <f t="shared" si="16"/>
        <v>Error?</v>
      </c>
    </row>
    <row r="1112" spans="1:4" x14ac:dyDescent="0.2">
      <c r="A1112" s="5">
        <v>1051</v>
      </c>
      <c r="B1112" s="1832">
        <f>'Expenditures 15-22'!K39</f>
        <v>629748</v>
      </c>
      <c r="C1112" s="2" t="s">
        <v>569</v>
      </c>
      <c r="D1112" s="2" t="str">
        <f t="shared" si="16"/>
        <v>Error?</v>
      </c>
    </row>
    <row r="1113" spans="1:4" x14ac:dyDescent="0.2">
      <c r="A1113" s="5">
        <v>1052</v>
      </c>
      <c r="B1113" s="1832">
        <f>'Expenditures 15-22'!K40</f>
        <v>655236</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2191490</v>
      </c>
      <c r="C1115" s="2" t="s">
        <v>569</v>
      </c>
      <c r="D1115" s="2" t="str">
        <f t="shared" si="16"/>
        <v>Error?</v>
      </c>
    </row>
    <row r="1116" spans="1:4" x14ac:dyDescent="0.2">
      <c r="A1116" s="5">
        <v>1055</v>
      </c>
      <c r="B1116" s="1832">
        <f>'Expenditures 15-22'!K44</f>
        <v>817717</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817717</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320669</v>
      </c>
      <c r="C1122" s="2" t="s">
        <v>569</v>
      </c>
      <c r="D1122" s="2" t="str">
        <f t="shared" si="16"/>
        <v>Error?</v>
      </c>
    </row>
    <row r="1123" spans="1:4" x14ac:dyDescent="0.2">
      <c r="A1123" s="5">
        <v>1062</v>
      </c>
      <c r="B1123" s="1832">
        <f>'Expenditures 15-22'!K55</f>
        <v>128408</v>
      </c>
      <c r="C1123" s="2" t="s">
        <v>569</v>
      </c>
      <c r="D1123" s="2" t="str">
        <f t="shared" si="16"/>
        <v>Error?</v>
      </c>
    </row>
    <row r="1124" spans="1:4" x14ac:dyDescent="0.2">
      <c r="A1124" s="5">
        <v>1063</v>
      </c>
      <c r="B1124" s="1832">
        <f>'Expenditures 15-22'!K56</f>
        <v>1500</v>
      </c>
      <c r="C1124" s="2" t="s">
        <v>569</v>
      </c>
      <c r="D1124" s="2" t="str">
        <f t="shared" si="16"/>
        <v>Error?</v>
      </c>
    </row>
    <row r="1125" spans="1:4" x14ac:dyDescent="0.2">
      <c r="A1125" s="5">
        <v>1064</v>
      </c>
      <c r="B1125" s="1832">
        <f>'Expenditures 15-22'!K57</f>
        <v>129908</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72368</v>
      </c>
      <c r="C1127" s="2" t="s">
        <v>569</v>
      </c>
      <c r="D1127" s="2" t="str">
        <f t="shared" si="16"/>
        <v>Error?</v>
      </c>
    </row>
    <row r="1128" spans="1:4" x14ac:dyDescent="0.2">
      <c r="A1128" s="5">
        <v>1067</v>
      </c>
      <c r="B1128" s="1832">
        <f>'Expenditures 15-22'!K61</f>
        <v>96024</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45278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213670</v>
      </c>
      <c r="C1133" s="2" t="s">
        <v>569</v>
      </c>
      <c r="D1133" s="2" t="str">
        <f t="shared" si="16"/>
        <v>Error?</v>
      </c>
    </row>
    <row r="1134" spans="1:4" x14ac:dyDescent="0.2">
      <c r="A1134" s="5">
        <v>1073</v>
      </c>
      <c r="B1134" s="1832">
        <f>'Expenditures 15-22'!K67</f>
        <v>14972</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773</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15745</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3689199</v>
      </c>
      <c r="C1143" s="2" t="s">
        <v>569</v>
      </c>
      <c r="D1143" s="2" t="str">
        <f t="shared" si="16"/>
        <v>Error?</v>
      </c>
    </row>
    <row r="1144" spans="1:4" x14ac:dyDescent="0.2">
      <c r="A1144" s="5">
        <v>1083</v>
      </c>
      <c r="B1144" s="1832">
        <f>'Expenditures 15-22'!K75</f>
        <v>5699</v>
      </c>
      <c r="C1144" s="2" t="s">
        <v>569</v>
      </c>
      <c r="D1144" s="2" t="str">
        <f t="shared" si="16"/>
        <v>Error?</v>
      </c>
    </row>
    <row r="1145" spans="1:4" x14ac:dyDescent="0.2">
      <c r="A1145" s="5">
        <v>1084</v>
      </c>
      <c r="B1145" s="1832">
        <f>'Expenditures 15-22'!K102</f>
        <v>138701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8492230</v>
      </c>
      <c r="C1152" s="2" t="s">
        <v>569</v>
      </c>
      <c r="D1152" s="2" t="str">
        <f t="shared" si="17"/>
        <v>Error?</v>
      </c>
    </row>
    <row r="1153" spans="1:4" x14ac:dyDescent="0.2">
      <c r="A1153" s="5">
        <v>1092</v>
      </c>
      <c r="B1153" s="1832">
        <f>'Expenditures 15-22'!K115</f>
        <v>1979109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56036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2035145</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515570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60666</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576236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515570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60666</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576236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155566</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52693</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208259</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10311</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3382</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13693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165877</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56075</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221952</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349693</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4591</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354284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138701</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138701</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39328</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7394556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928099</v>
      </c>
      <c r="C2553" s="2" t="s">
        <v>569</v>
      </c>
      <c r="D2553" s="2" t="str">
        <f t="shared" si="38"/>
        <v>Error?</v>
      </c>
    </row>
    <row r="2554" spans="1:4" x14ac:dyDescent="0.2">
      <c r="A2554" s="5">
        <v>2493</v>
      </c>
      <c r="B2554" s="1832">
        <f>'Acct Summary 7-8'!C7</f>
        <v>2148684</v>
      </c>
      <c r="C2554" s="2" t="s">
        <v>569</v>
      </c>
      <c r="D2554" s="2" t="str">
        <f t="shared" si="38"/>
        <v>Error?</v>
      </c>
    </row>
    <row r="2555" spans="1:4" x14ac:dyDescent="0.2">
      <c r="A2555" s="5">
        <v>2494</v>
      </c>
      <c r="B2555" s="1832">
        <f>'Acct Summary 7-8'!C8</f>
        <v>10471339</v>
      </c>
      <c r="C2555" s="2" t="s">
        <v>569</v>
      </c>
      <c r="D2555" s="2" t="str">
        <f t="shared" si="38"/>
        <v>Error?</v>
      </c>
    </row>
    <row r="2556" spans="1:4" x14ac:dyDescent="0.2">
      <c r="A2556" s="5">
        <v>2495</v>
      </c>
      <c r="B2556" s="1832">
        <f>'Acct Summary 7-8'!C12</f>
        <v>4658631</v>
      </c>
      <c r="C2556" s="2" t="s">
        <v>569</v>
      </c>
      <c r="D2556" s="2" t="str">
        <f t="shared" si="38"/>
        <v>Error?</v>
      </c>
    </row>
    <row r="2557" spans="1:4" x14ac:dyDescent="0.2">
      <c r="A2557" s="5">
        <v>2496</v>
      </c>
      <c r="B2557" s="1832">
        <f>'Acct Summary 7-8'!C13</f>
        <v>3689199</v>
      </c>
      <c r="C2557" s="2" t="s">
        <v>569</v>
      </c>
      <c r="D2557" s="2" t="str">
        <f t="shared" si="38"/>
        <v>Error?</v>
      </c>
    </row>
    <row r="2558" spans="1:4" x14ac:dyDescent="0.2">
      <c r="A2558" s="5">
        <v>2497</v>
      </c>
      <c r="B2558" s="1832">
        <f>'Acct Summary 7-8'!C14</f>
        <v>5699</v>
      </c>
      <c r="C2558" s="2" t="s">
        <v>569</v>
      </c>
      <c r="D2558" s="2" t="str">
        <f t="shared" si="38"/>
        <v>Error?</v>
      </c>
    </row>
    <row r="2559" spans="1:4" x14ac:dyDescent="0.2">
      <c r="A2559" s="5">
        <v>2498</v>
      </c>
      <c r="B2559" s="1832">
        <f>'Acct Summary 7-8'!C15</f>
        <v>138701</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8492230</v>
      </c>
      <c r="C2561" s="2" t="s">
        <v>569</v>
      </c>
      <c r="D2561" s="2" t="str">
        <f t="shared" si="39"/>
        <v>Error?</v>
      </c>
    </row>
    <row r="2562" spans="1:4" x14ac:dyDescent="0.2">
      <c r="A2562" s="5">
        <v>2501</v>
      </c>
      <c r="B2562" s="1832">
        <f>'Acct Summary 7-8'!C20</f>
        <v>1979109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176141</v>
      </c>
      <c r="D2718" s="2" t="str">
        <f t="shared" si="41"/>
        <v>Error?</v>
      </c>
    </row>
    <row r="2719" spans="1:4" x14ac:dyDescent="0.2">
      <c r="A2719" s="5">
        <v>2658</v>
      </c>
      <c r="B2719" s="1832">
        <f>'Expenditures 15-22'!D51</f>
        <v>52508</v>
      </c>
      <c r="D2719" s="2" t="str">
        <f t="shared" si="41"/>
        <v>Error?</v>
      </c>
    </row>
    <row r="2720" spans="1:4" x14ac:dyDescent="0.2">
      <c r="A2720" s="5">
        <v>2659</v>
      </c>
      <c r="B2720" s="1832">
        <f>'Expenditures 15-22'!E51</f>
        <v>49897</v>
      </c>
      <c r="D2720" s="2" t="str">
        <f t="shared" si="41"/>
        <v>Error?</v>
      </c>
    </row>
    <row r="2721" spans="1:4" x14ac:dyDescent="0.2">
      <c r="A2721" s="5">
        <v>2660</v>
      </c>
      <c r="B2721" s="1832">
        <f>'Expenditures 15-22'!F51</f>
        <v>11359</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26919</v>
      </c>
      <c r="D2723" s="2" t="str">
        <f t="shared" si="41"/>
        <v>Error?</v>
      </c>
    </row>
    <row r="2724" spans="1:4" x14ac:dyDescent="0.2">
      <c r="A2724" s="5">
        <v>2663</v>
      </c>
      <c r="B2724" s="1832">
        <f>'Expenditures 15-22'!K51</f>
        <v>320669</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1995</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42951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5463</v>
      </c>
      <c r="D2914" s="2" t="str">
        <f t="shared" si="44"/>
        <v>Error?</v>
      </c>
    </row>
    <row r="2915" spans="1:4" x14ac:dyDescent="0.2">
      <c r="A2915" s="10">
        <v>2854</v>
      </c>
      <c r="B2915" s="1832"/>
      <c r="D2915" s="2" t="str">
        <f t="shared" si="44"/>
        <v>OK</v>
      </c>
    </row>
    <row r="2916" spans="1:4" x14ac:dyDescent="0.2">
      <c r="A2916" s="5">
        <v>2855</v>
      </c>
      <c r="B2916" s="1832">
        <f>'Assets-Liab 5-6'!L34</f>
        <v>5463</v>
      </c>
      <c r="C2916" s="2" t="s">
        <v>569</v>
      </c>
      <c r="D2916" s="2" t="str">
        <f t="shared" si="44"/>
        <v>Error?</v>
      </c>
    </row>
    <row r="2917" spans="1:4" x14ac:dyDescent="0.2">
      <c r="A2917" s="5">
        <v>2856</v>
      </c>
      <c r="B2917" s="1832">
        <f>'Assets-Liab 5-6'!L41</f>
        <v>42951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138701</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138701</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1995</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37488</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1979109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3211447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791913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106937</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83236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1925</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4258108</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1949752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42951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1995</v>
      </c>
      <c r="E3521" s="4" t="s">
        <v>134</v>
      </c>
    </row>
    <row r="3522" spans="1:5" x14ac:dyDescent="0.2">
      <c r="A3522" s="10">
        <v>3461</v>
      </c>
      <c r="B3522" s="1832"/>
      <c r="D3522" s="4" t="s">
        <v>1995</v>
      </c>
      <c r="E3522" s="4" t="s">
        <v>134</v>
      </c>
    </row>
    <row r="3523" spans="1:5" x14ac:dyDescent="0.2">
      <c r="A3523" s="10">
        <v>3462</v>
      </c>
      <c r="B3523" s="1832"/>
      <c r="D3523" s="4" t="s">
        <v>1995</v>
      </c>
      <c r="E3523" s="4" t="s">
        <v>134</v>
      </c>
    </row>
    <row r="3524" spans="1:5" x14ac:dyDescent="0.2">
      <c r="A3524" s="10">
        <v>3463</v>
      </c>
      <c r="B3524" s="1832"/>
      <c r="D3524" s="4" t="s">
        <v>1995</v>
      </c>
      <c r="E3524" s="4" t="s">
        <v>134</v>
      </c>
    </row>
    <row r="3525" spans="1:5" x14ac:dyDescent="0.2">
      <c r="A3525" s="10">
        <v>3464</v>
      </c>
      <c r="B3525" s="1832"/>
      <c r="D3525" s="4" t="s">
        <v>1995</v>
      </c>
      <c r="E3525" s="4" t="s">
        <v>134</v>
      </c>
    </row>
    <row r="3526" spans="1:5" x14ac:dyDescent="0.2">
      <c r="A3526" s="10">
        <v>3465</v>
      </c>
      <c r="B3526" s="1832"/>
      <c r="D3526" s="4" t="s">
        <v>1995</v>
      </c>
      <c r="E3526" s="4" t="s">
        <v>134</v>
      </c>
    </row>
    <row r="3527" spans="1:5" x14ac:dyDescent="0.2">
      <c r="A3527" s="10">
        <v>3466</v>
      </c>
      <c r="B3527" s="1832"/>
      <c r="D3527" s="4" t="s">
        <v>1995</v>
      </c>
      <c r="E3527" s="4" t="s">
        <v>134</v>
      </c>
    </row>
    <row r="3528" spans="1:5" x14ac:dyDescent="0.2">
      <c r="A3528" s="10">
        <v>3467</v>
      </c>
      <c r="B3528" s="1832"/>
      <c r="D3528" s="4" t="s">
        <v>1995</v>
      </c>
      <c r="E3528" s="4" t="s">
        <v>134</v>
      </c>
    </row>
    <row r="3529" spans="1:5" x14ac:dyDescent="0.2">
      <c r="A3529" s="10">
        <v>3468</v>
      </c>
      <c r="B3529" s="1832"/>
      <c r="D3529" s="4" t="s">
        <v>1995</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3850234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14321573</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3850234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12342464</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1897</v>
      </c>
    </row>
    <row r="4236" spans="1:5" x14ac:dyDescent="0.2">
      <c r="A4236" s="10">
        <v>4175</v>
      </c>
      <c r="B4236" s="1832"/>
      <c r="D4236" s="2" t="str">
        <f t="shared" si="65"/>
        <v>OK</v>
      </c>
      <c r="E4236" s="4" t="s">
        <v>1897</v>
      </c>
    </row>
    <row r="4237" spans="1:5" x14ac:dyDescent="0.2">
      <c r="A4237" s="10">
        <v>4176</v>
      </c>
      <c r="B4237" s="1832"/>
      <c r="D4237" s="2" t="str">
        <f t="shared" si="65"/>
        <v>OK</v>
      </c>
      <c r="E4237" s="4" t="s">
        <v>1897</v>
      </c>
    </row>
    <row r="4238" spans="1:5" x14ac:dyDescent="0.2">
      <c r="A4238" s="10">
        <v>4177</v>
      </c>
      <c r="B4238" s="1832"/>
      <c r="D4238" s="2" t="str">
        <f t="shared" si="65"/>
        <v>OK</v>
      </c>
      <c r="E4238" s="4" t="s">
        <v>1897</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2035145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81391</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120560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1897</v>
      </c>
    </row>
    <row r="4400" spans="1:5" x14ac:dyDescent="0.2">
      <c r="A4400" s="10">
        <v>4339</v>
      </c>
      <c r="B4400" s="1832"/>
      <c r="D4400" s="2" t="str">
        <f t="shared" si="67"/>
        <v>OK</v>
      </c>
      <c r="E4400" s="4" t="s">
        <v>1897</v>
      </c>
    </row>
    <row r="4401" spans="1:5" x14ac:dyDescent="0.2">
      <c r="A4401" s="10">
        <v>4340</v>
      </c>
      <c r="B4401" s="1832"/>
      <c r="D4401" s="2" t="str">
        <f t="shared" si="67"/>
        <v>OK</v>
      </c>
      <c r="E4401" s="4" t="s">
        <v>1897</v>
      </c>
    </row>
    <row r="4402" spans="1:5" x14ac:dyDescent="0.2">
      <c r="A4402" s="10">
        <v>4341</v>
      </c>
      <c r="B4402" s="1832"/>
      <c r="D4402" s="2" t="str">
        <f t="shared" si="67"/>
        <v>OK</v>
      </c>
      <c r="E4402" s="4" t="s">
        <v>1897</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3351</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7379594</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7379594</v>
      </c>
      <c r="C5087" s="2" t="s">
        <v>569</v>
      </c>
      <c r="D5087" s="2" t="str">
        <f t="shared" si="78"/>
        <v>Error?</v>
      </c>
    </row>
    <row r="5088" spans="1:4" x14ac:dyDescent="0.2">
      <c r="A5088" s="5">
        <v>5027</v>
      </c>
      <c r="B5088" s="1832">
        <f>'Revenues 9-14'!C65</f>
        <v>11611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11611</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3351</v>
      </c>
      <c r="C5120" s="2" t="s">
        <v>569</v>
      </c>
      <c r="D5120" s="2" t="str">
        <f t="shared" si="79"/>
        <v>Error?</v>
      </c>
    </row>
    <row r="5121" spans="1:4" x14ac:dyDescent="0.2">
      <c r="A5121" s="5">
        <v>5060</v>
      </c>
      <c r="B5121" s="1832">
        <f>'Revenues 9-14'!C109</f>
        <v>7394556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927521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927521</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578</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1897</v>
      </c>
    </row>
    <row r="5200" spans="1:5" x14ac:dyDescent="0.2">
      <c r="A5200" s="10">
        <v>5139</v>
      </c>
      <c r="B5200" s="1832"/>
      <c r="D5200" s="2" t="str">
        <f t="shared" si="80"/>
        <v>OK</v>
      </c>
      <c r="E5200" s="4" t="s">
        <v>1897</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578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928099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19210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11250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30460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1897</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57746</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1858527</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1916273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1897</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2148684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2148684</v>
      </c>
      <c r="C5326" s="2" t="s">
        <v>569</v>
      </c>
      <c r="D5326" s="2" t="str">
        <f t="shared" si="82"/>
        <v>Error?</v>
      </c>
    </row>
    <row r="5327" spans="1:5" x14ac:dyDescent="0.2">
      <c r="A5327" s="5">
        <v>5266</v>
      </c>
      <c r="B5327" s="1832">
        <f>'Revenues 9-14'!C268</f>
        <v>10471339</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1897</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1897</v>
      </c>
    </row>
    <row r="5631" spans="1:5" x14ac:dyDescent="0.2">
      <c r="A5631" s="10">
        <v>5570</v>
      </c>
      <c r="B5631" s="1832"/>
      <c r="D5631" s="2" t="str">
        <f t="shared" ref="D5631:D5694" si="87">IF(ISBLANK(B5631),"OK",IF(A5631-B5631=0,"OK","Error?"))</f>
        <v>OK</v>
      </c>
      <c r="E5631" s="4" t="s">
        <v>1897</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1897</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1897</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1897</v>
      </c>
    </row>
    <row r="5768" spans="1:5" x14ac:dyDescent="0.2">
      <c r="A5768" s="10">
        <v>5707</v>
      </c>
      <c r="B5768" s="1832"/>
      <c r="D5768" s="2" t="str">
        <f t="shared" si="89"/>
        <v>OK</v>
      </c>
      <c r="E5768" s="4" t="s">
        <v>1897</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1897</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1897</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85393</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107617</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107617</v>
      </c>
      <c r="D6215" s="2" t="str">
        <f t="shared" si="96"/>
        <v>Error?</v>
      </c>
      <c r="E6215" s="2" t="s">
        <v>189</v>
      </c>
    </row>
    <row r="6216" spans="1:5" x14ac:dyDescent="0.2">
      <c r="A6216">
        <v>6155</v>
      </c>
      <c r="B6216" s="1832">
        <f>'Assets-Liab 5-6'!J41</f>
        <v>107617</v>
      </c>
      <c r="D6216" s="2" t="str">
        <f t="shared" si="96"/>
        <v>Error?</v>
      </c>
      <c r="E6216" s="2" t="s">
        <v>189</v>
      </c>
    </row>
    <row r="6217" spans="1:5" x14ac:dyDescent="0.2">
      <c r="A6217">
        <v>6156</v>
      </c>
      <c r="B6217" s="1832">
        <f>'Assets-Liab 5-6'!J4</f>
        <v>107617</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67739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67739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67739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56259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56259</v>
      </c>
      <c r="D6229" s="2" t="str">
        <f t="shared" si="96"/>
        <v>Error?</v>
      </c>
      <c r="E6229" s="2" t="s">
        <v>189</v>
      </c>
    </row>
    <row r="6230" spans="1:5" x14ac:dyDescent="0.2">
      <c r="A6230">
        <v>6169</v>
      </c>
      <c r="B6230" s="1832">
        <f>'Acct Summary 7-8'!J20</f>
        <v>11480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11480</v>
      </c>
      <c r="D6263" s="2" t="str">
        <f t="shared" si="96"/>
        <v>Error?</v>
      </c>
      <c r="E6263" s="2" t="s">
        <v>189</v>
      </c>
    </row>
    <row r="6264" spans="1:5" x14ac:dyDescent="0.2">
      <c r="A6264">
        <v>6203</v>
      </c>
      <c r="B6264" s="1832">
        <f>'Acct Summary 7-8'!J79</f>
        <v>96137</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107617</v>
      </c>
      <c r="D6266" s="2" t="str">
        <f t="shared" si="96"/>
        <v>Error?</v>
      </c>
      <c r="E6266" s="2" t="s">
        <v>189</v>
      </c>
    </row>
    <row r="6267" spans="1:5" x14ac:dyDescent="0.2">
      <c r="A6267">
        <v>6206</v>
      </c>
      <c r="B6267" s="1832">
        <f>'Acct Summary 7-8'!C82</f>
        <v>1979109</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11480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0.97246584395706448</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f>'Acct Summary 7-8'!J83</f>
        <v>0.10667459602107474</v>
      </c>
      <c r="D6283" s="2" t="str">
        <f t="shared" si="97"/>
        <v>Error?</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963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963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66776</v>
      </c>
      <c r="D6350" s="2" t="str">
        <f t="shared" si="98"/>
        <v>Error?</v>
      </c>
      <c r="E6350" s="2" t="s">
        <v>189</v>
      </c>
    </row>
    <row r="6351" spans="1:5" x14ac:dyDescent="0.2">
      <c r="A6351">
        <v>6290</v>
      </c>
      <c r="B6351" s="1832">
        <f>'Revenues 9-14'!J108</f>
        <v>66776</v>
      </c>
      <c r="D6351" s="2" t="str">
        <f t="shared" si="98"/>
        <v>Error?</v>
      </c>
      <c r="E6351" s="2" t="s">
        <v>189</v>
      </c>
    </row>
    <row r="6352" spans="1:5" x14ac:dyDescent="0.2">
      <c r="A6352">
        <v>6291</v>
      </c>
      <c r="B6352" s="1832">
        <f>'Revenues 9-14'!J109</f>
        <v>67739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1896</v>
      </c>
    </row>
    <row r="6383" spans="1:6" x14ac:dyDescent="0.2">
      <c r="A6383" s="126">
        <v>6322</v>
      </c>
      <c r="B6383" s="1832"/>
      <c r="D6383" s="2" t="str">
        <f t="shared" si="98"/>
        <v>OK</v>
      </c>
      <c r="E6383" s="2" t="s">
        <v>189</v>
      </c>
      <c r="F6383" s="1" t="s">
        <v>1896</v>
      </c>
    </row>
    <row r="6384" spans="1:6" x14ac:dyDescent="0.2">
      <c r="A6384" s="126">
        <v>6323</v>
      </c>
      <c r="B6384" s="1832"/>
      <c r="D6384" s="2" t="str">
        <f t="shared" si="98"/>
        <v>OK</v>
      </c>
      <c r="E6384" s="2" t="s">
        <v>189</v>
      </c>
      <c r="F6384" s="1" t="s">
        <v>1896</v>
      </c>
    </row>
    <row r="6385" spans="1:6" x14ac:dyDescent="0.2">
      <c r="A6385" s="126">
        <v>6324</v>
      </c>
      <c r="B6385" s="1832"/>
      <c r="D6385" s="2" t="str">
        <f t="shared" si="98"/>
        <v>OK</v>
      </c>
      <c r="E6385" s="2" t="s">
        <v>189</v>
      </c>
      <c r="F6385" s="1" t="s">
        <v>1896</v>
      </c>
    </row>
    <row r="6386" spans="1:6" x14ac:dyDescent="0.2">
      <c r="A6386" s="126">
        <v>6325</v>
      </c>
      <c r="B6386" s="1832"/>
      <c r="D6386" s="2" t="str">
        <f t="shared" si="98"/>
        <v>OK</v>
      </c>
      <c r="E6386" s="2" t="s">
        <v>189</v>
      </c>
      <c r="F6386" s="1" t="s">
        <v>1896</v>
      </c>
    </row>
    <row r="6387" spans="1:6" x14ac:dyDescent="0.2">
      <c r="A6387" s="126">
        <v>6326</v>
      </c>
      <c r="B6387" s="1832"/>
      <c r="D6387" s="2" t="str">
        <f t="shared" si="98"/>
        <v>OK</v>
      </c>
      <c r="E6387" s="2" t="s">
        <v>189</v>
      </c>
      <c r="F6387" s="1" t="s">
        <v>1896</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1896</v>
      </c>
    </row>
    <row r="6411" spans="1:6" x14ac:dyDescent="0.2">
      <c r="A6411" s="126">
        <v>6350</v>
      </c>
      <c r="B6411" s="1832"/>
      <c r="D6411" s="2" t="str">
        <f t="shared" si="99"/>
        <v>OK</v>
      </c>
      <c r="E6411" s="2" t="s">
        <v>189</v>
      </c>
      <c r="F6411" s="1" t="s">
        <v>1896</v>
      </c>
    </row>
    <row r="6412" spans="1:6" x14ac:dyDescent="0.2">
      <c r="A6412" s="126">
        <v>6351</v>
      </c>
      <c r="B6412" s="1832"/>
      <c r="D6412" s="2" t="str">
        <f t="shared" si="99"/>
        <v>OK</v>
      </c>
      <c r="E6412" s="2" t="s">
        <v>189</v>
      </c>
      <c r="F6412" s="1" t="s">
        <v>1896</v>
      </c>
    </row>
    <row r="6413" spans="1:6" x14ac:dyDescent="0.2">
      <c r="A6413" s="126">
        <v>6352</v>
      </c>
      <c r="B6413" s="1832"/>
      <c r="D6413" s="2" t="str">
        <f t="shared" si="99"/>
        <v>OK</v>
      </c>
      <c r="E6413" s="2" t="s">
        <v>189</v>
      </c>
      <c r="F6413" s="1" t="s">
        <v>1896</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1992</v>
      </c>
    </row>
    <row r="6417" spans="1:5" x14ac:dyDescent="0.2">
      <c r="A6417" s="126">
        <v>6356</v>
      </c>
      <c r="B6417" s="1832"/>
      <c r="D6417" s="2" t="str">
        <f t="shared" si="99"/>
        <v>OK</v>
      </c>
      <c r="E6417" s="4" t="s">
        <v>1992</v>
      </c>
    </row>
    <row r="6418" spans="1:5" x14ac:dyDescent="0.2">
      <c r="A6418" s="126">
        <v>6357</v>
      </c>
      <c r="B6418" s="1832"/>
      <c r="D6418" s="2" t="str">
        <f t="shared" si="99"/>
        <v>OK</v>
      </c>
      <c r="E6418" s="4" t="s">
        <v>1992</v>
      </c>
    </row>
    <row r="6419" spans="1:5" x14ac:dyDescent="0.2">
      <c r="A6419" s="126">
        <v>6358</v>
      </c>
      <c r="B6419" s="1832"/>
      <c r="D6419" s="2" t="str">
        <f t="shared" si="99"/>
        <v>OK</v>
      </c>
      <c r="E6419" s="4" t="s">
        <v>1992</v>
      </c>
    </row>
    <row r="6420" spans="1:5" x14ac:dyDescent="0.2">
      <c r="A6420" s="126">
        <v>6359</v>
      </c>
      <c r="B6420" s="1832"/>
      <c r="D6420" s="2" t="str">
        <f t="shared" si="99"/>
        <v>OK</v>
      </c>
      <c r="E6420" s="4" t="s">
        <v>1992</v>
      </c>
    </row>
    <row r="6421" spans="1:5" x14ac:dyDescent="0.2">
      <c r="A6421" s="126">
        <v>6360</v>
      </c>
      <c r="B6421" s="1832"/>
      <c r="D6421" s="2" t="str">
        <f t="shared" si="99"/>
        <v>OK</v>
      </c>
      <c r="E6421" s="4" t="s">
        <v>1992</v>
      </c>
    </row>
    <row r="6422" spans="1:5" x14ac:dyDescent="0.2">
      <c r="A6422" s="126">
        <v>6361</v>
      </c>
      <c r="B6422" s="1832"/>
      <c r="D6422" s="2" t="str">
        <f t="shared" si="99"/>
        <v>OK</v>
      </c>
      <c r="E6422" s="4" t="s">
        <v>1992</v>
      </c>
    </row>
    <row r="6423" spans="1:5" x14ac:dyDescent="0.2">
      <c r="A6423" s="126">
        <v>6362</v>
      </c>
      <c r="B6423" s="1832"/>
      <c r="D6423" s="2" t="str">
        <f t="shared" si="99"/>
        <v>OK</v>
      </c>
      <c r="E6423" s="4" t="s">
        <v>1992</v>
      </c>
    </row>
    <row r="6424" spans="1:5" x14ac:dyDescent="0.2">
      <c r="A6424" s="126">
        <v>6363</v>
      </c>
      <c r="B6424" s="1832"/>
      <c r="D6424" s="2" t="str">
        <f t="shared" si="99"/>
        <v>OK</v>
      </c>
      <c r="E6424" s="4" t="s">
        <v>1992</v>
      </c>
    </row>
    <row r="6425" spans="1:5" x14ac:dyDescent="0.2">
      <c r="A6425" s="126">
        <v>6364</v>
      </c>
      <c r="B6425" s="1832"/>
      <c r="D6425" s="2" t="str">
        <f t="shared" si="99"/>
        <v>OK</v>
      </c>
      <c r="E6425" s="4" t="s">
        <v>1992</v>
      </c>
    </row>
    <row r="6426" spans="1:5" x14ac:dyDescent="0.2">
      <c r="A6426" s="126">
        <v>6365</v>
      </c>
      <c r="B6426" s="1832"/>
      <c r="D6426" s="2" t="str">
        <f t="shared" si="99"/>
        <v>OK</v>
      </c>
      <c r="E6426" s="4" t="s">
        <v>1992</v>
      </c>
    </row>
    <row r="6427" spans="1:5" x14ac:dyDescent="0.2">
      <c r="A6427" s="126">
        <v>6366</v>
      </c>
      <c r="B6427" s="1832"/>
      <c r="D6427" s="2" t="str">
        <f t="shared" si="99"/>
        <v>OK</v>
      </c>
      <c r="E6427" s="4" t="s">
        <v>1992</v>
      </c>
    </row>
    <row r="6428" spans="1:5" x14ac:dyDescent="0.2">
      <c r="A6428" s="126">
        <v>6367</v>
      </c>
      <c r="B6428" s="1832"/>
      <c r="D6428" s="2" t="str">
        <f t="shared" si="99"/>
        <v>OK</v>
      </c>
      <c r="E6428" s="4" t="s">
        <v>1992</v>
      </c>
    </row>
    <row r="6429" spans="1:5" x14ac:dyDescent="0.2">
      <c r="A6429" s="126">
        <v>6368</v>
      </c>
      <c r="B6429" s="1832"/>
      <c r="D6429" s="2" t="str">
        <f t="shared" si="99"/>
        <v>OK</v>
      </c>
      <c r="E6429" s="4" t="s">
        <v>1992</v>
      </c>
    </row>
    <row r="6430" spans="1:5" x14ac:dyDescent="0.2">
      <c r="A6430" s="126">
        <v>6369</v>
      </c>
      <c r="B6430" s="1832"/>
      <c r="D6430" s="2" t="str">
        <f t="shared" si="99"/>
        <v>OK</v>
      </c>
      <c r="E6430" s="4" t="s">
        <v>1992</v>
      </c>
    </row>
    <row r="6431" spans="1:5" x14ac:dyDescent="0.2">
      <c r="A6431" s="126">
        <v>6370</v>
      </c>
      <c r="B6431" s="1832"/>
      <c r="D6431" s="2" t="str">
        <f t="shared" si="99"/>
        <v>OK</v>
      </c>
      <c r="E6431" s="4" t="s">
        <v>1992</v>
      </c>
    </row>
    <row r="6432" spans="1:5" x14ac:dyDescent="0.2">
      <c r="A6432" s="126">
        <v>6371</v>
      </c>
      <c r="B6432" s="1832"/>
      <c r="D6432" s="2" t="str">
        <f t="shared" si="99"/>
        <v>OK</v>
      </c>
      <c r="E6432" s="4" t="s">
        <v>1992</v>
      </c>
    </row>
    <row r="6433" spans="1:5" x14ac:dyDescent="0.2">
      <c r="A6433" s="126">
        <v>6372</v>
      </c>
      <c r="B6433" s="1832"/>
      <c r="D6433" s="2" t="str">
        <f t="shared" si="99"/>
        <v>OK</v>
      </c>
      <c r="E6433" s="4" t="s">
        <v>1992</v>
      </c>
    </row>
    <row r="6434" spans="1:5" x14ac:dyDescent="0.2">
      <c r="A6434" s="126">
        <v>6373</v>
      </c>
      <c r="B6434" s="1832"/>
      <c r="D6434" s="2" t="str">
        <f t="shared" si="99"/>
        <v>OK</v>
      </c>
      <c r="E6434" s="4" t="s">
        <v>1992</v>
      </c>
    </row>
    <row r="6435" spans="1:5" x14ac:dyDescent="0.2">
      <c r="A6435" s="126">
        <v>6374</v>
      </c>
      <c r="B6435" s="1832"/>
      <c r="D6435" s="2" t="str">
        <f t="shared" si="99"/>
        <v>OK</v>
      </c>
      <c r="E6435" s="4" t="s">
        <v>1992</v>
      </c>
    </row>
    <row r="6436" spans="1:5" x14ac:dyDescent="0.2">
      <c r="A6436" s="126">
        <v>6375</v>
      </c>
      <c r="B6436" s="1832"/>
      <c r="D6436" s="2" t="str">
        <f t="shared" si="99"/>
        <v>OK</v>
      </c>
      <c r="E6436" s="4" t="s">
        <v>1992</v>
      </c>
    </row>
    <row r="6437" spans="1:5" x14ac:dyDescent="0.2">
      <c r="A6437" s="126">
        <v>6376</v>
      </c>
      <c r="B6437" s="1832"/>
      <c r="D6437" s="2" t="str">
        <f t="shared" si="99"/>
        <v>OK</v>
      </c>
      <c r="E6437" s="4" t="s">
        <v>1992</v>
      </c>
    </row>
    <row r="6438" spans="1:5" x14ac:dyDescent="0.2">
      <c r="A6438" s="126">
        <v>6377</v>
      </c>
      <c r="B6438" s="1832"/>
      <c r="D6438" s="2" t="str">
        <f t="shared" si="99"/>
        <v>OK</v>
      </c>
      <c r="E6438" s="4" t="s">
        <v>1992</v>
      </c>
    </row>
    <row r="6439" spans="1:5" x14ac:dyDescent="0.2">
      <c r="A6439" s="126">
        <v>6378</v>
      </c>
      <c r="B6439" s="1832"/>
      <c r="D6439" s="2" t="str">
        <f t="shared" si="99"/>
        <v>OK</v>
      </c>
      <c r="E6439" s="4" t="s">
        <v>1992</v>
      </c>
    </row>
    <row r="6440" spans="1:5" x14ac:dyDescent="0.2">
      <c r="A6440" s="126">
        <v>6379</v>
      </c>
      <c r="B6440" s="1832"/>
      <c r="D6440" s="2" t="str">
        <f t="shared" si="99"/>
        <v>OK</v>
      </c>
      <c r="E6440" s="4" t="s">
        <v>1992</v>
      </c>
    </row>
    <row r="6441" spans="1:5" x14ac:dyDescent="0.2">
      <c r="A6441" s="126">
        <v>6380</v>
      </c>
      <c r="B6441" s="1832"/>
      <c r="D6441" s="2" t="str">
        <f t="shared" si="99"/>
        <v>OK</v>
      </c>
      <c r="E6441" s="4" t="s">
        <v>1992</v>
      </c>
    </row>
    <row r="6442" spans="1:5" x14ac:dyDescent="0.2">
      <c r="A6442" s="126">
        <v>6381</v>
      </c>
      <c r="B6442" s="1832"/>
      <c r="D6442" s="2" t="str">
        <f t="shared" si="99"/>
        <v>OK</v>
      </c>
      <c r="E6442" s="4" t="s">
        <v>1992</v>
      </c>
    </row>
    <row r="6443" spans="1:5" x14ac:dyDescent="0.2">
      <c r="A6443" s="126">
        <v>6382</v>
      </c>
      <c r="B6443" s="1832"/>
      <c r="D6443" s="2" t="str">
        <f t="shared" si="99"/>
        <v>OK</v>
      </c>
      <c r="E6443" s="4" t="s">
        <v>1992</v>
      </c>
    </row>
    <row r="6444" spans="1:5" x14ac:dyDescent="0.2">
      <c r="A6444" s="126">
        <v>6383</v>
      </c>
      <c r="B6444" s="1832"/>
      <c r="D6444" s="2" t="str">
        <f t="shared" si="99"/>
        <v>OK</v>
      </c>
      <c r="E6444" s="4" t="s">
        <v>1992</v>
      </c>
    </row>
    <row r="6445" spans="1:5" x14ac:dyDescent="0.2">
      <c r="A6445" s="126">
        <v>6384</v>
      </c>
      <c r="B6445" s="1832"/>
      <c r="D6445" s="2" t="str">
        <f t="shared" si="99"/>
        <v>OK</v>
      </c>
      <c r="E6445" s="4" t="s">
        <v>1992</v>
      </c>
    </row>
    <row r="6446" spans="1:5" x14ac:dyDescent="0.2">
      <c r="A6446" s="126">
        <v>6385</v>
      </c>
      <c r="B6446" s="1832"/>
      <c r="D6446" s="2" t="str">
        <f t="shared" si="99"/>
        <v>OK</v>
      </c>
      <c r="E6446" s="4" t="s">
        <v>1992</v>
      </c>
    </row>
    <row r="6447" spans="1:5" x14ac:dyDescent="0.2">
      <c r="A6447" s="126">
        <v>6386</v>
      </c>
      <c r="B6447" s="1832"/>
      <c r="D6447" s="2" t="str">
        <f t="shared" si="99"/>
        <v>OK</v>
      </c>
      <c r="E6447" s="4" t="s">
        <v>1992</v>
      </c>
    </row>
    <row r="6448" spans="1:5" x14ac:dyDescent="0.2">
      <c r="A6448" s="126">
        <v>6387</v>
      </c>
      <c r="B6448" s="1832"/>
      <c r="D6448" s="2" t="str">
        <f t="shared" si="99"/>
        <v>OK</v>
      </c>
      <c r="E6448" s="4" t="s">
        <v>1992</v>
      </c>
    </row>
    <row r="6449" spans="1:5" x14ac:dyDescent="0.2">
      <c r="A6449" s="126">
        <v>6388</v>
      </c>
      <c r="B6449" s="1832"/>
      <c r="D6449" s="2" t="str">
        <f t="shared" si="99"/>
        <v>OK</v>
      </c>
      <c r="E6449" s="4" t="s">
        <v>1992</v>
      </c>
    </row>
    <row r="6450" spans="1:5" x14ac:dyDescent="0.2">
      <c r="A6450" s="126">
        <v>6389</v>
      </c>
      <c r="B6450" s="1832"/>
      <c r="D6450" s="2" t="str">
        <f t="shared" si="99"/>
        <v>OK</v>
      </c>
      <c r="E6450" s="4" t="s">
        <v>1992</v>
      </c>
    </row>
    <row r="6451" spans="1:5" x14ac:dyDescent="0.2">
      <c r="A6451" s="126">
        <v>6390</v>
      </c>
      <c r="B6451" s="1832"/>
      <c r="D6451" s="2" t="str">
        <f t="shared" si="99"/>
        <v>OK</v>
      </c>
      <c r="E6451" s="4" t="s">
        <v>1992</v>
      </c>
    </row>
    <row r="6452" spans="1:5" x14ac:dyDescent="0.2">
      <c r="A6452" s="126">
        <v>6391</v>
      </c>
      <c r="B6452" s="1832"/>
      <c r="D6452" s="2" t="str">
        <f t="shared" si="99"/>
        <v>OK</v>
      </c>
      <c r="E6452" s="4" t="s">
        <v>1992</v>
      </c>
    </row>
    <row r="6453" spans="1:5" x14ac:dyDescent="0.2">
      <c r="A6453" s="126">
        <v>6392</v>
      </c>
      <c r="B6453" s="1832"/>
      <c r="D6453" s="2" t="str">
        <f t="shared" si="99"/>
        <v>OK</v>
      </c>
      <c r="E6453" s="4" t="s">
        <v>1992</v>
      </c>
    </row>
    <row r="6454" spans="1:5" x14ac:dyDescent="0.2">
      <c r="A6454" s="126">
        <v>6393</v>
      </c>
      <c r="B6454" s="1832"/>
      <c r="D6454" s="2" t="str">
        <f t="shared" si="99"/>
        <v>OK</v>
      </c>
      <c r="E6454" s="4" t="s">
        <v>1992</v>
      </c>
    </row>
    <row r="6455" spans="1:5" x14ac:dyDescent="0.2">
      <c r="A6455" s="126">
        <v>6394</v>
      </c>
      <c r="B6455" s="1832"/>
      <c r="D6455" s="2" t="str">
        <f t="shared" si="99"/>
        <v>OK</v>
      </c>
      <c r="E6455" s="4" t="s">
        <v>1992</v>
      </c>
    </row>
    <row r="6456" spans="1:5" x14ac:dyDescent="0.2">
      <c r="A6456" s="126">
        <v>6395</v>
      </c>
      <c r="B6456" s="1832"/>
      <c r="D6456" s="2" t="str">
        <f t="shared" si="99"/>
        <v>OK</v>
      </c>
      <c r="E6456" s="4" t="s">
        <v>1992</v>
      </c>
    </row>
    <row r="6457" spans="1:5" x14ac:dyDescent="0.2">
      <c r="A6457" s="126">
        <v>6396</v>
      </c>
      <c r="B6457" s="1832"/>
      <c r="D6457" s="2" t="str">
        <f t="shared" si="99"/>
        <v>OK</v>
      </c>
      <c r="E6457" s="4" t="s">
        <v>1992</v>
      </c>
    </row>
    <row r="6458" spans="1:5" x14ac:dyDescent="0.2">
      <c r="A6458" s="126">
        <v>6397</v>
      </c>
      <c r="B6458" s="1832"/>
      <c r="D6458" s="2" t="str">
        <f t="shared" si="99"/>
        <v>OK</v>
      </c>
      <c r="E6458" s="4" t="s">
        <v>1992</v>
      </c>
    </row>
    <row r="6459" spans="1:5" x14ac:dyDescent="0.2">
      <c r="A6459" s="126">
        <v>6398</v>
      </c>
      <c r="B6459" s="1832"/>
      <c r="D6459" s="2" t="str">
        <f t="shared" si="99"/>
        <v>OK</v>
      </c>
      <c r="E6459" s="4" t="s">
        <v>1992</v>
      </c>
    </row>
    <row r="6460" spans="1:5" x14ac:dyDescent="0.2">
      <c r="A6460" s="126">
        <v>6399</v>
      </c>
      <c r="B6460" s="1832"/>
      <c r="D6460" s="2" t="str">
        <f t="shared" si="99"/>
        <v>OK</v>
      </c>
      <c r="E6460" s="4" t="s">
        <v>1992</v>
      </c>
    </row>
    <row r="6461" spans="1:5" x14ac:dyDescent="0.2">
      <c r="A6461" s="126">
        <v>6400</v>
      </c>
      <c r="B6461" s="1832"/>
      <c r="D6461" s="2" t="str">
        <f t="shared" si="99"/>
        <v>OK</v>
      </c>
      <c r="E6461" s="4" t="s">
        <v>1992</v>
      </c>
    </row>
    <row r="6462" spans="1:5" x14ac:dyDescent="0.2">
      <c r="A6462" s="126">
        <v>6401</v>
      </c>
      <c r="B6462" s="1832"/>
      <c r="D6462" s="2" t="str">
        <f t="shared" si="99"/>
        <v>OK</v>
      </c>
      <c r="E6462" s="4" t="s">
        <v>1992</v>
      </c>
    </row>
    <row r="6463" spans="1:5" x14ac:dyDescent="0.2">
      <c r="A6463" s="126">
        <v>6402</v>
      </c>
      <c r="B6463" s="1832"/>
      <c r="D6463" s="2" t="str">
        <f t="shared" ref="D6463:D6526" si="100">IF(ISBLANK(B6463),"OK",IF(A6463-B6463=0,"OK","Error?"))</f>
        <v>OK</v>
      </c>
      <c r="E6463" s="4" t="s">
        <v>1992</v>
      </c>
    </row>
    <row r="6464" spans="1:5" x14ac:dyDescent="0.2">
      <c r="A6464" s="126">
        <v>6403</v>
      </c>
      <c r="B6464" s="1832"/>
      <c r="D6464" s="2" t="str">
        <f t="shared" si="100"/>
        <v>OK</v>
      </c>
      <c r="E6464" s="4" t="s">
        <v>1992</v>
      </c>
    </row>
    <row r="6465" spans="1:5" x14ac:dyDescent="0.2">
      <c r="A6465" s="126">
        <v>6404</v>
      </c>
      <c r="B6465" s="1832"/>
      <c r="D6465" s="2" t="str">
        <f t="shared" si="100"/>
        <v>OK</v>
      </c>
      <c r="E6465" s="4" t="s">
        <v>1992</v>
      </c>
    </row>
    <row r="6466" spans="1:5" x14ac:dyDescent="0.2">
      <c r="A6466" s="126">
        <v>6405</v>
      </c>
      <c r="B6466" s="1832"/>
      <c r="D6466" s="2" t="str">
        <f t="shared" si="100"/>
        <v>OK</v>
      </c>
      <c r="E6466" s="4" t="s">
        <v>1992</v>
      </c>
    </row>
    <row r="6467" spans="1:5" x14ac:dyDescent="0.2">
      <c r="A6467" s="126">
        <v>6406</v>
      </c>
      <c r="B6467" s="1832"/>
      <c r="D6467" s="2" t="str">
        <f t="shared" si="100"/>
        <v>OK</v>
      </c>
      <c r="E6467" s="4" t="s">
        <v>1992</v>
      </c>
    </row>
    <row r="6468" spans="1:5" x14ac:dyDescent="0.2">
      <c r="A6468" s="126">
        <v>6407</v>
      </c>
      <c r="B6468" s="1832"/>
      <c r="D6468" s="2" t="str">
        <f t="shared" si="100"/>
        <v>OK</v>
      </c>
      <c r="E6468" s="4" t="s">
        <v>1992</v>
      </c>
    </row>
    <row r="6469" spans="1:5" x14ac:dyDescent="0.2">
      <c r="A6469" s="126">
        <v>6408</v>
      </c>
      <c r="B6469" s="1832"/>
      <c r="D6469" s="2" t="str">
        <f t="shared" si="100"/>
        <v>OK</v>
      </c>
      <c r="E6469" s="4" t="s">
        <v>1992</v>
      </c>
    </row>
    <row r="6470" spans="1:5" x14ac:dyDescent="0.2">
      <c r="A6470" s="126">
        <v>6409</v>
      </c>
      <c r="B6470" s="1832"/>
      <c r="D6470" s="2" t="str">
        <f t="shared" si="100"/>
        <v>OK</v>
      </c>
      <c r="E6470" s="4" t="s">
        <v>1992</v>
      </c>
    </row>
    <row r="6471" spans="1:5" x14ac:dyDescent="0.2">
      <c r="A6471" s="126">
        <v>6410</v>
      </c>
      <c r="B6471" s="1832"/>
      <c r="D6471" s="2" t="str">
        <f t="shared" si="100"/>
        <v>OK</v>
      </c>
      <c r="E6471" s="4" t="s">
        <v>1992</v>
      </c>
    </row>
    <row r="6472" spans="1:5" x14ac:dyDescent="0.2">
      <c r="A6472" s="126">
        <v>6411</v>
      </c>
      <c r="B6472" s="1832"/>
      <c r="D6472" s="2" t="str">
        <f t="shared" si="100"/>
        <v>OK</v>
      </c>
      <c r="E6472" s="4" t="s">
        <v>1992</v>
      </c>
    </row>
    <row r="6473" spans="1:5" x14ac:dyDescent="0.2">
      <c r="A6473" s="126">
        <v>6412</v>
      </c>
      <c r="B6473" s="1832"/>
      <c r="D6473" s="2" t="str">
        <f t="shared" si="100"/>
        <v>OK</v>
      </c>
      <c r="E6473" s="4" t="s">
        <v>1992</v>
      </c>
    </row>
    <row r="6474" spans="1:5" x14ac:dyDescent="0.2">
      <c r="A6474" s="126">
        <v>6413</v>
      </c>
      <c r="B6474" s="1832"/>
      <c r="D6474" s="2" t="str">
        <f t="shared" si="100"/>
        <v>OK</v>
      </c>
      <c r="E6474" s="4" t="s">
        <v>1992</v>
      </c>
    </row>
    <row r="6475" spans="1:5" x14ac:dyDescent="0.2">
      <c r="A6475" s="126">
        <v>6414</v>
      </c>
      <c r="B6475" s="1832"/>
      <c r="D6475" s="2" t="str">
        <f t="shared" si="100"/>
        <v>OK</v>
      </c>
      <c r="E6475" s="4" t="s">
        <v>1992</v>
      </c>
    </row>
    <row r="6476" spans="1:5" x14ac:dyDescent="0.2">
      <c r="A6476" s="126">
        <v>6415</v>
      </c>
      <c r="B6476" s="1832"/>
      <c r="D6476" s="2" t="str">
        <f t="shared" si="100"/>
        <v>OK</v>
      </c>
      <c r="E6476" s="4" t="s">
        <v>1992</v>
      </c>
    </row>
    <row r="6477" spans="1:5" x14ac:dyDescent="0.2">
      <c r="A6477" s="126">
        <v>6416</v>
      </c>
      <c r="B6477" s="1832"/>
      <c r="D6477" s="2" t="str">
        <f t="shared" si="100"/>
        <v>OK</v>
      </c>
      <c r="E6477" s="4" t="s">
        <v>1992</v>
      </c>
    </row>
    <row r="6478" spans="1:5" x14ac:dyDescent="0.2">
      <c r="A6478" s="126">
        <v>6417</v>
      </c>
      <c r="B6478" s="1832"/>
      <c r="D6478" s="2" t="str">
        <f t="shared" si="100"/>
        <v>OK</v>
      </c>
      <c r="E6478" s="4" t="s">
        <v>1992</v>
      </c>
    </row>
    <row r="6479" spans="1:5" x14ac:dyDescent="0.2">
      <c r="A6479" s="126">
        <v>6418</v>
      </c>
      <c r="B6479" s="1832"/>
      <c r="D6479" s="2" t="str">
        <f t="shared" si="100"/>
        <v>OK</v>
      </c>
      <c r="E6479" s="4" t="s">
        <v>1992</v>
      </c>
    </row>
    <row r="6480" spans="1:5" x14ac:dyDescent="0.2">
      <c r="A6480" s="126">
        <v>6419</v>
      </c>
      <c r="B6480" s="1832"/>
      <c r="D6480" s="2" t="str">
        <f t="shared" si="100"/>
        <v>OK</v>
      </c>
      <c r="E6480" s="4" t="s">
        <v>1992</v>
      </c>
    </row>
    <row r="6481" spans="1:5" x14ac:dyDescent="0.2">
      <c r="A6481" s="126">
        <v>6420</v>
      </c>
      <c r="B6481" s="1832"/>
      <c r="D6481" s="2" t="str">
        <f t="shared" si="100"/>
        <v>OK</v>
      </c>
      <c r="E6481" s="4" t="s">
        <v>1992</v>
      </c>
    </row>
    <row r="6482" spans="1:5" x14ac:dyDescent="0.2">
      <c r="A6482" s="126">
        <v>6421</v>
      </c>
      <c r="B6482" s="1832"/>
      <c r="D6482" s="2" t="str">
        <f t="shared" si="100"/>
        <v>OK</v>
      </c>
      <c r="E6482" s="4" t="s">
        <v>1992</v>
      </c>
    </row>
    <row r="6483" spans="1:5" x14ac:dyDescent="0.2">
      <c r="A6483" s="126">
        <v>6422</v>
      </c>
      <c r="B6483" s="1832"/>
      <c r="D6483" s="2" t="str">
        <f t="shared" si="100"/>
        <v>OK</v>
      </c>
      <c r="E6483" s="4" t="s">
        <v>1992</v>
      </c>
    </row>
    <row r="6484" spans="1:5" x14ac:dyDescent="0.2">
      <c r="A6484" s="126">
        <v>6423</v>
      </c>
      <c r="B6484" s="1832"/>
      <c r="D6484" s="2" t="str">
        <f t="shared" si="100"/>
        <v>OK</v>
      </c>
      <c r="E6484" s="4" t="s">
        <v>1992</v>
      </c>
    </row>
    <row r="6485" spans="1:5" x14ac:dyDescent="0.2">
      <c r="A6485" s="126">
        <v>6424</v>
      </c>
      <c r="B6485" s="1832"/>
      <c r="D6485" s="2" t="str">
        <f t="shared" si="100"/>
        <v>OK</v>
      </c>
      <c r="E6485" s="4" t="s">
        <v>1992</v>
      </c>
    </row>
    <row r="6486" spans="1:5" x14ac:dyDescent="0.2">
      <c r="A6486" s="126">
        <v>6425</v>
      </c>
      <c r="B6486" s="1832"/>
      <c r="D6486" s="2" t="str">
        <f t="shared" si="100"/>
        <v>OK</v>
      </c>
      <c r="E6486" s="4" t="s">
        <v>1992</v>
      </c>
    </row>
    <row r="6487" spans="1:5" x14ac:dyDescent="0.2">
      <c r="A6487" s="126">
        <v>6426</v>
      </c>
      <c r="B6487" s="1832"/>
      <c r="D6487" s="2" t="str">
        <f t="shared" si="100"/>
        <v>OK</v>
      </c>
      <c r="E6487" s="4" t="s">
        <v>1992</v>
      </c>
    </row>
    <row r="6488" spans="1:5" x14ac:dyDescent="0.2">
      <c r="A6488" s="126">
        <v>6427</v>
      </c>
      <c r="B6488" s="1832"/>
      <c r="D6488" s="2" t="str">
        <f t="shared" si="100"/>
        <v>OK</v>
      </c>
      <c r="E6488" s="4" t="s">
        <v>1992</v>
      </c>
    </row>
    <row r="6489" spans="1:5" x14ac:dyDescent="0.2">
      <c r="A6489" s="126">
        <v>6428</v>
      </c>
      <c r="B6489" s="1832"/>
      <c r="D6489" s="2" t="str">
        <f t="shared" si="100"/>
        <v>OK</v>
      </c>
      <c r="E6489" s="4" t="s">
        <v>1992</v>
      </c>
    </row>
    <row r="6490" spans="1:5" x14ac:dyDescent="0.2">
      <c r="A6490" s="126">
        <v>6429</v>
      </c>
      <c r="B6490" s="1832"/>
      <c r="D6490" s="2" t="str">
        <f t="shared" si="100"/>
        <v>OK</v>
      </c>
      <c r="E6490" s="4" t="s">
        <v>1992</v>
      </c>
    </row>
    <row r="6491" spans="1:5" x14ac:dyDescent="0.2">
      <c r="A6491" s="126">
        <v>6430</v>
      </c>
      <c r="B6491" s="1832"/>
      <c r="D6491" s="2" t="str">
        <f t="shared" si="100"/>
        <v>OK</v>
      </c>
      <c r="E6491" s="4" t="s">
        <v>1992</v>
      </c>
    </row>
    <row r="6492" spans="1:5" x14ac:dyDescent="0.2">
      <c r="A6492" s="126">
        <v>6431</v>
      </c>
      <c r="B6492" s="1832"/>
      <c r="D6492" s="2" t="str">
        <f t="shared" si="100"/>
        <v>OK</v>
      </c>
      <c r="E6492" s="4" t="s">
        <v>1992</v>
      </c>
    </row>
    <row r="6493" spans="1:5" x14ac:dyDescent="0.2">
      <c r="A6493" s="126">
        <v>6432</v>
      </c>
      <c r="B6493" s="1832"/>
      <c r="D6493" s="2" t="str">
        <f t="shared" si="100"/>
        <v>OK</v>
      </c>
      <c r="E6493" s="4" t="s">
        <v>1992</v>
      </c>
    </row>
    <row r="6494" spans="1:5" x14ac:dyDescent="0.2">
      <c r="A6494" s="126">
        <v>6433</v>
      </c>
      <c r="B6494" s="1832"/>
      <c r="D6494" s="2" t="str">
        <f t="shared" si="100"/>
        <v>OK</v>
      </c>
      <c r="E6494" s="4" t="s">
        <v>1992</v>
      </c>
    </row>
    <row r="6495" spans="1:5" x14ac:dyDescent="0.2">
      <c r="A6495" s="126">
        <v>6434</v>
      </c>
      <c r="B6495" s="1832"/>
      <c r="D6495" s="2" t="str">
        <f t="shared" si="100"/>
        <v>OK</v>
      </c>
      <c r="E6495" s="4" t="s">
        <v>1992</v>
      </c>
    </row>
    <row r="6496" spans="1:5" x14ac:dyDescent="0.2">
      <c r="A6496" s="126">
        <v>6435</v>
      </c>
      <c r="B6496" s="1832"/>
      <c r="D6496" s="2" t="str">
        <f t="shared" si="100"/>
        <v>OK</v>
      </c>
      <c r="E6496" s="4" t="s">
        <v>1992</v>
      </c>
    </row>
    <row r="6497" spans="1:5" x14ac:dyDescent="0.2">
      <c r="A6497" s="126">
        <v>6436</v>
      </c>
      <c r="B6497" s="1832"/>
      <c r="D6497" s="2" t="str">
        <f t="shared" si="100"/>
        <v>OK</v>
      </c>
      <c r="E6497" s="4" t="s">
        <v>1992</v>
      </c>
    </row>
    <row r="6498" spans="1:5" x14ac:dyDescent="0.2">
      <c r="A6498" s="126">
        <v>6437</v>
      </c>
      <c r="B6498" s="1832"/>
      <c r="D6498" s="2" t="str">
        <f t="shared" si="100"/>
        <v>OK</v>
      </c>
      <c r="E6498" s="4" t="s">
        <v>1992</v>
      </c>
    </row>
    <row r="6499" spans="1:5" x14ac:dyDescent="0.2">
      <c r="A6499" s="126">
        <v>6438</v>
      </c>
      <c r="B6499" s="1832"/>
      <c r="D6499" s="2" t="str">
        <f t="shared" si="100"/>
        <v>OK</v>
      </c>
      <c r="E6499" s="4" t="s">
        <v>1992</v>
      </c>
    </row>
    <row r="6500" spans="1:5" x14ac:dyDescent="0.2">
      <c r="A6500" s="126">
        <v>6439</v>
      </c>
      <c r="B6500" s="1832"/>
      <c r="D6500" s="2" t="str">
        <f t="shared" si="100"/>
        <v>OK</v>
      </c>
      <c r="E6500" s="4" t="s">
        <v>1992</v>
      </c>
    </row>
    <row r="6501" spans="1:5" x14ac:dyDescent="0.2">
      <c r="A6501" s="126">
        <v>6440</v>
      </c>
      <c r="B6501" s="1832"/>
      <c r="D6501" s="2" t="str">
        <f t="shared" si="100"/>
        <v>OK</v>
      </c>
      <c r="E6501" s="4" t="s">
        <v>1992</v>
      </c>
    </row>
    <row r="6502" spans="1:5" x14ac:dyDescent="0.2">
      <c r="A6502" s="126">
        <v>6441</v>
      </c>
      <c r="B6502" s="1832"/>
      <c r="D6502" s="2" t="str">
        <f t="shared" si="100"/>
        <v>OK</v>
      </c>
      <c r="E6502" s="4" t="s">
        <v>1992</v>
      </c>
    </row>
    <row r="6503" spans="1:5" x14ac:dyDescent="0.2">
      <c r="A6503" s="126">
        <v>6442</v>
      </c>
      <c r="B6503" s="1832"/>
      <c r="D6503" s="2" t="str">
        <f t="shared" si="100"/>
        <v>OK</v>
      </c>
      <c r="E6503" s="4" t="s">
        <v>1992</v>
      </c>
    </row>
    <row r="6504" spans="1:5" x14ac:dyDescent="0.2">
      <c r="A6504" s="126">
        <v>6443</v>
      </c>
      <c r="B6504" s="1832"/>
      <c r="D6504" s="2" t="str">
        <f t="shared" si="100"/>
        <v>OK</v>
      </c>
      <c r="E6504" s="4" t="s">
        <v>1992</v>
      </c>
    </row>
    <row r="6505" spans="1:5" x14ac:dyDescent="0.2">
      <c r="A6505" s="126">
        <v>6444</v>
      </c>
      <c r="B6505" s="1832"/>
      <c r="D6505" s="2" t="str">
        <f t="shared" si="100"/>
        <v>OK</v>
      </c>
      <c r="E6505" s="4" t="s">
        <v>1992</v>
      </c>
    </row>
    <row r="6506" spans="1:5" x14ac:dyDescent="0.2">
      <c r="A6506" s="126">
        <v>6445</v>
      </c>
      <c r="B6506" s="1832"/>
      <c r="D6506" s="2" t="str">
        <f t="shared" si="100"/>
        <v>OK</v>
      </c>
      <c r="E6506" s="4" t="s">
        <v>1992</v>
      </c>
    </row>
    <row r="6507" spans="1:5" x14ac:dyDescent="0.2">
      <c r="A6507" s="126">
        <v>6446</v>
      </c>
      <c r="B6507" s="1832"/>
      <c r="D6507" s="2" t="str">
        <f t="shared" si="100"/>
        <v>OK</v>
      </c>
      <c r="E6507" s="4" t="s">
        <v>1992</v>
      </c>
    </row>
    <row r="6508" spans="1:5" x14ac:dyDescent="0.2">
      <c r="A6508" s="126">
        <v>6447</v>
      </c>
      <c r="B6508" s="1832"/>
      <c r="D6508" s="2" t="str">
        <f t="shared" si="100"/>
        <v>OK</v>
      </c>
      <c r="E6508" s="4" t="s">
        <v>1992</v>
      </c>
    </row>
    <row r="6509" spans="1:5" x14ac:dyDescent="0.2">
      <c r="A6509" s="126">
        <v>6448</v>
      </c>
      <c r="B6509" s="1832"/>
      <c r="D6509" s="2" t="str">
        <f t="shared" si="100"/>
        <v>OK</v>
      </c>
      <c r="E6509" s="4" t="s">
        <v>1992</v>
      </c>
    </row>
    <row r="6510" spans="1:5" x14ac:dyDescent="0.2">
      <c r="A6510" s="126">
        <v>6449</v>
      </c>
      <c r="B6510" s="1832"/>
      <c r="D6510" s="2" t="str">
        <f t="shared" si="100"/>
        <v>OK</v>
      </c>
      <c r="E6510" s="4" t="s">
        <v>1992</v>
      </c>
    </row>
    <row r="6511" spans="1:5" x14ac:dyDescent="0.2">
      <c r="A6511" s="126">
        <v>6450</v>
      </c>
      <c r="B6511" s="1832"/>
      <c r="D6511" s="2" t="str">
        <f t="shared" si="100"/>
        <v>OK</v>
      </c>
      <c r="E6511" s="4" t="s">
        <v>1992</v>
      </c>
    </row>
    <row r="6512" spans="1:5" x14ac:dyDescent="0.2">
      <c r="A6512" s="126">
        <v>6451</v>
      </c>
      <c r="B6512" s="1832"/>
      <c r="D6512" s="2" t="str">
        <f t="shared" si="100"/>
        <v>OK</v>
      </c>
      <c r="E6512" s="4" t="s">
        <v>1992</v>
      </c>
    </row>
    <row r="6513" spans="1:5" x14ac:dyDescent="0.2">
      <c r="A6513" s="126">
        <v>6452</v>
      </c>
      <c r="B6513" s="1832"/>
      <c r="D6513" s="2" t="str">
        <f t="shared" si="100"/>
        <v>OK</v>
      </c>
      <c r="E6513" s="4" t="s">
        <v>1992</v>
      </c>
    </row>
    <row r="6514" spans="1:5" x14ac:dyDescent="0.2">
      <c r="A6514" s="126">
        <v>6453</v>
      </c>
      <c r="B6514" s="1832"/>
      <c r="D6514" s="2" t="str">
        <f t="shared" si="100"/>
        <v>OK</v>
      </c>
      <c r="E6514" s="4" t="s">
        <v>1992</v>
      </c>
    </row>
    <row r="6515" spans="1:5" x14ac:dyDescent="0.2">
      <c r="A6515" s="126">
        <v>6454</v>
      </c>
      <c r="B6515" s="1832"/>
      <c r="D6515" s="2" t="str">
        <f t="shared" si="100"/>
        <v>OK</v>
      </c>
      <c r="E6515" s="4" t="s">
        <v>1992</v>
      </c>
    </row>
    <row r="6516" spans="1:5" x14ac:dyDescent="0.2">
      <c r="A6516" s="126">
        <v>6455</v>
      </c>
      <c r="B6516" s="1832"/>
      <c r="D6516" s="2" t="str">
        <f t="shared" si="100"/>
        <v>OK</v>
      </c>
      <c r="E6516" s="4" t="s">
        <v>1992</v>
      </c>
    </row>
    <row r="6517" spans="1:5" x14ac:dyDescent="0.2">
      <c r="A6517" s="126">
        <v>6456</v>
      </c>
      <c r="B6517" s="1832"/>
      <c r="D6517" s="2" t="str">
        <f t="shared" si="100"/>
        <v>OK</v>
      </c>
      <c r="E6517" s="4" t="s">
        <v>1992</v>
      </c>
    </row>
    <row r="6518" spans="1:5" x14ac:dyDescent="0.2">
      <c r="A6518" s="126">
        <v>6457</v>
      </c>
      <c r="B6518" s="1832"/>
      <c r="D6518" s="2" t="str">
        <f t="shared" si="100"/>
        <v>OK</v>
      </c>
      <c r="E6518" s="4" t="s">
        <v>1992</v>
      </c>
    </row>
    <row r="6519" spans="1:5" x14ac:dyDescent="0.2">
      <c r="A6519" s="126">
        <v>6458</v>
      </c>
      <c r="B6519" s="1832"/>
      <c r="D6519" s="2" t="str">
        <f t="shared" si="100"/>
        <v>OK</v>
      </c>
      <c r="E6519" s="4" t="s">
        <v>1992</v>
      </c>
    </row>
    <row r="6520" spans="1:5" x14ac:dyDescent="0.2">
      <c r="A6520" s="126">
        <v>6459</v>
      </c>
      <c r="B6520" s="1832"/>
      <c r="D6520" s="2" t="str">
        <f t="shared" si="100"/>
        <v>OK</v>
      </c>
      <c r="E6520" s="4" t="s">
        <v>1992</v>
      </c>
    </row>
    <row r="6521" spans="1:5" x14ac:dyDescent="0.2">
      <c r="A6521" s="126">
        <v>6460</v>
      </c>
      <c r="B6521" s="1832"/>
      <c r="D6521" s="2" t="str">
        <f t="shared" si="100"/>
        <v>OK</v>
      </c>
      <c r="E6521" s="4" t="s">
        <v>1992</v>
      </c>
    </row>
    <row r="6522" spans="1:5" x14ac:dyDescent="0.2">
      <c r="A6522" s="126">
        <v>6461</v>
      </c>
      <c r="B6522" s="1832"/>
      <c r="D6522" s="2" t="str">
        <f t="shared" si="100"/>
        <v>OK</v>
      </c>
      <c r="E6522" s="4" t="s">
        <v>1992</v>
      </c>
    </row>
    <row r="6523" spans="1:5" x14ac:dyDescent="0.2">
      <c r="A6523" s="126">
        <v>6462</v>
      </c>
      <c r="B6523" s="1832"/>
      <c r="D6523" s="2" t="str">
        <f t="shared" si="100"/>
        <v>OK</v>
      </c>
      <c r="E6523" s="4" t="s">
        <v>1992</v>
      </c>
    </row>
    <row r="6524" spans="1:5" x14ac:dyDescent="0.2">
      <c r="A6524" s="126">
        <v>6463</v>
      </c>
      <c r="B6524" s="1832"/>
      <c r="D6524" s="2" t="str">
        <f t="shared" si="100"/>
        <v>OK</v>
      </c>
      <c r="E6524" s="4" t="s">
        <v>1992</v>
      </c>
    </row>
    <row r="6525" spans="1:5" x14ac:dyDescent="0.2">
      <c r="A6525" s="126">
        <v>6464</v>
      </c>
      <c r="B6525" s="1832"/>
      <c r="D6525" s="2" t="str">
        <f t="shared" si="100"/>
        <v>OK</v>
      </c>
      <c r="E6525" s="4" t="s">
        <v>1992</v>
      </c>
    </row>
    <row r="6526" spans="1:5" x14ac:dyDescent="0.2">
      <c r="A6526" s="126">
        <v>6465</v>
      </c>
      <c r="B6526" s="1832"/>
      <c r="D6526" s="2" t="str">
        <f t="shared" si="100"/>
        <v>OK</v>
      </c>
      <c r="E6526" s="4" t="s">
        <v>1992</v>
      </c>
    </row>
    <row r="6527" spans="1:5" x14ac:dyDescent="0.2">
      <c r="A6527" s="126">
        <v>6466</v>
      </c>
      <c r="B6527" s="1832"/>
      <c r="D6527" s="2" t="str">
        <f t="shared" ref="D6527:D6590" si="101">IF(ISBLANK(B6527),"OK",IF(A6527-B6527=0,"OK","Error?"))</f>
        <v>OK</v>
      </c>
      <c r="E6527" s="4" t="s">
        <v>1992</v>
      </c>
    </row>
    <row r="6528" spans="1:5" x14ac:dyDescent="0.2">
      <c r="A6528" s="126">
        <v>6467</v>
      </c>
      <c r="B6528" s="1832"/>
      <c r="D6528" s="2" t="str">
        <f t="shared" si="101"/>
        <v>OK</v>
      </c>
      <c r="E6528" s="4" t="s">
        <v>1992</v>
      </c>
    </row>
    <row r="6529" spans="1:5" x14ac:dyDescent="0.2">
      <c r="A6529" s="126">
        <v>6468</v>
      </c>
      <c r="B6529" s="1832"/>
      <c r="D6529" s="2" t="str">
        <f t="shared" si="101"/>
        <v>OK</v>
      </c>
      <c r="E6529" s="4" t="s">
        <v>1992</v>
      </c>
    </row>
    <row r="6530" spans="1:5" x14ac:dyDescent="0.2">
      <c r="A6530" s="126">
        <v>6469</v>
      </c>
      <c r="B6530" s="1832"/>
      <c r="D6530" s="2" t="str">
        <f t="shared" si="101"/>
        <v>OK</v>
      </c>
      <c r="E6530" s="4" t="s">
        <v>1992</v>
      </c>
    </row>
    <row r="6531" spans="1:5" x14ac:dyDescent="0.2">
      <c r="A6531" s="126">
        <v>6470</v>
      </c>
      <c r="B6531" s="1832"/>
      <c r="D6531" s="2" t="str">
        <f t="shared" si="101"/>
        <v>OK</v>
      </c>
      <c r="E6531" s="4" t="s">
        <v>1992</v>
      </c>
    </row>
    <row r="6532" spans="1:5" x14ac:dyDescent="0.2">
      <c r="A6532" s="126">
        <v>6471</v>
      </c>
      <c r="B6532" s="1832"/>
      <c r="D6532" s="2" t="str">
        <f t="shared" si="101"/>
        <v>OK</v>
      </c>
      <c r="E6532" s="4" t="s">
        <v>1992</v>
      </c>
    </row>
    <row r="6533" spans="1:5" x14ac:dyDescent="0.2">
      <c r="A6533" s="126">
        <v>6472</v>
      </c>
      <c r="B6533" s="1832"/>
      <c r="D6533" s="2" t="str">
        <f t="shared" si="101"/>
        <v>OK</v>
      </c>
      <c r="E6533" s="4" t="s">
        <v>1992</v>
      </c>
    </row>
    <row r="6534" spans="1:5" x14ac:dyDescent="0.2">
      <c r="A6534" s="126">
        <v>6473</v>
      </c>
      <c r="B6534" s="1832"/>
      <c r="D6534" s="2" t="str">
        <f t="shared" si="101"/>
        <v>OK</v>
      </c>
      <c r="E6534" s="4" t="s">
        <v>1992</v>
      </c>
    </row>
    <row r="6535" spans="1:5" x14ac:dyDescent="0.2">
      <c r="A6535" s="126">
        <v>6474</v>
      </c>
      <c r="B6535" s="1832"/>
      <c r="D6535" s="2" t="str">
        <f t="shared" si="101"/>
        <v>OK</v>
      </c>
      <c r="E6535" s="4" t="s">
        <v>1992</v>
      </c>
    </row>
    <row r="6536" spans="1:5" x14ac:dyDescent="0.2">
      <c r="A6536" s="126">
        <v>6475</v>
      </c>
      <c r="B6536" s="1832"/>
      <c r="D6536" s="2" t="str">
        <f t="shared" si="101"/>
        <v>OK</v>
      </c>
      <c r="E6536" s="4" t="s">
        <v>1992</v>
      </c>
    </row>
    <row r="6537" spans="1:5" x14ac:dyDescent="0.2">
      <c r="A6537" s="126">
        <v>6476</v>
      </c>
      <c r="B6537" s="1832"/>
      <c r="D6537" s="2" t="str">
        <f t="shared" si="101"/>
        <v>OK</v>
      </c>
      <c r="E6537" s="4" t="s">
        <v>1992</v>
      </c>
    </row>
    <row r="6538" spans="1:5" x14ac:dyDescent="0.2">
      <c r="A6538" s="126">
        <v>6477</v>
      </c>
      <c r="B6538" s="1832"/>
      <c r="D6538" s="2" t="str">
        <f t="shared" si="101"/>
        <v>OK</v>
      </c>
      <c r="E6538" s="4" t="s">
        <v>1992</v>
      </c>
    </row>
    <row r="6539" spans="1:5" x14ac:dyDescent="0.2">
      <c r="A6539" s="126">
        <v>6478</v>
      </c>
      <c r="B6539" s="1832"/>
      <c r="D6539" s="2" t="str">
        <f t="shared" si="101"/>
        <v>OK</v>
      </c>
      <c r="E6539" s="4" t="s">
        <v>1992</v>
      </c>
    </row>
    <row r="6540" spans="1:5" x14ac:dyDescent="0.2">
      <c r="A6540" s="126">
        <v>6479</v>
      </c>
      <c r="B6540" s="1832"/>
      <c r="D6540" s="2" t="str">
        <f t="shared" si="101"/>
        <v>OK</v>
      </c>
      <c r="E6540" s="4" t="s">
        <v>1992</v>
      </c>
    </row>
    <row r="6541" spans="1:5" x14ac:dyDescent="0.2">
      <c r="A6541" s="126">
        <v>6480</v>
      </c>
      <c r="B6541" s="1832"/>
      <c r="D6541" s="2" t="str">
        <f t="shared" si="101"/>
        <v>OK</v>
      </c>
      <c r="E6541" s="4" t="s">
        <v>1992</v>
      </c>
    </row>
    <row r="6542" spans="1:5" x14ac:dyDescent="0.2">
      <c r="A6542" s="126">
        <v>6481</v>
      </c>
      <c r="B6542" s="1832"/>
      <c r="D6542" s="2" t="str">
        <f t="shared" si="101"/>
        <v>OK</v>
      </c>
      <c r="E6542" s="4" t="s">
        <v>1992</v>
      </c>
    </row>
    <row r="6543" spans="1:5" x14ac:dyDescent="0.2">
      <c r="A6543" s="126">
        <v>6482</v>
      </c>
      <c r="B6543" s="1832"/>
      <c r="D6543" s="2" t="str">
        <f t="shared" si="101"/>
        <v>OK</v>
      </c>
      <c r="E6543" s="4" t="s">
        <v>1992</v>
      </c>
    </row>
    <row r="6544" spans="1:5" x14ac:dyDescent="0.2">
      <c r="A6544" s="126">
        <v>6483</v>
      </c>
      <c r="B6544" s="1832"/>
      <c r="D6544" s="2" t="str">
        <f t="shared" si="101"/>
        <v>OK</v>
      </c>
      <c r="E6544" s="4" t="s">
        <v>1992</v>
      </c>
    </row>
    <row r="6545" spans="1:5" x14ac:dyDescent="0.2">
      <c r="A6545" s="126">
        <v>6484</v>
      </c>
      <c r="B6545" s="1832"/>
      <c r="D6545" s="2" t="str">
        <f t="shared" si="101"/>
        <v>OK</v>
      </c>
      <c r="E6545" s="4" t="s">
        <v>1992</v>
      </c>
    </row>
    <row r="6546" spans="1:5" x14ac:dyDescent="0.2">
      <c r="A6546" s="126">
        <v>6485</v>
      </c>
      <c r="B6546" s="1832"/>
      <c r="D6546" s="2" t="str">
        <f t="shared" si="101"/>
        <v>OK</v>
      </c>
      <c r="E6546" s="4" t="s">
        <v>1992</v>
      </c>
    </row>
    <row r="6547" spans="1:5" x14ac:dyDescent="0.2">
      <c r="A6547" s="126">
        <v>6486</v>
      </c>
      <c r="B6547" s="1832"/>
      <c r="D6547" s="2" t="str">
        <f t="shared" si="101"/>
        <v>OK</v>
      </c>
      <c r="E6547" s="4" t="s">
        <v>1992</v>
      </c>
    </row>
    <row r="6548" spans="1:5" x14ac:dyDescent="0.2">
      <c r="A6548" s="126">
        <v>6487</v>
      </c>
      <c r="B6548" s="1832"/>
      <c r="D6548" s="2" t="str">
        <f t="shared" si="101"/>
        <v>OK</v>
      </c>
      <c r="E6548" s="4" t="s">
        <v>1992</v>
      </c>
    </row>
    <row r="6549" spans="1:5" x14ac:dyDescent="0.2">
      <c r="A6549" s="126">
        <v>6488</v>
      </c>
      <c r="B6549" s="1832"/>
      <c r="D6549" s="2" t="str">
        <f t="shared" si="101"/>
        <v>OK</v>
      </c>
      <c r="E6549" s="4" t="s">
        <v>1992</v>
      </c>
    </row>
    <row r="6550" spans="1:5" x14ac:dyDescent="0.2">
      <c r="A6550" s="126">
        <v>6489</v>
      </c>
      <c r="B6550" s="1832"/>
      <c r="D6550" s="2" t="str">
        <f t="shared" si="101"/>
        <v>OK</v>
      </c>
      <c r="E6550" s="4" t="s">
        <v>1992</v>
      </c>
    </row>
    <row r="6551" spans="1:5" x14ac:dyDescent="0.2">
      <c r="A6551" s="126">
        <v>6490</v>
      </c>
      <c r="B6551" s="1832"/>
      <c r="D6551" s="2" t="str">
        <f t="shared" si="101"/>
        <v>OK</v>
      </c>
      <c r="E6551" s="4" t="s">
        <v>1992</v>
      </c>
    </row>
    <row r="6552" spans="1:5" x14ac:dyDescent="0.2">
      <c r="A6552" s="126">
        <v>6491</v>
      </c>
      <c r="B6552" s="1832"/>
      <c r="D6552" s="2" t="str">
        <f t="shared" si="101"/>
        <v>OK</v>
      </c>
      <c r="E6552" s="4" t="s">
        <v>1992</v>
      </c>
    </row>
    <row r="6553" spans="1:5" x14ac:dyDescent="0.2">
      <c r="A6553" s="126">
        <v>6492</v>
      </c>
      <c r="B6553" s="1832"/>
      <c r="D6553" s="2" t="str">
        <f t="shared" si="101"/>
        <v>OK</v>
      </c>
      <c r="E6553" s="4" t="s">
        <v>1992</v>
      </c>
    </row>
    <row r="6554" spans="1:5" x14ac:dyDescent="0.2">
      <c r="A6554" s="126">
        <v>6493</v>
      </c>
      <c r="B6554" s="1832"/>
      <c r="D6554" s="2" t="str">
        <f t="shared" si="101"/>
        <v>OK</v>
      </c>
      <c r="E6554" s="4" t="s">
        <v>1992</v>
      </c>
    </row>
    <row r="6555" spans="1:5" x14ac:dyDescent="0.2">
      <c r="A6555" s="126">
        <v>6494</v>
      </c>
      <c r="B6555" s="1832"/>
      <c r="D6555" s="2" t="str">
        <f t="shared" si="101"/>
        <v>OK</v>
      </c>
      <c r="E6555" s="4" t="s">
        <v>1992</v>
      </c>
    </row>
    <row r="6556" spans="1:5" x14ac:dyDescent="0.2">
      <c r="A6556" s="126">
        <v>6495</v>
      </c>
      <c r="B6556" s="1832"/>
      <c r="D6556" s="2" t="str">
        <f t="shared" si="101"/>
        <v>OK</v>
      </c>
      <c r="E6556" s="4" t="s">
        <v>1992</v>
      </c>
    </row>
    <row r="6557" spans="1:5" x14ac:dyDescent="0.2">
      <c r="A6557" s="126">
        <v>6496</v>
      </c>
      <c r="B6557" s="1832"/>
      <c r="D6557" s="2" t="str">
        <f t="shared" si="101"/>
        <v>OK</v>
      </c>
      <c r="E6557" s="4" t="s">
        <v>1992</v>
      </c>
    </row>
    <row r="6558" spans="1:5" x14ac:dyDescent="0.2">
      <c r="A6558" s="126">
        <v>6497</v>
      </c>
      <c r="B6558" s="1832"/>
      <c r="D6558" s="2" t="str">
        <f t="shared" si="101"/>
        <v>OK</v>
      </c>
      <c r="E6558" s="4" t="s">
        <v>1992</v>
      </c>
    </row>
    <row r="6559" spans="1:5" x14ac:dyDescent="0.2">
      <c r="A6559" s="126">
        <v>6498</v>
      </c>
      <c r="B6559" s="1832"/>
      <c r="D6559" s="2" t="str">
        <f t="shared" si="101"/>
        <v>OK</v>
      </c>
      <c r="E6559" s="4" t="s">
        <v>1992</v>
      </c>
    </row>
    <row r="6560" spans="1:5" x14ac:dyDescent="0.2">
      <c r="A6560" s="126">
        <v>6499</v>
      </c>
      <c r="B6560" s="1832"/>
      <c r="D6560" s="2" t="str">
        <f t="shared" si="101"/>
        <v>OK</v>
      </c>
      <c r="E6560" s="4" t="s">
        <v>1992</v>
      </c>
    </row>
    <row r="6561" spans="1:5" x14ac:dyDescent="0.2">
      <c r="A6561" s="126">
        <v>6500</v>
      </c>
      <c r="B6561" s="1832"/>
      <c r="D6561" s="2" t="str">
        <f t="shared" si="101"/>
        <v>OK</v>
      </c>
      <c r="E6561" s="4" t="s">
        <v>1992</v>
      </c>
    </row>
    <row r="6562" spans="1:5" x14ac:dyDescent="0.2">
      <c r="A6562" s="126">
        <v>6501</v>
      </c>
      <c r="B6562" s="1832"/>
      <c r="D6562" s="2" t="str">
        <f t="shared" si="101"/>
        <v>OK</v>
      </c>
      <c r="E6562" s="4" t="s">
        <v>1992</v>
      </c>
    </row>
    <row r="6563" spans="1:5" x14ac:dyDescent="0.2">
      <c r="A6563" s="126">
        <v>6502</v>
      </c>
      <c r="B6563" s="1832"/>
      <c r="D6563" s="2" t="str">
        <f t="shared" si="101"/>
        <v>OK</v>
      </c>
      <c r="E6563" s="4" t="s">
        <v>1992</v>
      </c>
    </row>
    <row r="6564" spans="1:5" x14ac:dyDescent="0.2">
      <c r="A6564" s="126">
        <v>6503</v>
      </c>
      <c r="B6564" s="1832"/>
      <c r="D6564" s="2" t="str">
        <f t="shared" si="101"/>
        <v>OK</v>
      </c>
      <c r="E6564" s="4" t="s">
        <v>1992</v>
      </c>
    </row>
    <row r="6565" spans="1:5" x14ac:dyDescent="0.2">
      <c r="A6565" s="126">
        <v>6504</v>
      </c>
      <c r="B6565" s="1832"/>
      <c r="D6565" s="2" t="str">
        <f t="shared" si="101"/>
        <v>OK</v>
      </c>
      <c r="E6565" s="4" t="s">
        <v>1992</v>
      </c>
    </row>
    <row r="6566" spans="1:5" x14ac:dyDescent="0.2">
      <c r="A6566" s="126">
        <v>6505</v>
      </c>
      <c r="B6566" s="1832"/>
      <c r="D6566" s="2" t="str">
        <f t="shared" si="101"/>
        <v>OK</v>
      </c>
      <c r="E6566" s="4" t="s">
        <v>1992</v>
      </c>
    </row>
    <row r="6567" spans="1:5" x14ac:dyDescent="0.2">
      <c r="A6567" s="126">
        <v>6506</v>
      </c>
      <c r="B6567" s="1832"/>
      <c r="D6567" s="2" t="str">
        <f t="shared" si="101"/>
        <v>OK</v>
      </c>
      <c r="E6567" s="4" t="s">
        <v>1992</v>
      </c>
    </row>
    <row r="6568" spans="1:5" x14ac:dyDescent="0.2">
      <c r="A6568" s="126">
        <v>6507</v>
      </c>
      <c r="B6568" s="1832"/>
      <c r="D6568" s="2" t="str">
        <f t="shared" si="101"/>
        <v>OK</v>
      </c>
      <c r="E6568" s="4" t="s">
        <v>1992</v>
      </c>
    </row>
    <row r="6569" spans="1:5" x14ac:dyDescent="0.2">
      <c r="A6569" s="126">
        <v>6508</v>
      </c>
      <c r="B6569" s="1832"/>
      <c r="D6569" s="2" t="str">
        <f t="shared" si="101"/>
        <v>OK</v>
      </c>
      <c r="E6569" s="4" t="s">
        <v>1992</v>
      </c>
    </row>
    <row r="6570" spans="1:5" x14ac:dyDescent="0.2">
      <c r="A6570" s="126">
        <v>6509</v>
      </c>
      <c r="B6570" s="1832"/>
      <c r="D6570" s="2" t="str">
        <f t="shared" si="101"/>
        <v>OK</v>
      </c>
      <c r="E6570" s="4" t="s">
        <v>1992</v>
      </c>
    </row>
    <row r="6571" spans="1:5" x14ac:dyDescent="0.2">
      <c r="A6571" s="126">
        <v>6510</v>
      </c>
      <c r="B6571" s="1832"/>
      <c r="D6571" s="2" t="str">
        <f t="shared" si="101"/>
        <v>OK</v>
      </c>
      <c r="E6571" s="4" t="s">
        <v>1992</v>
      </c>
    </row>
    <row r="6572" spans="1:5" x14ac:dyDescent="0.2">
      <c r="A6572" s="126">
        <v>6511</v>
      </c>
      <c r="B6572" s="1832"/>
      <c r="D6572" s="2" t="str">
        <f t="shared" si="101"/>
        <v>OK</v>
      </c>
      <c r="E6572" s="4" t="s">
        <v>1992</v>
      </c>
    </row>
    <row r="6573" spans="1:5" x14ac:dyDescent="0.2">
      <c r="A6573" s="126">
        <v>6512</v>
      </c>
      <c r="B6573" s="1832"/>
      <c r="D6573" s="2" t="str">
        <f t="shared" si="101"/>
        <v>OK</v>
      </c>
      <c r="E6573" s="4" t="s">
        <v>1992</v>
      </c>
    </row>
    <row r="6574" spans="1:5" x14ac:dyDescent="0.2">
      <c r="A6574" s="126">
        <v>6513</v>
      </c>
      <c r="B6574" s="1832"/>
      <c r="D6574" s="2" t="str">
        <f t="shared" si="101"/>
        <v>OK</v>
      </c>
      <c r="E6574" s="4" t="s">
        <v>1992</v>
      </c>
    </row>
    <row r="6575" spans="1:5" x14ac:dyDescent="0.2">
      <c r="A6575" s="126">
        <v>6514</v>
      </c>
      <c r="B6575" s="1832"/>
      <c r="D6575" s="2" t="str">
        <f t="shared" si="101"/>
        <v>OK</v>
      </c>
      <c r="E6575" s="4" t="s">
        <v>1992</v>
      </c>
    </row>
    <row r="6576" spans="1:5" x14ac:dyDescent="0.2">
      <c r="A6576" s="126">
        <v>6515</v>
      </c>
      <c r="B6576" s="1832"/>
      <c r="D6576" s="2" t="str">
        <f t="shared" si="101"/>
        <v>OK</v>
      </c>
      <c r="E6576" s="4" t="s">
        <v>1992</v>
      </c>
    </row>
    <row r="6577" spans="1:5" x14ac:dyDescent="0.2">
      <c r="A6577" s="126">
        <v>6516</v>
      </c>
      <c r="B6577" s="1832"/>
      <c r="D6577" s="2" t="str">
        <f t="shared" si="101"/>
        <v>OK</v>
      </c>
      <c r="E6577" s="4" t="s">
        <v>1992</v>
      </c>
    </row>
    <row r="6578" spans="1:5" x14ac:dyDescent="0.2">
      <c r="A6578" s="126">
        <v>6517</v>
      </c>
      <c r="B6578" s="1832"/>
      <c r="D6578" s="2" t="str">
        <f t="shared" si="101"/>
        <v>OK</v>
      </c>
      <c r="E6578" s="4" t="s">
        <v>1992</v>
      </c>
    </row>
    <row r="6579" spans="1:5" x14ac:dyDescent="0.2">
      <c r="A6579" s="126">
        <v>6518</v>
      </c>
      <c r="B6579" s="1832"/>
      <c r="D6579" s="2" t="str">
        <f t="shared" si="101"/>
        <v>OK</v>
      </c>
      <c r="E6579" s="4" t="s">
        <v>1992</v>
      </c>
    </row>
    <row r="6580" spans="1:5" x14ac:dyDescent="0.2">
      <c r="A6580" s="126">
        <v>6519</v>
      </c>
      <c r="B6580" s="1832"/>
      <c r="D6580" s="2" t="str">
        <f t="shared" si="101"/>
        <v>OK</v>
      </c>
      <c r="E6580" s="4" t="s">
        <v>1992</v>
      </c>
    </row>
    <row r="6581" spans="1:5" x14ac:dyDescent="0.2">
      <c r="A6581" s="126">
        <v>6520</v>
      </c>
      <c r="B6581" s="1832"/>
      <c r="D6581" s="2" t="str">
        <f t="shared" si="101"/>
        <v>OK</v>
      </c>
      <c r="E6581" s="4" t="s">
        <v>1992</v>
      </c>
    </row>
    <row r="6582" spans="1:5" x14ac:dyDescent="0.2">
      <c r="A6582" s="126">
        <v>6521</v>
      </c>
      <c r="B6582" s="1832"/>
      <c r="D6582" s="2" t="str">
        <f t="shared" si="101"/>
        <v>OK</v>
      </c>
      <c r="E6582" s="4" t="s">
        <v>1992</v>
      </c>
    </row>
    <row r="6583" spans="1:5" x14ac:dyDescent="0.2">
      <c r="A6583" s="126">
        <v>6522</v>
      </c>
      <c r="B6583" s="1832"/>
      <c r="D6583" s="2" t="str">
        <f t="shared" si="101"/>
        <v>OK</v>
      </c>
      <c r="E6583" s="4" t="s">
        <v>1992</v>
      </c>
    </row>
    <row r="6584" spans="1:5" x14ac:dyDescent="0.2">
      <c r="A6584" s="126">
        <v>6523</v>
      </c>
      <c r="B6584" s="1832"/>
      <c r="D6584" s="2" t="str">
        <f t="shared" si="101"/>
        <v>OK</v>
      </c>
      <c r="E6584" s="4" t="s">
        <v>1992</v>
      </c>
    </row>
    <row r="6585" spans="1:5" x14ac:dyDescent="0.2">
      <c r="A6585" s="126">
        <v>6524</v>
      </c>
      <c r="B6585" s="1832"/>
      <c r="D6585" s="2" t="str">
        <f t="shared" si="101"/>
        <v>OK</v>
      </c>
      <c r="E6585" s="4" t="s">
        <v>1992</v>
      </c>
    </row>
    <row r="6586" spans="1:5" x14ac:dyDescent="0.2">
      <c r="A6586" s="126">
        <v>6525</v>
      </c>
      <c r="B6586" s="1832"/>
      <c r="D6586" s="2" t="str">
        <f t="shared" si="101"/>
        <v>OK</v>
      </c>
      <c r="E6586" s="4" t="s">
        <v>1992</v>
      </c>
    </row>
    <row r="6587" spans="1:5" x14ac:dyDescent="0.2">
      <c r="A6587" s="126">
        <v>6526</v>
      </c>
      <c r="B6587" s="1832"/>
      <c r="D6587" s="2" t="str">
        <f t="shared" si="101"/>
        <v>OK</v>
      </c>
      <c r="E6587" s="4" t="s">
        <v>1992</v>
      </c>
    </row>
    <row r="6588" spans="1:5" x14ac:dyDescent="0.2">
      <c r="A6588" s="126">
        <v>6527</v>
      </c>
      <c r="B6588" s="1832"/>
      <c r="D6588" s="2" t="str">
        <f t="shared" si="101"/>
        <v>OK</v>
      </c>
      <c r="E6588" s="4" t="s">
        <v>1992</v>
      </c>
    </row>
    <row r="6589" spans="1:5" x14ac:dyDescent="0.2">
      <c r="A6589" s="126">
        <v>6528</v>
      </c>
      <c r="B6589" s="1832"/>
      <c r="D6589" s="2" t="str">
        <f t="shared" si="101"/>
        <v>OK</v>
      </c>
      <c r="E6589" s="4" t="s">
        <v>1992</v>
      </c>
    </row>
    <row r="6590" spans="1:5" x14ac:dyDescent="0.2">
      <c r="A6590" s="126">
        <v>6529</v>
      </c>
      <c r="B6590" s="1832"/>
      <c r="D6590" s="2" t="str">
        <f t="shared" si="101"/>
        <v>OK</v>
      </c>
      <c r="E6590" s="4" t="s">
        <v>1992</v>
      </c>
    </row>
    <row r="6591" spans="1:5" x14ac:dyDescent="0.2">
      <c r="A6591" s="126">
        <v>6530</v>
      </c>
      <c r="B6591" s="1832"/>
      <c r="D6591" s="2" t="str">
        <f t="shared" ref="D6591:D6654" si="102">IF(ISBLANK(B6591),"OK",IF(A6591-B6591=0,"OK","Error?"))</f>
        <v>OK</v>
      </c>
      <c r="E6591" s="4" t="s">
        <v>1992</v>
      </c>
    </row>
    <row r="6592" spans="1:5" x14ac:dyDescent="0.2">
      <c r="A6592" s="126">
        <v>6531</v>
      </c>
      <c r="B6592" s="1832"/>
      <c r="D6592" s="2" t="str">
        <f t="shared" si="102"/>
        <v>OK</v>
      </c>
      <c r="E6592" s="4" t="s">
        <v>1992</v>
      </c>
    </row>
    <row r="6593" spans="1:5" x14ac:dyDescent="0.2">
      <c r="A6593" s="126">
        <v>6532</v>
      </c>
      <c r="B6593" s="1832"/>
      <c r="D6593" s="2" t="str">
        <f t="shared" si="102"/>
        <v>OK</v>
      </c>
      <c r="E6593" s="4" t="s">
        <v>1992</v>
      </c>
    </row>
    <row r="6594" spans="1:5" x14ac:dyDescent="0.2">
      <c r="A6594" s="126">
        <v>6533</v>
      </c>
      <c r="B6594" s="1832"/>
      <c r="D6594" s="2" t="str">
        <f t="shared" si="102"/>
        <v>OK</v>
      </c>
      <c r="E6594" s="4" t="s">
        <v>1992</v>
      </c>
    </row>
    <row r="6595" spans="1:5" x14ac:dyDescent="0.2">
      <c r="A6595" s="126">
        <v>6534</v>
      </c>
      <c r="B6595" s="1832"/>
      <c r="D6595" s="2" t="str">
        <f t="shared" si="102"/>
        <v>OK</v>
      </c>
      <c r="E6595" s="4" t="s">
        <v>1992</v>
      </c>
    </row>
    <row r="6596" spans="1:5" x14ac:dyDescent="0.2">
      <c r="A6596" s="126">
        <v>6535</v>
      </c>
      <c r="B6596" s="1832"/>
      <c r="D6596" s="2" t="str">
        <f t="shared" si="102"/>
        <v>OK</v>
      </c>
      <c r="E6596" s="4" t="s">
        <v>1992</v>
      </c>
    </row>
    <row r="6597" spans="1:5" x14ac:dyDescent="0.2">
      <c r="A6597" s="126">
        <v>6536</v>
      </c>
      <c r="B6597" s="1832"/>
      <c r="D6597" s="2" t="str">
        <f t="shared" si="102"/>
        <v>OK</v>
      </c>
      <c r="E6597" s="4" t="s">
        <v>1992</v>
      </c>
    </row>
    <row r="6598" spans="1:5" x14ac:dyDescent="0.2">
      <c r="A6598" s="126">
        <v>6537</v>
      </c>
      <c r="B6598" s="1832"/>
      <c r="D6598" s="2" t="str">
        <f t="shared" si="102"/>
        <v>OK</v>
      </c>
      <c r="E6598" s="4" t="s">
        <v>1992</v>
      </c>
    </row>
    <row r="6599" spans="1:5" x14ac:dyDescent="0.2">
      <c r="A6599" s="126">
        <v>6538</v>
      </c>
      <c r="B6599" s="1832"/>
      <c r="D6599" s="2" t="str">
        <f t="shared" si="102"/>
        <v>OK</v>
      </c>
      <c r="E6599" s="4" t="s">
        <v>1992</v>
      </c>
    </row>
    <row r="6600" spans="1:5" x14ac:dyDescent="0.2">
      <c r="A6600" s="126">
        <v>6539</v>
      </c>
      <c r="B6600" s="1832"/>
      <c r="D6600" s="2" t="str">
        <f t="shared" si="102"/>
        <v>OK</v>
      </c>
      <c r="E6600" s="4" t="s">
        <v>1992</v>
      </c>
    </row>
    <row r="6601" spans="1:5" x14ac:dyDescent="0.2">
      <c r="A6601" s="126">
        <v>6540</v>
      </c>
      <c r="B6601" s="1832"/>
      <c r="D6601" s="2" t="str">
        <f t="shared" si="102"/>
        <v>OK</v>
      </c>
      <c r="E6601" s="4" t="s">
        <v>1992</v>
      </c>
    </row>
    <row r="6602" spans="1:5" x14ac:dyDescent="0.2">
      <c r="A6602" s="126">
        <v>6541</v>
      </c>
      <c r="B6602" s="1832"/>
      <c r="D6602" s="2" t="str">
        <f t="shared" si="102"/>
        <v>OK</v>
      </c>
      <c r="E6602" s="4" t="s">
        <v>1992</v>
      </c>
    </row>
    <row r="6603" spans="1:5" x14ac:dyDescent="0.2">
      <c r="A6603" s="126">
        <v>6542</v>
      </c>
      <c r="B6603" s="1832"/>
      <c r="D6603" s="2" t="str">
        <f t="shared" si="102"/>
        <v>OK</v>
      </c>
      <c r="E6603" s="4" t="s">
        <v>1992</v>
      </c>
    </row>
    <row r="6604" spans="1:5" x14ac:dyDescent="0.2">
      <c r="A6604" s="126">
        <v>6543</v>
      </c>
      <c r="B6604" s="1832"/>
      <c r="D6604" s="2" t="str">
        <f t="shared" si="102"/>
        <v>OK</v>
      </c>
      <c r="E6604" s="4" t="s">
        <v>1992</v>
      </c>
    </row>
    <row r="6605" spans="1:5" x14ac:dyDescent="0.2">
      <c r="A6605" s="126">
        <v>6544</v>
      </c>
      <c r="B6605" s="1832"/>
      <c r="D6605" s="2" t="str">
        <f t="shared" si="102"/>
        <v>OK</v>
      </c>
      <c r="E6605" s="4" t="s">
        <v>1992</v>
      </c>
    </row>
    <row r="6606" spans="1:5" x14ac:dyDescent="0.2">
      <c r="A6606" s="126">
        <v>6545</v>
      </c>
      <c r="B6606" s="1832"/>
      <c r="D6606" s="2" t="str">
        <f t="shared" si="102"/>
        <v>OK</v>
      </c>
      <c r="E6606" s="4" t="s">
        <v>1992</v>
      </c>
    </row>
    <row r="6607" spans="1:5" x14ac:dyDescent="0.2">
      <c r="A6607" s="126">
        <v>6546</v>
      </c>
      <c r="B6607" s="1832"/>
      <c r="D6607" s="2" t="str">
        <f t="shared" si="102"/>
        <v>OK</v>
      </c>
      <c r="E6607" s="4" t="s">
        <v>1992</v>
      </c>
    </row>
    <row r="6608" spans="1:5" x14ac:dyDescent="0.2">
      <c r="A6608" s="126">
        <v>6547</v>
      </c>
      <c r="B6608" s="1832"/>
      <c r="D6608" s="2" t="str">
        <f t="shared" si="102"/>
        <v>OK</v>
      </c>
      <c r="E6608" s="4" t="s">
        <v>1992</v>
      </c>
    </row>
    <row r="6609" spans="1:5" x14ac:dyDescent="0.2">
      <c r="A6609" s="126">
        <v>6548</v>
      </c>
      <c r="B6609" s="1832"/>
      <c r="D6609" s="2" t="str">
        <f t="shared" si="102"/>
        <v>OK</v>
      </c>
      <c r="E6609" s="4" t="s">
        <v>1992</v>
      </c>
    </row>
    <row r="6610" spans="1:5" x14ac:dyDescent="0.2">
      <c r="A6610" s="126">
        <v>6549</v>
      </c>
      <c r="B6610" s="1832"/>
      <c r="D6610" s="2" t="str">
        <f t="shared" si="102"/>
        <v>OK</v>
      </c>
      <c r="E6610" s="4" t="s">
        <v>1992</v>
      </c>
    </row>
    <row r="6611" spans="1:5" x14ac:dyDescent="0.2">
      <c r="A6611" s="126">
        <v>6550</v>
      </c>
      <c r="B6611" s="1832"/>
      <c r="D6611" s="2" t="str">
        <f t="shared" si="102"/>
        <v>OK</v>
      </c>
      <c r="E6611" s="4" t="s">
        <v>1992</v>
      </c>
    </row>
    <row r="6612" spans="1:5" x14ac:dyDescent="0.2">
      <c r="A6612" s="126">
        <v>6551</v>
      </c>
      <c r="B6612" s="1832"/>
      <c r="D6612" s="2" t="str">
        <f t="shared" si="102"/>
        <v>OK</v>
      </c>
      <c r="E6612" s="4" t="s">
        <v>1992</v>
      </c>
    </row>
    <row r="6613" spans="1:5" x14ac:dyDescent="0.2">
      <c r="A6613" s="126">
        <v>6552</v>
      </c>
      <c r="B6613" s="1832"/>
      <c r="D6613" s="2" t="str">
        <f t="shared" si="102"/>
        <v>OK</v>
      </c>
      <c r="E6613" s="4" t="s">
        <v>1992</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1896</v>
      </c>
    </row>
    <row r="6842" spans="1:5" x14ac:dyDescent="0.2">
      <c r="A6842" s="126">
        <v>6781</v>
      </c>
      <c r="B6842" s="1832"/>
      <c r="D6842" s="2" t="str">
        <f t="shared" si="105"/>
        <v>OK</v>
      </c>
      <c r="E6842" s="1" t="s">
        <v>1896</v>
      </c>
    </row>
    <row r="6843" spans="1:5" x14ac:dyDescent="0.2">
      <c r="A6843" s="126">
        <v>6782</v>
      </c>
      <c r="B6843" s="1832"/>
      <c r="D6843" s="2" t="str">
        <f t="shared" si="105"/>
        <v>OK</v>
      </c>
      <c r="E6843" s="1" t="s">
        <v>1896</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62650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400523</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62650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2487</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2487</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959</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959</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3845</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3845</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7291</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69941</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56259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67739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19839</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19839</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1168</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1168</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15015</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15015</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14051</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14051</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6186</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6186</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56259</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56259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56259</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56259</v>
      </c>
      <c r="D7224" s="2" t="str">
        <f t="shared" si="111"/>
        <v>Error?</v>
      </c>
    </row>
    <row r="7225" spans="1:4" x14ac:dyDescent="0.2">
      <c r="A7225">
        <v>7164</v>
      </c>
      <c r="B7225" s="1832">
        <f>'Expenditures 15-22'!K343</f>
        <v>11480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320846</v>
      </c>
      <c r="D7251" s="2" t="str">
        <f t="shared" si="112"/>
        <v>Error?</v>
      </c>
    </row>
    <row r="7252" spans="1:4" x14ac:dyDescent="0.2">
      <c r="A7252">
        <f t="shared" si="113"/>
        <v>7191</v>
      </c>
      <c r="B7252" s="1832">
        <f>'Expenditures 15-22'!D9</f>
        <v>78133</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1544</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69941</v>
      </c>
      <c r="D7624" s="2" t="str">
        <f t="shared" si="124"/>
        <v>Error?</v>
      </c>
      <c r="E7624" s="2" t="s">
        <v>19</v>
      </c>
    </row>
    <row r="7625" spans="1:5" x14ac:dyDescent="0.2">
      <c r="A7625">
        <f t="shared" si="123"/>
        <v>7564</v>
      </c>
      <c r="B7625" s="1832">
        <f>'Cap Outlay Deprec 26'!I17</f>
        <v>6994.1</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20687.099999999999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1993</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1993</v>
      </c>
    </row>
    <row r="7641" spans="1:6" x14ac:dyDescent="0.2">
      <c r="A7641" s="126">
        <f t="shared" si="125"/>
        <v>7580</v>
      </c>
      <c r="B7641" s="1833"/>
      <c r="D7641" s="2" t="str">
        <f t="shared" si="124"/>
        <v>OK</v>
      </c>
      <c r="E7641" s="4" t="s">
        <v>1993</v>
      </c>
    </row>
    <row r="7642" spans="1:6" x14ac:dyDescent="0.2">
      <c r="A7642" s="126">
        <f t="shared" si="125"/>
        <v>7581</v>
      </c>
      <c r="B7642" s="1833"/>
      <c r="D7642" s="2" t="str">
        <f t="shared" si="124"/>
        <v>OK</v>
      </c>
      <c r="E7642" s="4" t="s">
        <v>1993</v>
      </c>
    </row>
    <row r="7643" spans="1:6" x14ac:dyDescent="0.2">
      <c r="A7643" s="126">
        <f t="shared" si="125"/>
        <v>7582</v>
      </c>
      <c r="B7643" s="1833"/>
      <c r="D7643" s="2" t="str">
        <f t="shared" si="124"/>
        <v>OK</v>
      </c>
      <c r="E7643" s="4" t="s">
        <v>1993</v>
      </c>
    </row>
    <row r="7644" spans="1:6" x14ac:dyDescent="0.2">
      <c r="A7644" s="126">
        <f t="shared" si="125"/>
        <v>7583</v>
      </c>
      <c r="B7644" s="1833"/>
      <c r="D7644" s="2" t="str">
        <f t="shared" si="124"/>
        <v>OK</v>
      </c>
      <c r="E7644" s="4" t="s">
        <v>1993</v>
      </c>
    </row>
    <row r="7645" spans="1:6" x14ac:dyDescent="0.2">
      <c r="A7645" s="126">
        <f t="shared" si="125"/>
        <v>7584</v>
      </c>
      <c r="B7645" s="1833"/>
      <c r="D7645" s="2" t="str">
        <f t="shared" si="124"/>
        <v>OK</v>
      </c>
      <c r="E7645" s="4" t="s">
        <v>1993</v>
      </c>
    </row>
    <row r="7646" spans="1:6" x14ac:dyDescent="0.2">
      <c r="A7646" s="126">
        <f t="shared" si="125"/>
        <v>7585</v>
      </c>
      <c r="B7646" s="1833"/>
      <c r="D7646" s="2" t="str">
        <f t="shared" si="124"/>
        <v>OK</v>
      </c>
      <c r="E7646" s="4" t="s">
        <v>1993</v>
      </c>
    </row>
    <row r="7647" spans="1:6" x14ac:dyDescent="0.2">
      <c r="A7647" s="126">
        <f t="shared" si="125"/>
        <v>7586</v>
      </c>
      <c r="B7647" s="1833"/>
      <c r="D7647" s="2" t="str">
        <f t="shared" si="124"/>
        <v>OK</v>
      </c>
      <c r="E7647" s="4" t="s">
        <v>1993</v>
      </c>
    </row>
    <row r="7648" spans="1:6" x14ac:dyDescent="0.2">
      <c r="A7648" s="126">
        <f t="shared" si="125"/>
        <v>7587</v>
      </c>
      <c r="B7648" s="1833"/>
      <c r="D7648" s="2" t="str">
        <f t="shared" si="124"/>
        <v>OK</v>
      </c>
      <c r="E7648" s="4" t="s">
        <v>1993</v>
      </c>
    </row>
    <row r="7649" spans="1:5" x14ac:dyDescent="0.2">
      <c r="A7649" s="126">
        <f t="shared" si="125"/>
        <v>7588</v>
      </c>
      <c r="B7649" s="1833"/>
      <c r="D7649" s="2" t="str">
        <f t="shared" si="124"/>
        <v>OK</v>
      </c>
      <c r="E7649" s="4" t="s">
        <v>1993</v>
      </c>
    </row>
    <row r="7650" spans="1:5" x14ac:dyDescent="0.2">
      <c r="A7650" s="126">
        <f t="shared" si="125"/>
        <v>7589</v>
      </c>
      <c r="B7650" s="1833"/>
      <c r="D7650" s="2" t="str">
        <f t="shared" si="124"/>
        <v>OK</v>
      </c>
      <c r="E7650" s="4" t="s">
        <v>1993</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1</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1</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1995</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1824</v>
      </c>
    </row>
    <row r="7775" spans="1:5" x14ac:dyDescent="0.2">
      <c r="A7775">
        <v>7714</v>
      </c>
      <c r="B7775" s="1832">
        <f>'Expenditures 15-22'!H133</f>
        <v>0</v>
      </c>
      <c r="D7775" s="2" t="str">
        <f t="shared" si="127"/>
        <v>Error?</v>
      </c>
      <c r="E7775" s="4" t="s">
        <v>1824</v>
      </c>
    </row>
    <row r="7776" spans="1:5" x14ac:dyDescent="0.2">
      <c r="A7776">
        <v>7715</v>
      </c>
      <c r="B7776" s="1832">
        <f>'Expenditures 15-22'!K133</f>
        <v>0</v>
      </c>
      <c r="D7776" s="2" t="str">
        <f t="shared" si="127"/>
        <v>Error?</v>
      </c>
      <c r="E7776" s="4" t="s">
        <v>1824</v>
      </c>
    </row>
    <row r="7777" spans="1:5" x14ac:dyDescent="0.2">
      <c r="A7777">
        <v>7716</v>
      </c>
      <c r="B7777" s="1832">
        <f>'Expenditures 15-22'!H157</f>
        <v>0</v>
      </c>
      <c r="D7777" s="2" t="str">
        <f t="shared" si="127"/>
        <v>Error?</v>
      </c>
      <c r="E7777" s="4" t="s">
        <v>1824</v>
      </c>
    </row>
    <row r="7778" spans="1:5" x14ac:dyDescent="0.2">
      <c r="A7778">
        <v>7717</v>
      </c>
      <c r="B7778" s="1832">
        <f>'Expenditures 15-22'!K157</f>
        <v>0</v>
      </c>
      <c r="D7778" s="2" t="str">
        <f t="shared" si="127"/>
        <v>Error?</v>
      </c>
      <c r="E7778" s="4" t="s">
        <v>1824</v>
      </c>
    </row>
    <row r="7779" spans="1:5" x14ac:dyDescent="0.2">
      <c r="A7779">
        <v>7718</v>
      </c>
      <c r="B7779" s="1832">
        <f>'Expenditures 15-22'!H158</f>
        <v>0</v>
      </c>
      <c r="D7779" s="2" t="str">
        <f t="shared" si="127"/>
        <v>Error?</v>
      </c>
      <c r="E7779" s="4" t="s">
        <v>1824</v>
      </c>
    </row>
    <row r="7780" spans="1:5" x14ac:dyDescent="0.2">
      <c r="A7780">
        <v>7719</v>
      </c>
      <c r="B7780" s="1832">
        <f>'Expenditures 15-22'!K158</f>
        <v>0</v>
      </c>
      <c r="D7780" s="2" t="str">
        <f t="shared" si="127"/>
        <v>Error?</v>
      </c>
      <c r="E7780" s="4" t="s">
        <v>1824</v>
      </c>
    </row>
    <row r="7781" spans="1:5" x14ac:dyDescent="0.2">
      <c r="A7781">
        <v>7720</v>
      </c>
      <c r="B7781" s="1832">
        <f>'Expenditures 15-22'!H159</f>
        <v>0</v>
      </c>
      <c r="D7781" s="2" t="str">
        <f t="shared" si="127"/>
        <v>Error?</v>
      </c>
      <c r="E7781" s="4" t="s">
        <v>1824</v>
      </c>
    </row>
    <row r="7782" spans="1:5" x14ac:dyDescent="0.2">
      <c r="A7782">
        <v>7721</v>
      </c>
      <c r="B7782" s="1832">
        <f>'Expenditures 15-22'!K159</f>
        <v>0</v>
      </c>
      <c r="D7782" s="2" t="str">
        <f t="shared" si="127"/>
        <v>Error?</v>
      </c>
      <c r="E7782" s="4" t="s">
        <v>1824</v>
      </c>
    </row>
    <row r="7783" spans="1:5" x14ac:dyDescent="0.2">
      <c r="A7783">
        <v>7722</v>
      </c>
      <c r="B7783" s="1832">
        <f>'Expenditures 15-22'!D282</f>
        <v>0</v>
      </c>
      <c r="D7783" s="2" t="str">
        <f t="shared" si="127"/>
        <v>Error?</v>
      </c>
      <c r="E7783" s="4" t="s">
        <v>1824</v>
      </c>
    </row>
    <row r="7784" spans="1:5" x14ac:dyDescent="0.2">
      <c r="A7784">
        <v>7723</v>
      </c>
      <c r="B7784" s="1832">
        <f>'Expenditures 15-22'!K282</f>
        <v>0</v>
      </c>
      <c r="D7784" s="2" t="str">
        <f t="shared" si="127"/>
        <v>Error?</v>
      </c>
      <c r="E7784" s="4" t="s">
        <v>1824</v>
      </c>
    </row>
    <row r="7785" spans="1:5" x14ac:dyDescent="0.2">
      <c r="A7785">
        <v>7724</v>
      </c>
      <c r="B7785" s="1832">
        <f>'Expenditures 15-22'!H332</f>
        <v>0</v>
      </c>
      <c r="D7785" s="2" t="str">
        <f t="shared" si="127"/>
        <v>Error?</v>
      </c>
      <c r="E7785" s="4" t="s">
        <v>1824</v>
      </c>
    </row>
    <row r="7786" spans="1:5" x14ac:dyDescent="0.2">
      <c r="A7786">
        <v>7725</v>
      </c>
      <c r="B7786" s="1832">
        <f>'Expenditures 15-22'!K332</f>
        <v>0</v>
      </c>
      <c r="D7786" s="2" t="str">
        <f t="shared" si="127"/>
        <v>Error?</v>
      </c>
      <c r="E7786" s="4" t="s">
        <v>1824</v>
      </c>
    </row>
    <row r="7787" spans="1:5" x14ac:dyDescent="0.2">
      <c r="A7787">
        <v>7726</v>
      </c>
      <c r="B7787" s="1832">
        <f>'Expenditures 15-22'!H333</f>
        <v>0</v>
      </c>
      <c r="D7787" s="2" t="str">
        <f t="shared" si="127"/>
        <v>Error?</v>
      </c>
      <c r="E7787" s="4" t="s">
        <v>1824</v>
      </c>
    </row>
    <row r="7788" spans="1:5" x14ac:dyDescent="0.2">
      <c r="A7788">
        <v>7727</v>
      </c>
      <c r="B7788" s="1832">
        <f>'Expenditures 15-22'!K333</f>
        <v>0</v>
      </c>
      <c r="D7788" s="2" t="str">
        <f t="shared" si="127"/>
        <v>Error?</v>
      </c>
      <c r="E7788" s="4" t="s">
        <v>1824</v>
      </c>
    </row>
    <row r="7789" spans="1:5" x14ac:dyDescent="0.2">
      <c r="A7789">
        <v>7728</v>
      </c>
      <c r="B7789" s="1832">
        <f>'Expenditures 15-22'!H334</f>
        <v>0</v>
      </c>
      <c r="D7789" s="2" t="str">
        <f t="shared" si="127"/>
        <v>Error?</v>
      </c>
      <c r="E7789" s="4" t="s">
        <v>1824</v>
      </c>
    </row>
    <row r="7790" spans="1:5" x14ac:dyDescent="0.2">
      <c r="A7790">
        <v>7729</v>
      </c>
      <c r="B7790" s="1832">
        <f>'Expenditures 15-22'!K334</f>
        <v>0</v>
      </c>
      <c r="D7790" s="2" t="str">
        <f t="shared" si="127"/>
        <v>Error?</v>
      </c>
      <c r="E7790" s="4" t="s">
        <v>1824</v>
      </c>
    </row>
    <row r="7791" spans="1:5" x14ac:dyDescent="0.2">
      <c r="A7791">
        <v>7730</v>
      </c>
      <c r="B7791" s="1832">
        <f>'Expenditures 15-22'!H354</f>
        <v>0</v>
      </c>
      <c r="D7791" s="2" t="str">
        <f t="shared" si="127"/>
        <v>Error?</v>
      </c>
      <c r="E7791" s="4" t="s">
        <v>1824</v>
      </c>
    </row>
    <row r="7792" spans="1:5" x14ac:dyDescent="0.2">
      <c r="A7792">
        <v>7731</v>
      </c>
      <c r="B7792" s="1832">
        <f>'Expenditures 15-22'!K354</f>
        <v>0</v>
      </c>
      <c r="D7792" s="2" t="str">
        <f t="shared" si="127"/>
        <v>Error?</v>
      </c>
      <c r="E7792" s="4" t="s">
        <v>1824</v>
      </c>
    </row>
    <row r="7793" spans="1:5" x14ac:dyDescent="0.2">
      <c r="A7793">
        <v>7732</v>
      </c>
      <c r="B7793" s="1832">
        <f>'Expenditures 15-22'!H355</f>
        <v>0</v>
      </c>
      <c r="D7793" s="2" t="str">
        <f t="shared" si="127"/>
        <v>Error?</v>
      </c>
      <c r="E7793" s="4" t="s">
        <v>1824</v>
      </c>
    </row>
    <row r="7794" spans="1:5" x14ac:dyDescent="0.2">
      <c r="A7794">
        <v>7733</v>
      </c>
      <c r="B7794" s="1832">
        <f>'Expenditures 15-22'!K355</f>
        <v>0</v>
      </c>
      <c r="D7794" s="2" t="str">
        <f t="shared" si="127"/>
        <v>Error?</v>
      </c>
      <c r="E7794" s="4" t="s">
        <v>1824</v>
      </c>
    </row>
    <row r="7795" spans="1:5" x14ac:dyDescent="0.2">
      <c r="A7795">
        <v>7734</v>
      </c>
      <c r="B7795" s="1832">
        <f>'Expenditures 15-22'!E138</f>
        <v>0</v>
      </c>
      <c r="D7795" s="2" t="str">
        <f t="shared" si="127"/>
        <v>Error?</v>
      </c>
      <c r="E7795" s="4" t="s">
        <v>1824</v>
      </c>
    </row>
    <row r="7796" spans="1:5" x14ac:dyDescent="0.2">
      <c r="A7796">
        <v>7735</v>
      </c>
      <c r="B7796" s="1832">
        <f>'Acct Summary 7-8'!J15</f>
        <v>0</v>
      </c>
      <c r="D7796" s="2" t="str">
        <f t="shared" si="127"/>
        <v>Error?</v>
      </c>
      <c r="E7796" s="4" t="s">
        <v>1824</v>
      </c>
    </row>
    <row r="7797" spans="1:5" x14ac:dyDescent="0.2">
      <c r="A7797" s="126">
        <v>7736</v>
      </c>
      <c r="B7797" s="1832"/>
      <c r="D7797" s="2" t="str">
        <f t="shared" si="127"/>
        <v>OK</v>
      </c>
      <c r="E7797" s="4" t="s">
        <v>1977</v>
      </c>
    </row>
    <row r="7798" spans="1:5" x14ac:dyDescent="0.2">
      <c r="A7798" s="126">
        <v>7737</v>
      </c>
      <c r="B7798" s="1832"/>
      <c r="D7798" s="2" t="str">
        <f t="shared" si="127"/>
        <v>OK</v>
      </c>
      <c r="E7798" s="4" t="s">
        <v>1977</v>
      </c>
    </row>
    <row r="7799" spans="1:5" x14ac:dyDescent="0.2">
      <c r="A7799" s="126">
        <v>7738</v>
      </c>
      <c r="B7799" s="1832"/>
      <c r="D7799" s="2" t="str">
        <f t="shared" si="127"/>
        <v>OK</v>
      </c>
      <c r="E7799" s="4" t="s">
        <v>1977</v>
      </c>
    </row>
    <row r="7800" spans="1:5" x14ac:dyDescent="0.2">
      <c r="A7800">
        <v>7739</v>
      </c>
      <c r="B7800" s="1832">
        <f>'Rest Tax Levies-Tort Im 25'!K23</f>
        <v>0</v>
      </c>
      <c r="D7800" s="2" t="str">
        <f t="shared" si="127"/>
        <v>Error?</v>
      </c>
      <c r="E7800" s="4" t="s">
        <v>1964</v>
      </c>
    </row>
    <row r="7801" spans="1:5" x14ac:dyDescent="0.2">
      <c r="A7801">
        <v>7740</v>
      </c>
      <c r="B7801" s="1832">
        <f>'Revenues 9-14'!C120</f>
        <v>0</v>
      </c>
      <c r="D7801" s="2" t="str">
        <f t="shared" si="127"/>
        <v>Error?</v>
      </c>
      <c r="E7801" s="4" t="s">
        <v>1898</v>
      </c>
    </row>
    <row r="7802" spans="1:5" x14ac:dyDescent="0.2">
      <c r="A7802">
        <v>7741</v>
      </c>
      <c r="B7802" s="1832">
        <f>'Revenues 9-14'!D120</f>
        <v>0</v>
      </c>
      <c r="D7802" s="2" t="str">
        <f t="shared" si="127"/>
        <v>Error?</v>
      </c>
      <c r="E7802" s="4" t="s">
        <v>1898</v>
      </c>
    </row>
    <row r="7803" spans="1:5" x14ac:dyDescent="0.2">
      <c r="A7803">
        <v>7742</v>
      </c>
      <c r="B7803" s="1832">
        <f>'Revenues 9-14'!E120</f>
        <v>0</v>
      </c>
      <c r="D7803" s="2" t="str">
        <f t="shared" si="127"/>
        <v>Error?</v>
      </c>
      <c r="E7803" s="4" t="s">
        <v>1898</v>
      </c>
    </row>
    <row r="7804" spans="1:5" x14ac:dyDescent="0.2">
      <c r="A7804">
        <v>7743</v>
      </c>
      <c r="B7804" s="1832">
        <f>'Revenues 9-14'!F120</f>
        <v>0</v>
      </c>
      <c r="D7804" s="2" t="str">
        <f t="shared" si="127"/>
        <v>Error?</v>
      </c>
      <c r="E7804" s="4" t="s">
        <v>1898</v>
      </c>
    </row>
    <row r="7805" spans="1:5" x14ac:dyDescent="0.2">
      <c r="A7805">
        <v>7744</v>
      </c>
      <c r="B7805" s="1832">
        <f>'Revenues 9-14'!G120</f>
        <v>0</v>
      </c>
      <c r="D7805" s="2" t="str">
        <f t="shared" si="127"/>
        <v>Error?</v>
      </c>
      <c r="E7805" s="4" t="s">
        <v>1898</v>
      </c>
    </row>
    <row r="7806" spans="1:5" x14ac:dyDescent="0.2">
      <c r="A7806">
        <v>7745</v>
      </c>
      <c r="B7806" s="1832">
        <f>'Revenues 9-14'!H120</f>
        <v>0</v>
      </c>
      <c r="D7806" s="2" t="str">
        <f t="shared" si="127"/>
        <v>Error?</v>
      </c>
      <c r="E7806" s="4" t="s">
        <v>1898</v>
      </c>
    </row>
    <row r="7807" spans="1:5" x14ac:dyDescent="0.2">
      <c r="A7807">
        <v>7746</v>
      </c>
      <c r="B7807" s="1832">
        <f>'Revenues 9-14'!J120</f>
        <v>0</v>
      </c>
      <c r="D7807" s="2" t="str">
        <f t="shared" ref="D7807:D7821" si="128">IF(ISBLANK(B7807),"OK",IF(A7807-B7807=0,"OK","Error?"))</f>
        <v>Error?</v>
      </c>
      <c r="E7807" s="4" t="s">
        <v>1898</v>
      </c>
    </row>
    <row r="7808" spans="1:5" x14ac:dyDescent="0.2">
      <c r="A7808">
        <v>7747</v>
      </c>
      <c r="B7808" s="1832">
        <f>'Revenues 9-14'!K120</f>
        <v>0</v>
      </c>
      <c r="D7808" s="2" t="str">
        <f t="shared" si="128"/>
        <v>Error?</v>
      </c>
      <c r="E7808" s="4" t="s">
        <v>1898</v>
      </c>
    </row>
    <row r="7809" spans="1:5" x14ac:dyDescent="0.2">
      <c r="A7809">
        <v>7748</v>
      </c>
      <c r="B7809" s="1832">
        <f>'Revenues 9-14'!C261</f>
        <v>0</v>
      </c>
      <c r="D7809" s="2" t="str">
        <f t="shared" si="128"/>
        <v>Error?</v>
      </c>
      <c r="E7809" s="4" t="s">
        <v>1899</v>
      </c>
    </row>
    <row r="7810" spans="1:5" x14ac:dyDescent="0.2">
      <c r="A7810">
        <v>7749</v>
      </c>
      <c r="B7810" s="1832">
        <f>'Revenues 9-14'!D261</f>
        <v>0</v>
      </c>
      <c r="D7810" s="2" t="str">
        <f t="shared" si="128"/>
        <v>Error?</v>
      </c>
      <c r="E7810" s="4" t="s">
        <v>1899</v>
      </c>
    </row>
    <row r="7811" spans="1:5" x14ac:dyDescent="0.2">
      <c r="A7811">
        <v>7750</v>
      </c>
      <c r="B7811" s="1832">
        <f>'Revenues 9-14'!F261</f>
        <v>0</v>
      </c>
      <c r="D7811" s="2" t="str">
        <f t="shared" si="128"/>
        <v>Error?</v>
      </c>
      <c r="E7811" s="4" t="s">
        <v>1899</v>
      </c>
    </row>
    <row r="7812" spans="1:5" x14ac:dyDescent="0.2">
      <c r="A7812">
        <v>7751</v>
      </c>
      <c r="B7812" s="1832">
        <f>'Revenues 9-14'!G261</f>
        <v>0</v>
      </c>
      <c r="D7812" s="2" t="str">
        <f t="shared" si="128"/>
        <v>Error?</v>
      </c>
      <c r="E7812" s="4" t="s">
        <v>1899</v>
      </c>
    </row>
    <row r="7813" spans="1:5" x14ac:dyDescent="0.2">
      <c r="A7813">
        <v>7752</v>
      </c>
      <c r="B7813" s="1832">
        <f>'Revenues 9-14'!C262</f>
        <v>0</v>
      </c>
      <c r="D7813" s="2" t="str">
        <f t="shared" si="128"/>
        <v>Error?</v>
      </c>
      <c r="E7813" s="4" t="s">
        <v>1900</v>
      </c>
    </row>
    <row r="7814" spans="1:5" x14ac:dyDescent="0.2">
      <c r="A7814">
        <v>7753</v>
      </c>
      <c r="B7814" s="1832">
        <f>'Revenues 9-14'!D262</f>
        <v>0</v>
      </c>
      <c r="D7814" s="2" t="str">
        <f t="shared" si="128"/>
        <v>Error?</v>
      </c>
      <c r="E7814" s="4" t="s">
        <v>1900</v>
      </c>
    </row>
    <row r="7815" spans="1:5" x14ac:dyDescent="0.2">
      <c r="A7815">
        <v>7754</v>
      </c>
      <c r="B7815" s="1832">
        <f>'Revenues 9-14'!F262</f>
        <v>0</v>
      </c>
      <c r="D7815" s="2" t="str">
        <f t="shared" si="128"/>
        <v>Error?</v>
      </c>
      <c r="E7815" s="4" t="s">
        <v>1900</v>
      </c>
    </row>
    <row r="7816" spans="1:5" x14ac:dyDescent="0.2">
      <c r="A7816">
        <v>7755</v>
      </c>
      <c r="B7816" s="1832">
        <f>'Revenues 9-14'!G262</f>
        <v>0</v>
      </c>
      <c r="D7816" s="2" t="str">
        <f t="shared" si="128"/>
        <v>Error?</v>
      </c>
      <c r="E7816" s="4" t="s">
        <v>1900</v>
      </c>
    </row>
    <row r="7817" spans="1:5" x14ac:dyDescent="0.2">
      <c r="A7817">
        <v>7756</v>
      </c>
      <c r="B7817" s="1832">
        <f>'Short-Term Long-Term Debt 24'!C49</f>
        <v>0</v>
      </c>
      <c r="D7817" s="2" t="str">
        <f t="shared" si="128"/>
        <v>Error?</v>
      </c>
      <c r="E7817" s="4" t="s">
        <v>1964</v>
      </c>
    </row>
    <row r="7818" spans="1:5" x14ac:dyDescent="0.2">
      <c r="A7818">
        <v>7757</v>
      </c>
      <c r="B7818" s="1832">
        <f>'PCTC-OEPP 27-28'!F172</f>
        <v>0</v>
      </c>
      <c r="D7818" s="2" t="str">
        <f t="shared" si="128"/>
        <v>Error?</v>
      </c>
      <c r="E7818" s="4" t="s">
        <v>1978</v>
      </c>
    </row>
    <row r="7819" spans="1:5" x14ac:dyDescent="0.2">
      <c r="A7819">
        <v>7758</v>
      </c>
      <c r="B7819" s="1832">
        <f>'PCTC-OEPP 27-28'!F173</f>
        <v>0</v>
      </c>
      <c r="D7819" s="2" t="str">
        <f t="shared" si="128"/>
        <v>Error?</v>
      </c>
      <c r="E7819" s="4" t="s">
        <v>1978</v>
      </c>
    </row>
    <row r="7820" spans="1:5" x14ac:dyDescent="0.2">
      <c r="A7820">
        <v>7759</v>
      </c>
      <c r="B7820" s="1832">
        <f>'ICR Computation 30'!E40</f>
        <v>-13696</v>
      </c>
      <c r="D7820" s="2" t="str">
        <f t="shared" si="128"/>
        <v>Error?</v>
      </c>
    </row>
    <row r="7821" spans="1:5" x14ac:dyDescent="0.2">
      <c r="A7821">
        <v>7760</v>
      </c>
      <c r="B7821" s="1832">
        <f>'ICR Computation 30'!G40</f>
        <v>-13696</v>
      </c>
      <c r="D7821" s="2" t="str">
        <f t="shared" si="128"/>
        <v>Error?</v>
      </c>
    </row>
    <row r="7822" spans="1:5" x14ac:dyDescent="0.2">
      <c r="A7822" s="1">
        <v>7761</v>
      </c>
      <c r="B7822" s="1832">
        <f>'PCTC-OEPP 27-28'!F14</f>
        <v>8548489</v>
      </c>
      <c r="D7822" s="4" t="s">
        <v>1995</v>
      </c>
      <c r="E7822" s="4" t="s">
        <v>1996</v>
      </c>
    </row>
    <row r="7823" spans="1:5" x14ac:dyDescent="0.2">
      <c r="A7823" s="1">
        <v>7762</v>
      </c>
      <c r="B7823" s="1832">
        <f>'PCTC-OEPP 27-28'!F30</f>
        <v>0</v>
      </c>
      <c r="D7823" s="4" t="s">
        <v>1995</v>
      </c>
      <c r="E7823" s="4" t="s">
        <v>1996</v>
      </c>
    </row>
    <row r="7824" spans="1:5" x14ac:dyDescent="0.2">
      <c r="A7824" s="1">
        <v>7763</v>
      </c>
      <c r="B7824" s="1832">
        <f>'PCTC-OEPP 27-28'!F31</f>
        <v>0</v>
      </c>
      <c r="D7824" s="4" t="s">
        <v>1995</v>
      </c>
      <c r="E7824" s="4" t="s">
        <v>1996</v>
      </c>
    </row>
    <row r="7825" spans="1:5" x14ac:dyDescent="0.2">
      <c r="A7825" s="1">
        <v>7764</v>
      </c>
      <c r="B7825" s="1832">
        <f>'PCTC-OEPP 27-28'!F32</f>
        <v>0</v>
      </c>
      <c r="D7825" s="2" t="str">
        <f t="shared" ref="D7825:D7887" si="129">IF(ISBLANK(B7825),"OK",IF(A7825-B7825=0,"OK","Error?"))</f>
        <v>Error?</v>
      </c>
      <c r="E7825" s="4" t="s">
        <v>1996</v>
      </c>
    </row>
    <row r="7826" spans="1:5" x14ac:dyDescent="0.2">
      <c r="A7826">
        <v>7765</v>
      </c>
      <c r="B7826" s="1832">
        <f>'PCTC-OEPP 27-28'!F34</f>
        <v>0</v>
      </c>
      <c r="D7826" s="2" t="str">
        <f t="shared" si="129"/>
        <v>Error?</v>
      </c>
      <c r="E7826" s="4" t="s">
        <v>1996</v>
      </c>
    </row>
    <row r="7827" spans="1:5" x14ac:dyDescent="0.2">
      <c r="A7827">
        <v>7766</v>
      </c>
      <c r="B7827" s="1832">
        <f>'PCTC-OEPP 27-28'!F35</f>
        <v>400523</v>
      </c>
      <c r="D7827" s="2" t="str">
        <f t="shared" si="129"/>
        <v>Error?</v>
      </c>
      <c r="E7827" s="4" t="s">
        <v>1996</v>
      </c>
    </row>
    <row r="7828" spans="1:5" x14ac:dyDescent="0.2">
      <c r="A7828">
        <v>7767</v>
      </c>
      <c r="B7828" s="1832">
        <f>'PCTC-OEPP 27-28'!F36</f>
        <v>0</v>
      </c>
      <c r="D7828" s="2" t="str">
        <f t="shared" si="129"/>
        <v>Error?</v>
      </c>
      <c r="E7828" s="4" t="s">
        <v>1996</v>
      </c>
    </row>
    <row r="7829" spans="1:5" x14ac:dyDescent="0.2">
      <c r="A7829">
        <v>7768</v>
      </c>
      <c r="B7829" s="1832">
        <f>'PCTC-OEPP 27-28'!F37</f>
        <v>0</v>
      </c>
      <c r="D7829" s="2" t="str">
        <f t="shared" si="129"/>
        <v>Error?</v>
      </c>
      <c r="E7829" s="4" t="s">
        <v>1996</v>
      </c>
    </row>
    <row r="7830" spans="1:5" x14ac:dyDescent="0.2">
      <c r="A7830">
        <v>7769</v>
      </c>
      <c r="B7830" s="1832">
        <f>'PCTC-OEPP 27-28'!F38</f>
        <v>0</v>
      </c>
      <c r="D7830" s="2" t="str">
        <f t="shared" si="129"/>
        <v>Error?</v>
      </c>
      <c r="E7830" s="4" t="s">
        <v>1996</v>
      </c>
    </row>
    <row r="7831" spans="1:5" x14ac:dyDescent="0.2">
      <c r="A7831">
        <v>7770</v>
      </c>
      <c r="B7831" s="1832">
        <f>'PCTC-OEPP 27-28'!F52</f>
        <v>5699</v>
      </c>
      <c r="D7831" s="2" t="str">
        <f t="shared" si="129"/>
        <v>Error?</v>
      </c>
      <c r="E7831" s="4" t="s">
        <v>1996</v>
      </c>
    </row>
    <row r="7832" spans="1:5" x14ac:dyDescent="0.2">
      <c r="A7832">
        <v>7771</v>
      </c>
      <c r="B7832" s="1832">
        <f>'PCTC-OEPP 27-28'!F56</f>
        <v>0</v>
      </c>
      <c r="D7832" s="2" t="str">
        <f t="shared" si="129"/>
        <v>Error?</v>
      </c>
      <c r="E7832" s="4" t="s">
        <v>1996</v>
      </c>
    </row>
    <row r="7833" spans="1:5" x14ac:dyDescent="0.2">
      <c r="A7833">
        <v>7772</v>
      </c>
      <c r="B7833" s="1832">
        <f>'PCTC-OEPP 27-28'!F62</f>
        <v>0</v>
      </c>
      <c r="D7833" s="2" t="str">
        <f t="shared" si="129"/>
        <v>Error?</v>
      </c>
      <c r="E7833" s="4" t="s">
        <v>1996</v>
      </c>
    </row>
    <row r="7834" spans="1:5" x14ac:dyDescent="0.2">
      <c r="A7834">
        <v>7773</v>
      </c>
      <c r="B7834" s="1832">
        <f>'PCTC-OEPP 27-28'!F77</f>
        <v>614864</v>
      </c>
      <c r="D7834" s="2" t="str">
        <f t="shared" si="129"/>
        <v>Error?</v>
      </c>
      <c r="E7834" s="4" t="s">
        <v>1996</v>
      </c>
    </row>
    <row r="7835" spans="1:5" x14ac:dyDescent="0.2">
      <c r="A7835">
        <v>7774</v>
      </c>
      <c r="B7835" s="1832">
        <f>'PCTC-OEPP 27-28'!F78</f>
        <v>7933625</v>
      </c>
      <c r="D7835" s="2" t="str">
        <f t="shared" si="129"/>
        <v>Error?</v>
      </c>
      <c r="E7835" s="4" t="s">
        <v>1996</v>
      </c>
    </row>
    <row r="7836" spans="1:5" x14ac:dyDescent="0.2">
      <c r="A7836" s="126">
        <v>7775</v>
      </c>
      <c r="B7836" s="1832"/>
      <c r="D7836" s="2" t="str">
        <f t="shared" si="129"/>
        <v>OK</v>
      </c>
      <c r="E7836" s="4" t="s">
        <v>1998</v>
      </c>
    </row>
    <row r="7837" spans="1:5" x14ac:dyDescent="0.2">
      <c r="A7837">
        <v>7776</v>
      </c>
      <c r="B7837" s="1832" t="str">
        <f>'PCTC-OEPP 27-28'!F80</f>
        <v xml:space="preserve"> Complete Line 79</v>
      </c>
      <c r="D7837" s="2" t="e">
        <f t="shared" si="129"/>
        <v>#VALUE!</v>
      </c>
      <c r="E7837" s="4" t="s">
        <v>1996</v>
      </c>
    </row>
    <row r="7838" spans="1:5" x14ac:dyDescent="0.2">
      <c r="A7838">
        <v>7777</v>
      </c>
      <c r="B7838" s="1832">
        <f>'PCTC-OEPP 27-28'!F96</f>
        <v>0</v>
      </c>
      <c r="D7838" s="2" t="str">
        <f t="shared" si="129"/>
        <v>Error?</v>
      </c>
      <c r="E7838" s="4" t="s">
        <v>1996</v>
      </c>
    </row>
    <row r="7839" spans="1:5" x14ac:dyDescent="0.2">
      <c r="A7839">
        <v>7778</v>
      </c>
      <c r="B7839" s="1832">
        <f>'PCTC-OEPP 27-28'!F102</f>
        <v>0</v>
      </c>
      <c r="D7839" s="2" t="str">
        <f t="shared" si="129"/>
        <v>Error?</v>
      </c>
      <c r="E7839" s="4" t="s">
        <v>1996</v>
      </c>
    </row>
    <row r="7840" spans="1:5" x14ac:dyDescent="0.2">
      <c r="A7840">
        <v>7779</v>
      </c>
      <c r="B7840" s="1832">
        <f>'PCTC-OEPP 27-28'!F103</f>
        <v>0</v>
      </c>
      <c r="D7840" s="2" t="str">
        <f t="shared" si="129"/>
        <v>Error?</v>
      </c>
      <c r="E7840" s="4" t="s">
        <v>1996</v>
      </c>
    </row>
    <row r="7841" spans="1:5" x14ac:dyDescent="0.2">
      <c r="A7841">
        <v>7780</v>
      </c>
      <c r="B7841" s="1832">
        <f>'PCTC-OEPP 27-28'!F104</f>
        <v>3351</v>
      </c>
      <c r="D7841" s="2" t="str">
        <f t="shared" si="129"/>
        <v>Error?</v>
      </c>
      <c r="E7841" s="4" t="s">
        <v>1996</v>
      </c>
    </row>
    <row r="7842" spans="1:5" x14ac:dyDescent="0.2">
      <c r="A7842">
        <v>7781</v>
      </c>
      <c r="B7842" s="1832">
        <f>'PCTC-OEPP 27-28'!F106</f>
        <v>0</v>
      </c>
      <c r="D7842" s="2" t="str">
        <f t="shared" si="129"/>
        <v>Error?</v>
      </c>
      <c r="E7842" s="4" t="s">
        <v>1996</v>
      </c>
    </row>
    <row r="7843" spans="1:5" x14ac:dyDescent="0.2">
      <c r="A7843">
        <v>7782</v>
      </c>
      <c r="B7843" s="1832">
        <f>'PCTC-OEPP 27-28'!F107</f>
        <v>0</v>
      </c>
      <c r="D7843" s="2" t="str">
        <f t="shared" si="129"/>
        <v>Error?</v>
      </c>
      <c r="E7843" s="4" t="s">
        <v>1996</v>
      </c>
    </row>
    <row r="7844" spans="1:5" x14ac:dyDescent="0.2">
      <c r="A7844">
        <v>7783</v>
      </c>
      <c r="B7844" s="1832">
        <f>'PCTC-OEPP 27-28'!F108</f>
        <v>0</v>
      </c>
      <c r="D7844" s="2" t="str">
        <f t="shared" si="129"/>
        <v>Error?</v>
      </c>
      <c r="E7844" s="4" t="s">
        <v>1996</v>
      </c>
    </row>
    <row r="7845" spans="1:5" x14ac:dyDescent="0.2">
      <c r="A7845">
        <v>7784</v>
      </c>
      <c r="B7845" s="1832">
        <f>'PCTC-OEPP 27-28'!F110</f>
        <v>0</v>
      </c>
      <c r="D7845" s="2" t="str">
        <f t="shared" si="129"/>
        <v>Error?</v>
      </c>
      <c r="E7845" s="4" t="s">
        <v>1996</v>
      </c>
    </row>
    <row r="7846" spans="1:5" x14ac:dyDescent="0.2">
      <c r="A7846">
        <v>7785</v>
      </c>
      <c r="B7846" s="1832">
        <f>'PCTC-OEPP 27-28'!F111</f>
        <v>0</v>
      </c>
      <c r="D7846" s="2" t="str">
        <f t="shared" si="129"/>
        <v>Error?</v>
      </c>
      <c r="E7846" s="4" t="s">
        <v>1996</v>
      </c>
    </row>
    <row r="7847" spans="1:5" x14ac:dyDescent="0.2">
      <c r="A7847">
        <v>7786</v>
      </c>
      <c r="B7847" s="1832">
        <f>'PCTC-OEPP 27-28'!F112</f>
        <v>0</v>
      </c>
      <c r="D7847" s="2" t="str">
        <f t="shared" si="129"/>
        <v>Error?</v>
      </c>
      <c r="E7847" s="4" t="s">
        <v>1996</v>
      </c>
    </row>
    <row r="7848" spans="1:5" x14ac:dyDescent="0.2">
      <c r="A7848">
        <v>7787</v>
      </c>
      <c r="B7848" s="1832">
        <f>'PCTC-OEPP 27-28'!F114</f>
        <v>0</v>
      </c>
      <c r="D7848" s="2" t="str">
        <f t="shared" si="129"/>
        <v>Error?</v>
      </c>
      <c r="E7848" s="4" t="s">
        <v>1996</v>
      </c>
    </row>
    <row r="7849" spans="1:5" x14ac:dyDescent="0.2">
      <c r="A7849">
        <v>7788</v>
      </c>
      <c r="B7849" s="1832">
        <f>'PCTC-OEPP 27-28'!F115</f>
        <v>0</v>
      </c>
      <c r="D7849" s="2" t="str">
        <f t="shared" si="129"/>
        <v>Error?</v>
      </c>
      <c r="E7849" s="4" t="s">
        <v>1996</v>
      </c>
    </row>
    <row r="7850" spans="1:5" x14ac:dyDescent="0.2">
      <c r="A7850">
        <v>7789</v>
      </c>
      <c r="B7850" s="1832">
        <f>'PCTC-OEPP 27-28'!F116</f>
        <v>0</v>
      </c>
      <c r="D7850" s="2" t="str">
        <f t="shared" si="129"/>
        <v>Error?</v>
      </c>
      <c r="E7850" s="4" t="s">
        <v>1996</v>
      </c>
    </row>
    <row r="7851" spans="1:5" x14ac:dyDescent="0.2">
      <c r="A7851">
        <v>7790</v>
      </c>
      <c r="B7851" s="1832">
        <f>'PCTC-OEPP 27-28'!F117</f>
        <v>0</v>
      </c>
      <c r="D7851" s="2" t="str">
        <f t="shared" si="129"/>
        <v>Error?</v>
      </c>
      <c r="E7851" s="4" t="s">
        <v>1996</v>
      </c>
    </row>
    <row r="7852" spans="1:5" x14ac:dyDescent="0.2">
      <c r="A7852">
        <v>7791</v>
      </c>
      <c r="B7852" s="1832">
        <f>'PCTC-OEPP 27-28'!F118</f>
        <v>0</v>
      </c>
      <c r="D7852" s="2" t="str">
        <f t="shared" si="129"/>
        <v>Error?</v>
      </c>
      <c r="E7852" s="4" t="s">
        <v>1996</v>
      </c>
    </row>
    <row r="7853" spans="1:5" x14ac:dyDescent="0.2">
      <c r="A7853">
        <v>7792</v>
      </c>
      <c r="B7853" s="1832">
        <f>'PCTC-OEPP 27-28'!F119</f>
        <v>0</v>
      </c>
      <c r="D7853" s="2" t="str">
        <f t="shared" si="129"/>
        <v>Error?</v>
      </c>
      <c r="E7853" s="4" t="s">
        <v>1996</v>
      </c>
    </row>
    <row r="7854" spans="1:5" x14ac:dyDescent="0.2">
      <c r="A7854">
        <v>7793</v>
      </c>
      <c r="B7854" s="1832">
        <f>'PCTC-OEPP 27-28'!F120</f>
        <v>0</v>
      </c>
      <c r="D7854" s="2" t="str">
        <f t="shared" si="129"/>
        <v>Error?</v>
      </c>
      <c r="E7854" s="4" t="s">
        <v>1996</v>
      </c>
    </row>
    <row r="7855" spans="1:5" x14ac:dyDescent="0.2">
      <c r="A7855">
        <v>7794</v>
      </c>
      <c r="B7855" s="1832">
        <f>'PCTC-OEPP 27-28'!F122</f>
        <v>0</v>
      </c>
      <c r="D7855" s="2" t="str">
        <f t="shared" si="129"/>
        <v>Error?</v>
      </c>
      <c r="E7855" s="4" t="s">
        <v>1996</v>
      </c>
    </row>
    <row r="7856" spans="1:5" x14ac:dyDescent="0.2">
      <c r="A7856">
        <v>7795</v>
      </c>
      <c r="B7856" s="1832">
        <f>'PCTC-OEPP 27-28'!F124</f>
        <v>0</v>
      </c>
      <c r="D7856" s="2" t="str">
        <f t="shared" si="129"/>
        <v>Error?</v>
      </c>
      <c r="E7856" s="4" t="s">
        <v>1996</v>
      </c>
    </row>
    <row r="7857" spans="1:5" x14ac:dyDescent="0.2">
      <c r="A7857">
        <v>7796</v>
      </c>
      <c r="B7857" s="1832">
        <f>'PCTC-OEPP 27-28'!F125</f>
        <v>0</v>
      </c>
      <c r="D7857" s="2" t="str">
        <f t="shared" si="129"/>
        <v>Error?</v>
      </c>
      <c r="E7857" s="4" t="s">
        <v>1996</v>
      </c>
    </row>
    <row r="7858" spans="1:5" x14ac:dyDescent="0.2">
      <c r="A7858">
        <v>7797</v>
      </c>
      <c r="B7858" s="1832">
        <f>'PCTC-OEPP 27-28'!F126</f>
        <v>30460</v>
      </c>
      <c r="D7858" s="2" t="str">
        <f t="shared" si="129"/>
        <v>Error?</v>
      </c>
      <c r="E7858" s="4" t="s">
        <v>1996</v>
      </c>
    </row>
    <row r="7859" spans="1:5" x14ac:dyDescent="0.2">
      <c r="A7859">
        <v>7798</v>
      </c>
      <c r="B7859" s="1832">
        <f>'PCTC-OEPP 27-28'!F127</f>
        <v>0</v>
      </c>
      <c r="D7859" s="2" t="str">
        <f t="shared" si="129"/>
        <v>Error?</v>
      </c>
      <c r="E7859" s="4" t="s">
        <v>1996</v>
      </c>
    </row>
    <row r="7860" spans="1:5" x14ac:dyDescent="0.2">
      <c r="A7860">
        <v>7799</v>
      </c>
      <c r="B7860" s="1832">
        <f>'PCTC-OEPP 27-28'!F128</f>
        <v>0</v>
      </c>
      <c r="D7860" s="2" t="str">
        <f t="shared" si="129"/>
        <v>Error?</v>
      </c>
      <c r="E7860" s="4" t="s">
        <v>1996</v>
      </c>
    </row>
    <row r="7861" spans="1:5" x14ac:dyDescent="0.2">
      <c r="A7861">
        <v>7800</v>
      </c>
      <c r="B7861" s="1832">
        <f>'PCTC-OEPP 27-28'!F129</f>
        <v>1858527</v>
      </c>
      <c r="D7861" s="2" t="str">
        <f t="shared" si="129"/>
        <v>Error?</v>
      </c>
      <c r="E7861" s="4" t="s">
        <v>1996</v>
      </c>
    </row>
    <row r="7862" spans="1:5" x14ac:dyDescent="0.2">
      <c r="A7862">
        <v>7801</v>
      </c>
      <c r="B7862" s="1832">
        <f>'PCTC-OEPP 27-28'!F130</f>
        <v>0</v>
      </c>
      <c r="D7862" s="2" t="str">
        <f t="shared" si="129"/>
        <v>Error?</v>
      </c>
      <c r="E7862" s="4" t="s">
        <v>1996</v>
      </c>
    </row>
    <row r="7863" spans="1:5" x14ac:dyDescent="0.2">
      <c r="A7863">
        <v>7802</v>
      </c>
      <c r="B7863" s="1832">
        <f>'PCTC-OEPP 27-28'!F131</f>
        <v>0</v>
      </c>
      <c r="D7863" s="2" t="str">
        <f t="shared" si="129"/>
        <v>Error?</v>
      </c>
      <c r="E7863" s="4" t="s">
        <v>1996</v>
      </c>
    </row>
    <row r="7864" spans="1:5" x14ac:dyDescent="0.2">
      <c r="A7864">
        <v>7803</v>
      </c>
      <c r="B7864" s="1832">
        <f>'PCTC-OEPP 27-28'!F132</f>
        <v>0</v>
      </c>
      <c r="D7864" s="2" t="str">
        <f t="shared" si="129"/>
        <v>Error?</v>
      </c>
      <c r="E7864" s="4" t="s">
        <v>1996</v>
      </c>
    </row>
    <row r="7865" spans="1:5" x14ac:dyDescent="0.2">
      <c r="A7865">
        <v>7804</v>
      </c>
      <c r="B7865" s="1832">
        <f>'PCTC-OEPP 27-28'!F133</f>
        <v>0</v>
      </c>
      <c r="D7865" s="2" t="str">
        <f t="shared" si="129"/>
        <v>Error?</v>
      </c>
      <c r="E7865" s="4" t="s">
        <v>1996</v>
      </c>
    </row>
    <row r="7866" spans="1:5" x14ac:dyDescent="0.2">
      <c r="A7866">
        <v>7805</v>
      </c>
      <c r="B7866" s="1832">
        <f>'PCTC-OEPP 27-28'!F158</f>
        <v>0</v>
      </c>
      <c r="D7866" s="2" t="str">
        <f t="shared" si="129"/>
        <v>Error?</v>
      </c>
      <c r="E7866" s="4" t="s">
        <v>1996</v>
      </c>
    </row>
    <row r="7867" spans="1:5" x14ac:dyDescent="0.2">
      <c r="A7867">
        <v>7806</v>
      </c>
      <c r="B7867" s="1832">
        <f>'PCTC-OEPP 27-28'!F160</f>
        <v>0</v>
      </c>
      <c r="D7867" s="2" t="str">
        <f t="shared" si="129"/>
        <v>Error?</v>
      </c>
      <c r="E7867" s="4" t="s">
        <v>1996</v>
      </c>
    </row>
    <row r="7868" spans="1:5" x14ac:dyDescent="0.2">
      <c r="A7868">
        <v>7807</v>
      </c>
      <c r="B7868" s="1832">
        <f>'PCTC-OEPP 27-28'!F161</f>
        <v>0</v>
      </c>
      <c r="D7868" s="2" t="str">
        <f t="shared" si="129"/>
        <v>Error?</v>
      </c>
      <c r="E7868" s="4" t="s">
        <v>1996</v>
      </c>
    </row>
    <row r="7869" spans="1:5" x14ac:dyDescent="0.2">
      <c r="A7869">
        <v>7808</v>
      </c>
      <c r="B7869" s="1832">
        <f>'PCTC-OEPP 27-28'!F162</f>
        <v>0</v>
      </c>
      <c r="D7869" s="2" t="str">
        <f t="shared" si="129"/>
        <v>Error?</v>
      </c>
      <c r="E7869" s="4" t="s">
        <v>1996</v>
      </c>
    </row>
    <row r="7870" spans="1:5" x14ac:dyDescent="0.2">
      <c r="A7870">
        <v>7809</v>
      </c>
      <c r="B7870" s="1832">
        <f>'PCTC-OEPP 27-28'!F163</f>
        <v>0</v>
      </c>
      <c r="D7870" s="2" t="str">
        <f t="shared" si="129"/>
        <v>Error?</v>
      </c>
      <c r="E7870" s="4" t="s">
        <v>1996</v>
      </c>
    </row>
    <row r="7871" spans="1:5" x14ac:dyDescent="0.2">
      <c r="A7871">
        <v>7810</v>
      </c>
      <c r="B7871" s="1832">
        <f>'PCTC-OEPP 27-28'!F164</f>
        <v>0</v>
      </c>
      <c r="D7871" s="2" t="str">
        <f t="shared" si="129"/>
        <v>Error?</v>
      </c>
      <c r="E7871" s="4" t="s">
        <v>1996</v>
      </c>
    </row>
    <row r="7872" spans="1:5" x14ac:dyDescent="0.2">
      <c r="A7872">
        <v>7811</v>
      </c>
      <c r="B7872" s="1832">
        <f>'PCTC-OEPP 27-28'!F165</f>
        <v>0</v>
      </c>
      <c r="D7872" s="2" t="str">
        <f t="shared" si="129"/>
        <v>Error?</v>
      </c>
      <c r="E7872" s="4" t="s">
        <v>1996</v>
      </c>
    </row>
    <row r="7873" spans="1:5" x14ac:dyDescent="0.2">
      <c r="A7873">
        <v>7812</v>
      </c>
      <c r="B7873" s="1832">
        <f>'PCTC-OEPP 27-28'!F166</f>
        <v>0</v>
      </c>
      <c r="D7873" s="2" t="str">
        <f t="shared" si="129"/>
        <v>Error?</v>
      </c>
      <c r="E7873" s="4" t="s">
        <v>1996</v>
      </c>
    </row>
    <row r="7874" spans="1:5" x14ac:dyDescent="0.2">
      <c r="A7874">
        <v>7813</v>
      </c>
      <c r="B7874" s="1832">
        <f>'PCTC-OEPP 27-28'!F169</f>
        <v>81391</v>
      </c>
      <c r="D7874" s="2" t="str">
        <f t="shared" si="129"/>
        <v>Error?</v>
      </c>
      <c r="E7874" s="4" t="s">
        <v>1996</v>
      </c>
    </row>
    <row r="7875" spans="1:5" x14ac:dyDescent="0.2">
      <c r="A7875">
        <v>7814</v>
      </c>
      <c r="B7875" s="1832">
        <f>'PCTC-OEPP 27-28'!F170</f>
        <v>120560</v>
      </c>
      <c r="D7875" s="2" t="str">
        <f t="shared" si="129"/>
        <v>Error?</v>
      </c>
      <c r="E7875" s="4" t="s">
        <v>1996</v>
      </c>
    </row>
    <row r="7876" spans="1:5" x14ac:dyDescent="0.2">
      <c r="A7876">
        <v>7815</v>
      </c>
      <c r="B7876" s="1832">
        <f>'PCTC-OEPP 27-28'!F171</f>
        <v>0</v>
      </c>
      <c r="D7876" s="2" t="str">
        <f t="shared" si="129"/>
        <v>Error?</v>
      </c>
      <c r="E7876" s="4" t="s">
        <v>1996</v>
      </c>
    </row>
    <row r="7877" spans="1:5" x14ac:dyDescent="0.2">
      <c r="A7877">
        <v>7816</v>
      </c>
      <c r="B7877" s="1832">
        <f>'PCTC-OEPP 27-28'!F175</f>
        <v>2094867</v>
      </c>
      <c r="D7877" s="2" t="str">
        <f t="shared" si="129"/>
        <v>Error?</v>
      </c>
      <c r="E7877" s="4" t="s">
        <v>1996</v>
      </c>
    </row>
    <row r="7878" spans="1:5" x14ac:dyDescent="0.2">
      <c r="A7878">
        <v>7817</v>
      </c>
      <c r="B7878" s="1832">
        <f>'PCTC-OEPP 27-28'!F176</f>
        <v>5838758</v>
      </c>
      <c r="D7878" s="2" t="str">
        <f t="shared" si="129"/>
        <v>Error?</v>
      </c>
      <c r="E7878" s="4" t="s">
        <v>1996</v>
      </c>
    </row>
    <row r="7879" spans="1:5" x14ac:dyDescent="0.2">
      <c r="A7879">
        <v>7818</v>
      </c>
      <c r="B7879" s="1832">
        <f>'PCTC-OEPP 27-28'!F178</f>
        <v>5859445.0999999996</v>
      </c>
      <c r="D7879" s="2" t="str">
        <f t="shared" si="129"/>
        <v>Error?</v>
      </c>
      <c r="E7879" s="4" t="s">
        <v>1996</v>
      </c>
    </row>
    <row r="7880" spans="1:5" x14ac:dyDescent="0.2">
      <c r="A7880">
        <v>7819</v>
      </c>
      <c r="B7880" s="1832" t="e">
        <f>'PCTC-OEPP 27-28'!F180</f>
        <v>#DIV/0!</v>
      </c>
      <c r="D7880" s="2" t="e">
        <f t="shared" si="129"/>
        <v>#DIV/0!</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17" t="s">
        <v>1181</v>
      </c>
      <c r="B2" s="2617"/>
      <c r="C2" s="2617"/>
      <c r="D2" s="2617"/>
      <c r="E2" s="2617"/>
      <c r="F2" s="2617"/>
      <c r="G2" s="2617"/>
      <c r="H2" s="2617"/>
      <c r="I2" s="2617"/>
      <c r="J2" s="2617"/>
      <c r="K2" s="2617"/>
      <c r="L2" s="2617"/>
    </row>
    <row r="3" spans="1:29" ht="13.5" customHeight="1" x14ac:dyDescent="0.2">
      <c r="A3" s="2603" t="s">
        <v>1180</v>
      </c>
      <c r="B3" s="2603"/>
      <c r="C3" s="2603"/>
      <c r="D3" s="2603"/>
      <c r="E3" s="2603"/>
      <c r="F3" s="2603"/>
      <c r="G3" s="2603"/>
      <c r="H3" s="2603"/>
      <c r="I3" s="2603"/>
      <c r="J3" s="2603"/>
      <c r="K3" s="2603"/>
      <c r="L3" s="2603"/>
    </row>
    <row r="4" spans="1:29" ht="13.5" customHeight="1" x14ac:dyDescent="0.2">
      <c r="A4" s="2634" t="str">
        <f>"Year Ending June 30, "&amp;'AFR20'!E2</f>
        <v>Year Ending June 30, 2020</v>
      </c>
      <c r="B4" s="2635"/>
      <c r="C4" s="2635"/>
      <c r="D4" s="2635"/>
      <c r="E4" s="2635"/>
      <c r="F4" s="2635"/>
      <c r="G4" s="2635"/>
      <c r="H4" s="2635"/>
      <c r="I4" s="2635"/>
      <c r="J4" s="2635"/>
      <c r="K4" s="2635"/>
      <c r="L4" s="26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97" t="str">
        <f>COVER!A17</f>
        <v xml:space="preserve">  Henry-Stark County Spec Ed Dist</v>
      </c>
      <c r="B7" s="2598"/>
      <c r="C7" s="2598"/>
      <c r="D7" s="2636"/>
      <c r="E7" s="2637">
        <f>COVER!A13</f>
        <v>28037801060</v>
      </c>
      <c r="F7" s="2638"/>
      <c r="G7" s="2604" t="str">
        <f>COVER!T23</f>
        <v>066-005027</v>
      </c>
      <c r="H7" s="2605"/>
      <c r="I7" s="2605"/>
      <c r="J7" s="2605"/>
      <c r="K7" s="2605"/>
      <c r="L7" s="260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607"/>
      <c r="B9" s="2608"/>
      <c r="C9" s="2608"/>
      <c r="D9" s="2608"/>
      <c r="E9" s="2608"/>
      <c r="F9" s="2609"/>
      <c r="G9" s="2610" t="str">
        <f>COVER!T13</f>
        <v>Gorenz and Associates, Ltd.</v>
      </c>
      <c r="H9" s="2611"/>
      <c r="I9" s="2611"/>
      <c r="J9" s="2611"/>
      <c r="K9" s="2611"/>
      <c r="L9" s="2612"/>
    </row>
    <row r="10" spans="1:29" ht="13.5" customHeight="1" x14ac:dyDescent="0.2">
      <c r="A10" s="2594" t="str">
        <f>COVER!A38</f>
        <v>T. Gregory Wetheim</v>
      </c>
      <c r="B10" s="2595"/>
      <c r="C10" s="2595"/>
      <c r="D10" s="2595"/>
      <c r="E10" s="2595"/>
      <c r="F10" s="2596"/>
      <c r="G10" s="2610" t="str">
        <f>COVER!T17</f>
        <v>4200 N Knoxville Ave.</v>
      </c>
      <c r="H10" s="2623"/>
      <c r="I10" s="2623"/>
      <c r="J10" s="2623"/>
      <c r="K10" s="2623"/>
      <c r="L10" s="2624"/>
    </row>
    <row r="11" spans="1:29" ht="13.5" customHeight="1" x14ac:dyDescent="0.2">
      <c r="A11" s="963" t="s">
        <v>1502</v>
      </c>
      <c r="B11" s="964"/>
      <c r="C11" s="965"/>
      <c r="D11" s="970"/>
      <c r="E11" s="965"/>
      <c r="F11" s="969"/>
      <c r="G11" s="2610" t="str">
        <f>COVER!T19</f>
        <v>Peoria</v>
      </c>
      <c r="H11" s="2623"/>
      <c r="I11" s="2623"/>
      <c r="J11" s="2623"/>
      <c r="K11" s="2623"/>
      <c r="L11" s="2624"/>
    </row>
    <row r="12" spans="1:29" ht="13.5" customHeight="1" x14ac:dyDescent="0.2">
      <c r="A12" s="2628" t="s">
        <v>1501</v>
      </c>
      <c r="B12" s="2629"/>
      <c r="C12" s="2629"/>
      <c r="D12" s="2629"/>
      <c r="E12" s="2629"/>
      <c r="F12" s="2630"/>
      <c r="G12" s="2625"/>
      <c r="H12" s="2626"/>
      <c r="I12" s="2626"/>
      <c r="J12" s="2626"/>
      <c r="K12" s="2626"/>
      <c r="L12" s="2627"/>
    </row>
    <row r="13" spans="1:29" ht="13.5" customHeight="1" x14ac:dyDescent="0.2">
      <c r="A13" s="2610"/>
      <c r="B13" s="2623"/>
      <c r="C13" s="2623"/>
      <c r="D13" s="2623"/>
      <c r="E13" s="2623"/>
      <c r="F13" s="2624"/>
      <c r="G13" s="2618" t="s">
        <v>1503</v>
      </c>
      <c r="H13" s="2619"/>
      <c r="I13" s="2631" t="str">
        <f>COVER!T25</f>
        <v>tpeffer@gorenzcpa.com</v>
      </c>
      <c r="J13" s="2632"/>
      <c r="K13" s="2632"/>
      <c r="L13" s="2633"/>
    </row>
    <row r="14" spans="1:29" ht="13.5" customHeight="1" x14ac:dyDescent="0.2">
      <c r="A14" s="2610" t="str">
        <f>COVER!A19</f>
        <v>1318 W. Sixth Street, PO Box 597</v>
      </c>
      <c r="B14" s="2623"/>
      <c r="C14" s="2623"/>
      <c r="D14" s="2623"/>
      <c r="E14" s="2623"/>
      <c r="F14" s="2624"/>
      <c r="G14" s="974" t="s">
        <v>1175</v>
      </c>
      <c r="H14" s="972"/>
      <c r="I14" s="972"/>
      <c r="J14" s="972"/>
      <c r="K14" s="972"/>
      <c r="L14" s="973"/>
    </row>
    <row r="15" spans="1:29" ht="13.5" customHeight="1" x14ac:dyDescent="0.2">
      <c r="A15" s="2610" t="str">
        <f>COVER!A21</f>
        <v>Kewanee</v>
      </c>
      <c r="B15" s="2623"/>
      <c r="C15" s="2623"/>
      <c r="D15" s="2623"/>
      <c r="E15" s="2623"/>
      <c r="F15" s="2624"/>
      <c r="G15" s="2620" t="str">
        <f>COVER!T15</f>
        <v>Thomas R. Peffer, CPA</v>
      </c>
      <c r="H15" s="2621"/>
      <c r="I15" s="2621"/>
      <c r="J15" s="2621"/>
      <c r="K15" s="2621"/>
      <c r="L15" s="2622"/>
    </row>
    <row r="16" spans="1:29" ht="12.2" customHeight="1" x14ac:dyDescent="0.2">
      <c r="A16" s="2600">
        <f>COVER!A25</f>
        <v>61443</v>
      </c>
      <c r="B16" s="2601"/>
      <c r="C16" s="2601"/>
      <c r="D16" s="2601"/>
      <c r="E16" s="2601"/>
      <c r="F16" s="2602"/>
      <c r="G16" s="2613"/>
      <c r="H16" s="2614"/>
      <c r="I16" s="2614"/>
      <c r="J16" s="2614"/>
      <c r="K16" s="2614"/>
      <c r="L16" s="2615"/>
    </row>
    <row r="17" spans="1:13" ht="12.2" customHeight="1" x14ac:dyDescent="0.2">
      <c r="A17" s="2616"/>
      <c r="B17" s="2601"/>
      <c r="C17" s="2601"/>
      <c r="D17" s="2601"/>
      <c r="E17" s="2601"/>
      <c r="F17" s="2602"/>
      <c r="G17" s="974" t="s">
        <v>1174</v>
      </c>
      <c r="H17" s="972"/>
      <c r="I17" s="972"/>
      <c r="J17" s="972"/>
      <c r="K17" s="976" t="s">
        <v>1173</v>
      </c>
      <c r="L17" s="969"/>
      <c r="M17" s="962"/>
    </row>
    <row r="18" spans="1:13" ht="12.2" customHeight="1" x14ac:dyDescent="0.2">
      <c r="A18" s="2594"/>
      <c r="B18" s="2595"/>
      <c r="C18" s="2595"/>
      <c r="D18" s="2595"/>
      <c r="E18" s="2595"/>
      <c r="F18" s="2596"/>
      <c r="G18" s="2597" t="str">
        <f>COVER!T21</f>
        <v>309-685-7621</v>
      </c>
      <c r="H18" s="2598"/>
      <c r="I18" s="2598"/>
      <c r="J18" s="2598"/>
      <c r="K18" s="2597" t="str">
        <f>COVER!X21</f>
        <v>309-685-4758</v>
      </c>
      <c r="L18" s="259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2067</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2067</v>
      </c>
      <c r="C26" s="981" t="s">
        <v>1677</v>
      </c>
    </row>
    <row r="27" spans="1:13" s="977" customFormat="1" ht="9" customHeight="1" x14ac:dyDescent="0.2">
      <c r="B27" s="982"/>
      <c r="C27" s="981"/>
    </row>
    <row r="28" spans="1:13" s="977" customFormat="1" ht="12.2" customHeight="1" x14ac:dyDescent="0.2">
      <c r="A28" s="984"/>
      <c r="B28" s="980" t="s">
        <v>2067</v>
      </c>
      <c r="C28" s="981" t="s">
        <v>1678</v>
      </c>
    </row>
    <row r="29" spans="1:13" s="977" customFormat="1" ht="9" customHeight="1" x14ac:dyDescent="0.2">
      <c r="A29" s="984"/>
      <c r="B29" s="982"/>
      <c r="C29" s="981"/>
    </row>
    <row r="30" spans="1:13" s="977" customFormat="1" ht="12.2" customHeight="1" x14ac:dyDescent="0.2">
      <c r="B30" s="980" t="s">
        <v>2067</v>
      </c>
      <c r="C30" s="981" t="s">
        <v>1545</v>
      </c>
      <c r="D30" s="975"/>
      <c r="E30" s="975"/>
    </row>
    <row r="31" spans="1:13" s="977" customFormat="1" ht="9" customHeight="1" x14ac:dyDescent="0.2">
      <c r="B31" s="982"/>
      <c r="C31" s="981"/>
      <c r="D31" s="975"/>
      <c r="E31" s="975"/>
    </row>
    <row r="32" spans="1:13" s="977" customFormat="1" ht="12.2" customHeight="1" x14ac:dyDescent="0.2">
      <c r="B32" s="980" t="s">
        <v>2067</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2067</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2067</v>
      </c>
      <c r="C38" s="981" t="s">
        <v>1549</v>
      </c>
    </row>
    <row r="39" spans="1:8" ht="9" customHeight="1" x14ac:dyDescent="0.2">
      <c r="B39" s="982"/>
      <c r="C39" s="985"/>
    </row>
    <row r="40" spans="1:8" s="977" customFormat="1" ht="13.5" customHeight="1" x14ac:dyDescent="0.2">
      <c r="B40" s="980" t="s">
        <v>2067</v>
      </c>
      <c r="C40" s="981" t="s">
        <v>1550</v>
      </c>
    </row>
    <row r="41" spans="1:8" ht="9" customHeight="1" x14ac:dyDescent="0.2">
      <c r="A41" s="986"/>
      <c r="B41" s="982"/>
      <c r="C41" s="985"/>
    </row>
    <row r="42" spans="1:8" s="977" customFormat="1" ht="13.5" customHeight="1" x14ac:dyDescent="0.2">
      <c r="B42" s="980" t="s">
        <v>2067</v>
      </c>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t="s">
        <v>2067</v>
      </c>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39" t="str">
        <f>'Single Audit Cover'!A7</f>
        <v xml:space="preserve">  Henry-Stark County Spec Ed Dist</v>
      </c>
      <c r="B1" s="2640"/>
      <c r="C1" s="2640"/>
      <c r="D1" s="2640"/>
    </row>
    <row r="2" spans="1:11" s="991" customFormat="1" ht="12.75" x14ac:dyDescent="0.2">
      <c r="A2" s="2641">
        <f>'Single Audit Cover'!E7</f>
        <v>28037801060</v>
      </c>
      <c r="B2" s="2642"/>
      <c r="C2" s="2642"/>
      <c r="D2" s="2642"/>
    </row>
    <row r="3" spans="1:11" s="991" customFormat="1" ht="12.75" x14ac:dyDescent="0.2">
      <c r="A3" s="2639" t="s">
        <v>1496</v>
      </c>
      <c r="B3" s="2640"/>
      <c r="C3" s="2640"/>
      <c r="D3" s="264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1967</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1808</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44" t="str">
        <f>'Single Audit Cover'!A7</f>
        <v xml:space="preserve">  Henry-Stark County Spec Ed Dist</v>
      </c>
      <c r="B1" s="2644"/>
      <c r="C1" s="2644"/>
      <c r="D1" s="2644"/>
      <c r="E1" s="2644"/>
    </row>
    <row r="2" spans="1:5" x14ac:dyDescent="0.2">
      <c r="A2" s="2645">
        <f>'Single Audit Cover'!E7</f>
        <v>28037801060</v>
      </c>
      <c r="B2" s="2645"/>
      <c r="C2" s="2645"/>
      <c r="D2" s="2645"/>
      <c r="E2" s="2645"/>
    </row>
    <row r="3" spans="1:5" ht="4.5" customHeight="1" x14ac:dyDescent="0.2"/>
    <row r="4" spans="1:5" x14ac:dyDescent="0.2">
      <c r="A4" s="2644" t="s">
        <v>1234</v>
      </c>
      <c r="B4" s="2644"/>
      <c r="C4" s="2644"/>
      <c r="D4" s="2644"/>
      <c r="E4" s="2644"/>
    </row>
    <row r="5" spans="1:5" x14ac:dyDescent="0.2">
      <c r="A5" s="2647" t="str">
        <f>'Single Audit Cover'!A4</f>
        <v>Year Ending June 30, 2020</v>
      </c>
      <c r="B5" s="2647"/>
      <c r="C5" s="2647"/>
      <c r="D5" s="2647"/>
      <c r="E5" s="2647"/>
    </row>
    <row r="6" spans="1:5" x14ac:dyDescent="0.2">
      <c r="A6" s="2644" t="s">
        <v>1233</v>
      </c>
      <c r="B6" s="2644"/>
      <c r="C6" s="2644"/>
      <c r="D6" s="2644"/>
      <c r="E6" s="2644"/>
    </row>
    <row r="8" spans="1:5" x14ac:dyDescent="0.2">
      <c r="A8" s="1036" t="s">
        <v>1232</v>
      </c>
    </row>
    <row r="10" spans="1:5" x14ac:dyDescent="0.2">
      <c r="A10" s="1037" t="s">
        <v>1231</v>
      </c>
      <c r="B10" s="1038" t="s">
        <v>1230</v>
      </c>
      <c r="C10" s="1038"/>
      <c r="D10" s="1039">
        <f>SUM('Acct Summary 7-8'!C7:K7)</f>
        <v>2148684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2002</v>
      </c>
      <c r="B14" s="1038"/>
      <c r="C14" s="1038"/>
      <c r="D14" s="1040">
        <f>'ICR Computation 30'!E11</f>
        <v>0</v>
      </c>
    </row>
    <row r="15" spans="1:5" x14ac:dyDescent="0.2">
      <c r="A15" s="1037"/>
      <c r="B15" s="1038"/>
      <c r="C15" s="1038"/>
    </row>
    <row r="16" spans="1:5" x14ac:dyDescent="0.2">
      <c r="A16" s="1037" t="s">
        <v>1813</v>
      </c>
      <c r="B16" s="1038"/>
      <c r="C16" s="1038"/>
    </row>
    <row r="17" spans="1:4" x14ac:dyDescent="0.2">
      <c r="A17" s="1037" t="s">
        <v>1962</v>
      </c>
      <c r="B17" s="1038" t="s">
        <v>1225</v>
      </c>
      <c r="C17" s="1038"/>
      <c r="D17" s="1040">
        <f>-SUM('Revenues 9-14'!C264:D264,'Revenues 9-14'!F264:G264)</f>
        <v>-120560</v>
      </c>
    </row>
    <row r="19" spans="1:4" ht="13.5" thickBot="1" x14ac:dyDescent="0.25">
      <c r="A19" s="1041" t="s">
        <v>1224</v>
      </c>
      <c r="D19" s="1042">
        <f>SUM(D10:D17)</f>
        <v>2028124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46"/>
      <c r="B24" s="2646"/>
      <c r="D24" s="1044"/>
    </row>
    <row r="25" spans="1:4" x14ac:dyDescent="0.2">
      <c r="A25" s="2643"/>
      <c r="B25" s="2643"/>
      <c r="D25" s="1044"/>
    </row>
    <row r="26" spans="1:4" x14ac:dyDescent="0.2">
      <c r="A26" s="2643"/>
      <c r="B26" s="2643"/>
      <c r="D26" s="1044"/>
    </row>
    <row r="27" spans="1:4" x14ac:dyDescent="0.2">
      <c r="A27" s="2643"/>
      <c r="B27" s="2643"/>
      <c r="D27" s="1044"/>
    </row>
    <row r="28" spans="1:4" x14ac:dyDescent="0.2">
      <c r="A28" s="2643"/>
      <c r="B28" s="2643"/>
      <c r="D28" s="1044"/>
    </row>
    <row r="29" spans="1:4" x14ac:dyDescent="0.2">
      <c r="A29" s="2643"/>
      <c r="B29" s="2643"/>
      <c r="D29" s="1044"/>
    </row>
    <row r="30" spans="1:4" x14ac:dyDescent="0.2">
      <c r="A30" s="2643"/>
      <c r="B30" s="2643"/>
      <c r="D30" s="1044"/>
    </row>
    <row r="32" spans="1:4" x14ac:dyDescent="0.2">
      <c r="A32" s="1036" t="s">
        <v>1222</v>
      </c>
      <c r="D32" s="1039">
        <f>SUM(D19:D30)</f>
        <v>2028124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643"/>
      <c r="B40" s="2643"/>
      <c r="D40" s="1044"/>
    </row>
    <row r="41" spans="1:4" x14ac:dyDescent="0.2">
      <c r="A41" s="2643"/>
      <c r="B41" s="2643"/>
      <c r="D41" s="1047"/>
    </row>
    <row r="42" spans="1:4" x14ac:dyDescent="0.2">
      <c r="A42" s="2643"/>
      <c r="B42" s="2643"/>
      <c r="D42" s="1047"/>
    </row>
    <row r="43" spans="1:4" x14ac:dyDescent="0.2">
      <c r="A43" s="2643"/>
      <c r="B43" s="2643"/>
      <c r="D43" s="1047"/>
    </row>
    <row r="44" spans="1:4" x14ac:dyDescent="0.2">
      <c r="A44" s="2643"/>
      <c r="B44" s="2643"/>
      <c r="D44" s="1047"/>
    </row>
    <row r="45" spans="1:4" x14ac:dyDescent="0.2">
      <c r="A45" s="2643"/>
      <c r="B45" s="2643"/>
      <c r="D45" s="1047"/>
    </row>
    <row r="47" spans="1:4" x14ac:dyDescent="0.2">
      <c r="B47" s="1048" t="s">
        <v>1216</v>
      </c>
      <c r="C47" s="1048"/>
      <c r="D47" s="1049">
        <f>SUM(D35:D45)</f>
        <v>0</v>
      </c>
    </row>
    <row r="49" spans="2:4" x14ac:dyDescent="0.2">
      <c r="B49" s="1048" t="s">
        <v>1215</v>
      </c>
      <c r="C49" s="1048"/>
      <c r="D49" s="1049">
        <f>D32-D47</f>
        <v>2028124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03" t="str">
        <f>'Single Audit Cover'!A7</f>
        <v xml:space="preserve">  Henry-Stark County Spec Ed Dist</v>
      </c>
      <c r="C1" s="2648"/>
      <c r="D1" s="2648"/>
      <c r="E1" s="2648"/>
      <c r="F1" s="2648"/>
      <c r="G1" s="2648"/>
      <c r="H1" s="2648"/>
      <c r="I1" s="2648"/>
      <c r="J1" s="2648"/>
      <c r="K1" s="2648"/>
      <c r="L1" s="2648"/>
      <c r="M1" s="2648"/>
    </row>
    <row r="2" spans="2:14" ht="15" x14ac:dyDescent="0.2">
      <c r="B2" s="2649">
        <f>'Single Audit Cover'!E7</f>
        <v>28037801060</v>
      </c>
      <c r="C2" s="2649"/>
      <c r="D2" s="2649"/>
      <c r="E2" s="2649"/>
      <c r="F2" s="2649"/>
      <c r="G2" s="2649"/>
      <c r="H2" s="2649"/>
      <c r="I2" s="2649"/>
      <c r="J2" s="2649"/>
      <c r="K2" s="2649"/>
      <c r="L2" s="2649"/>
      <c r="M2" s="2649"/>
      <c r="N2" s="1078"/>
    </row>
    <row r="3" spans="2:14" ht="15" x14ac:dyDescent="0.2">
      <c r="B3" s="2650" t="s">
        <v>1208</v>
      </c>
      <c r="C3" s="2650"/>
      <c r="D3" s="2650"/>
      <c r="E3" s="2650"/>
      <c r="F3" s="2650"/>
      <c r="G3" s="2650"/>
      <c r="H3" s="2650"/>
      <c r="I3" s="2650"/>
      <c r="J3" s="2650"/>
      <c r="K3" s="2650"/>
      <c r="L3" s="2650"/>
      <c r="M3" s="2650"/>
      <c r="N3" s="1078"/>
    </row>
    <row r="4" spans="2:14" ht="15" x14ac:dyDescent="0.2">
      <c r="B4" s="2651" t="str">
        <f>'Single Audit Cover'!A4</f>
        <v>Year Ending June 30, 2020</v>
      </c>
      <c r="C4" s="2651"/>
      <c r="D4" s="2651"/>
      <c r="E4" s="2651"/>
      <c r="F4" s="2651"/>
      <c r="G4" s="2651"/>
      <c r="H4" s="2651"/>
      <c r="I4" s="2651"/>
      <c r="J4" s="2651"/>
      <c r="K4" s="2651"/>
      <c r="L4" s="2651"/>
      <c r="M4" s="2651"/>
      <c r="N4" s="1078"/>
    </row>
    <row r="5" spans="2:14" x14ac:dyDescent="0.2">
      <c r="H5" s="1915"/>
      <c r="J5" s="1915"/>
    </row>
    <row r="6" spans="2:14" x14ac:dyDescent="0.2">
      <c r="B6" s="1079"/>
      <c r="C6" s="1080"/>
      <c r="D6" s="1081" t="s">
        <v>1254</v>
      </c>
      <c r="E6" s="1082" t="s">
        <v>524</v>
      </c>
      <c r="F6" s="1083"/>
      <c r="G6" s="1084" t="s">
        <v>1709</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1710</v>
      </c>
      <c r="D9" s="1090" t="s">
        <v>1711</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t="s">
        <v>2057</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02C81-7DA9-4D3D-BB64-CE35F1D89996}">
  <sheetPr transitionEvaluation="1"/>
  <dimension ref="A1:S79"/>
  <sheetViews>
    <sheetView showGridLines="0" topLeftCell="A4" zoomScaleNormal="100" zoomScaleSheetLayoutView="100" workbookViewId="0">
      <selection activeCell="A4" sqref="A4:S4"/>
    </sheetView>
  </sheetViews>
  <sheetFormatPr defaultColWidth="14.7109375" defaultRowHeight="12.75" x14ac:dyDescent="0.2"/>
  <cols>
    <col min="1" max="1" width="5.7109375" style="2038" customWidth="1"/>
    <col min="2" max="2" width="48.140625" style="2039" customWidth="1"/>
    <col min="3" max="3" width="9.7109375" style="2039" customWidth="1"/>
    <col min="4" max="4" width="1.7109375" style="2039" customWidth="1"/>
    <col min="5" max="5" width="11.7109375" style="2039" customWidth="1"/>
    <col min="6" max="6" width="5.7109375" style="2040" customWidth="1"/>
    <col min="7" max="7" width="12.28515625" style="2039" customWidth="1"/>
    <col min="8" max="8" width="1.7109375" style="2039" customWidth="1"/>
    <col min="9" max="9" width="11.85546875" style="2039" customWidth="1"/>
    <col min="10" max="10" width="3.28515625" style="2040" customWidth="1"/>
    <col min="11" max="11" width="11.42578125" style="2039" bestFit="1" customWidth="1"/>
    <col min="12" max="12" width="3.7109375" style="2039" customWidth="1"/>
    <col min="13" max="13" width="12" style="2039" customWidth="1"/>
    <col min="14" max="14" width="4.7109375" style="2039" customWidth="1"/>
    <col min="15" max="15" width="9.7109375" style="2039" customWidth="1"/>
    <col min="16" max="16" width="4.7109375" style="2040" customWidth="1"/>
    <col min="17" max="17" width="13.85546875" style="2039" customWidth="1"/>
    <col min="18" max="18" width="5.28515625" style="2039" customWidth="1"/>
    <col min="19" max="19" width="12.140625" style="2040" customWidth="1"/>
    <col min="20" max="238" width="14.7109375" style="2039"/>
    <col min="239" max="239" width="5.7109375" style="2039" customWidth="1"/>
    <col min="240" max="240" width="48.140625" style="2039" customWidth="1"/>
    <col min="241" max="241" width="9.7109375" style="2039" customWidth="1"/>
    <col min="242" max="242" width="1.7109375" style="2039" customWidth="1"/>
    <col min="243" max="243" width="11.7109375" style="2039" customWidth="1"/>
    <col min="244" max="244" width="5.7109375" style="2039" customWidth="1"/>
    <col min="245" max="245" width="12.28515625" style="2039" customWidth="1"/>
    <col min="246" max="246" width="1.7109375" style="2039" customWidth="1"/>
    <col min="247" max="247" width="11.85546875" style="2039" customWidth="1"/>
    <col min="248" max="248" width="3.28515625" style="2039" customWidth="1"/>
    <col min="249" max="249" width="11.42578125" style="2039" bestFit="1" customWidth="1"/>
    <col min="250" max="250" width="3.7109375" style="2039" customWidth="1"/>
    <col min="251" max="251" width="12" style="2039" customWidth="1"/>
    <col min="252" max="252" width="4.7109375" style="2039" customWidth="1"/>
    <col min="253" max="253" width="9.7109375" style="2039" customWidth="1"/>
    <col min="254" max="254" width="4.7109375" style="2039" customWidth="1"/>
    <col min="255" max="255" width="13.85546875" style="2039" customWidth="1"/>
    <col min="256" max="256" width="5.28515625" style="2039" customWidth="1"/>
    <col min="257" max="257" width="12.140625" style="2039" customWidth="1"/>
    <col min="258" max="494" width="14.7109375" style="2039"/>
    <col min="495" max="495" width="5.7109375" style="2039" customWidth="1"/>
    <col min="496" max="496" width="48.140625" style="2039" customWidth="1"/>
    <col min="497" max="497" width="9.7109375" style="2039" customWidth="1"/>
    <col min="498" max="498" width="1.7109375" style="2039" customWidth="1"/>
    <col min="499" max="499" width="11.7109375" style="2039" customWidth="1"/>
    <col min="500" max="500" width="5.7109375" style="2039" customWidth="1"/>
    <col min="501" max="501" width="12.28515625" style="2039" customWidth="1"/>
    <col min="502" max="502" width="1.7109375" style="2039" customWidth="1"/>
    <col min="503" max="503" width="11.85546875" style="2039" customWidth="1"/>
    <col min="504" max="504" width="3.28515625" style="2039" customWidth="1"/>
    <col min="505" max="505" width="11.42578125" style="2039" bestFit="1" customWidth="1"/>
    <col min="506" max="506" width="3.7109375" style="2039" customWidth="1"/>
    <col min="507" max="507" width="12" style="2039" customWidth="1"/>
    <col min="508" max="508" width="4.7109375" style="2039" customWidth="1"/>
    <col min="509" max="509" width="9.7109375" style="2039" customWidth="1"/>
    <col min="510" max="510" width="4.7109375" style="2039" customWidth="1"/>
    <col min="511" max="511" width="13.85546875" style="2039" customWidth="1"/>
    <col min="512" max="512" width="5.28515625" style="2039" customWidth="1"/>
    <col min="513" max="513" width="12.140625" style="2039" customWidth="1"/>
    <col min="514" max="750" width="14.7109375" style="2039"/>
    <col min="751" max="751" width="5.7109375" style="2039" customWidth="1"/>
    <col min="752" max="752" width="48.140625" style="2039" customWidth="1"/>
    <col min="753" max="753" width="9.7109375" style="2039" customWidth="1"/>
    <col min="754" max="754" width="1.7109375" style="2039" customWidth="1"/>
    <col min="755" max="755" width="11.7109375" style="2039" customWidth="1"/>
    <col min="756" max="756" width="5.7109375" style="2039" customWidth="1"/>
    <col min="757" max="757" width="12.28515625" style="2039" customWidth="1"/>
    <col min="758" max="758" width="1.7109375" style="2039" customWidth="1"/>
    <col min="759" max="759" width="11.85546875" style="2039" customWidth="1"/>
    <col min="760" max="760" width="3.28515625" style="2039" customWidth="1"/>
    <col min="761" max="761" width="11.42578125" style="2039" bestFit="1" customWidth="1"/>
    <col min="762" max="762" width="3.7109375" style="2039" customWidth="1"/>
    <col min="763" max="763" width="12" style="2039" customWidth="1"/>
    <col min="764" max="764" width="4.7109375" style="2039" customWidth="1"/>
    <col min="765" max="765" width="9.7109375" style="2039" customWidth="1"/>
    <col min="766" max="766" width="4.7109375" style="2039" customWidth="1"/>
    <col min="767" max="767" width="13.85546875" style="2039" customWidth="1"/>
    <col min="768" max="768" width="5.28515625" style="2039" customWidth="1"/>
    <col min="769" max="769" width="12.140625" style="2039" customWidth="1"/>
    <col min="770" max="1006" width="14.7109375" style="2039"/>
    <col min="1007" max="1007" width="5.7109375" style="2039" customWidth="1"/>
    <col min="1008" max="1008" width="48.140625" style="2039" customWidth="1"/>
    <col min="1009" max="1009" width="9.7109375" style="2039" customWidth="1"/>
    <col min="1010" max="1010" width="1.7109375" style="2039" customWidth="1"/>
    <col min="1011" max="1011" width="11.7109375" style="2039" customWidth="1"/>
    <col min="1012" max="1012" width="5.7109375" style="2039" customWidth="1"/>
    <col min="1013" max="1013" width="12.28515625" style="2039" customWidth="1"/>
    <col min="1014" max="1014" width="1.7109375" style="2039" customWidth="1"/>
    <col min="1015" max="1015" width="11.85546875" style="2039" customWidth="1"/>
    <col min="1016" max="1016" width="3.28515625" style="2039" customWidth="1"/>
    <col min="1017" max="1017" width="11.42578125" style="2039" bestFit="1" customWidth="1"/>
    <col min="1018" max="1018" width="3.7109375" style="2039" customWidth="1"/>
    <col min="1019" max="1019" width="12" style="2039" customWidth="1"/>
    <col min="1020" max="1020" width="4.7109375" style="2039" customWidth="1"/>
    <col min="1021" max="1021" width="9.7109375" style="2039" customWidth="1"/>
    <col min="1022" max="1022" width="4.7109375" style="2039" customWidth="1"/>
    <col min="1023" max="1023" width="13.85546875" style="2039" customWidth="1"/>
    <col min="1024" max="1024" width="5.28515625" style="2039" customWidth="1"/>
    <col min="1025" max="1025" width="12.140625" style="2039" customWidth="1"/>
    <col min="1026" max="1262" width="14.7109375" style="2039"/>
    <col min="1263" max="1263" width="5.7109375" style="2039" customWidth="1"/>
    <col min="1264" max="1264" width="48.140625" style="2039" customWidth="1"/>
    <col min="1265" max="1265" width="9.7109375" style="2039" customWidth="1"/>
    <col min="1266" max="1266" width="1.7109375" style="2039" customWidth="1"/>
    <col min="1267" max="1267" width="11.7109375" style="2039" customWidth="1"/>
    <col min="1268" max="1268" width="5.7109375" style="2039" customWidth="1"/>
    <col min="1269" max="1269" width="12.28515625" style="2039" customWidth="1"/>
    <col min="1270" max="1270" width="1.7109375" style="2039" customWidth="1"/>
    <col min="1271" max="1271" width="11.85546875" style="2039" customWidth="1"/>
    <col min="1272" max="1272" width="3.28515625" style="2039" customWidth="1"/>
    <col min="1273" max="1273" width="11.42578125" style="2039" bestFit="1" customWidth="1"/>
    <col min="1274" max="1274" width="3.7109375" style="2039" customWidth="1"/>
    <col min="1275" max="1275" width="12" style="2039" customWidth="1"/>
    <col min="1276" max="1276" width="4.7109375" style="2039" customWidth="1"/>
    <col min="1277" max="1277" width="9.7109375" style="2039" customWidth="1"/>
    <col min="1278" max="1278" width="4.7109375" style="2039" customWidth="1"/>
    <col min="1279" max="1279" width="13.85546875" style="2039" customWidth="1"/>
    <col min="1280" max="1280" width="5.28515625" style="2039" customWidth="1"/>
    <col min="1281" max="1281" width="12.140625" style="2039" customWidth="1"/>
    <col min="1282" max="1518" width="14.7109375" style="2039"/>
    <col min="1519" max="1519" width="5.7109375" style="2039" customWidth="1"/>
    <col min="1520" max="1520" width="48.140625" style="2039" customWidth="1"/>
    <col min="1521" max="1521" width="9.7109375" style="2039" customWidth="1"/>
    <col min="1522" max="1522" width="1.7109375" style="2039" customWidth="1"/>
    <col min="1523" max="1523" width="11.7109375" style="2039" customWidth="1"/>
    <col min="1524" max="1524" width="5.7109375" style="2039" customWidth="1"/>
    <col min="1525" max="1525" width="12.28515625" style="2039" customWidth="1"/>
    <col min="1526" max="1526" width="1.7109375" style="2039" customWidth="1"/>
    <col min="1527" max="1527" width="11.85546875" style="2039" customWidth="1"/>
    <col min="1528" max="1528" width="3.28515625" style="2039" customWidth="1"/>
    <col min="1529" max="1529" width="11.42578125" style="2039" bestFit="1" customWidth="1"/>
    <col min="1530" max="1530" width="3.7109375" style="2039" customWidth="1"/>
    <col min="1531" max="1531" width="12" style="2039" customWidth="1"/>
    <col min="1532" max="1532" width="4.7109375" style="2039" customWidth="1"/>
    <col min="1533" max="1533" width="9.7109375" style="2039" customWidth="1"/>
    <col min="1534" max="1534" width="4.7109375" style="2039" customWidth="1"/>
    <col min="1535" max="1535" width="13.85546875" style="2039" customWidth="1"/>
    <col min="1536" max="1536" width="5.28515625" style="2039" customWidth="1"/>
    <col min="1537" max="1537" width="12.140625" style="2039" customWidth="1"/>
    <col min="1538" max="1774" width="14.7109375" style="2039"/>
    <col min="1775" max="1775" width="5.7109375" style="2039" customWidth="1"/>
    <col min="1776" max="1776" width="48.140625" style="2039" customWidth="1"/>
    <col min="1777" max="1777" width="9.7109375" style="2039" customWidth="1"/>
    <col min="1778" max="1778" width="1.7109375" style="2039" customWidth="1"/>
    <col min="1779" max="1779" width="11.7109375" style="2039" customWidth="1"/>
    <col min="1780" max="1780" width="5.7109375" style="2039" customWidth="1"/>
    <col min="1781" max="1781" width="12.28515625" style="2039" customWidth="1"/>
    <col min="1782" max="1782" width="1.7109375" style="2039" customWidth="1"/>
    <col min="1783" max="1783" width="11.85546875" style="2039" customWidth="1"/>
    <col min="1784" max="1784" width="3.28515625" style="2039" customWidth="1"/>
    <col min="1785" max="1785" width="11.42578125" style="2039" bestFit="1" customWidth="1"/>
    <col min="1786" max="1786" width="3.7109375" style="2039" customWidth="1"/>
    <col min="1787" max="1787" width="12" style="2039" customWidth="1"/>
    <col min="1788" max="1788" width="4.7109375" style="2039" customWidth="1"/>
    <col min="1789" max="1789" width="9.7109375" style="2039" customWidth="1"/>
    <col min="1790" max="1790" width="4.7109375" style="2039" customWidth="1"/>
    <col min="1791" max="1791" width="13.85546875" style="2039" customWidth="1"/>
    <col min="1792" max="1792" width="5.28515625" style="2039" customWidth="1"/>
    <col min="1793" max="1793" width="12.140625" style="2039" customWidth="1"/>
    <col min="1794" max="2030" width="14.7109375" style="2039"/>
    <col min="2031" max="2031" width="5.7109375" style="2039" customWidth="1"/>
    <col min="2032" max="2032" width="48.140625" style="2039" customWidth="1"/>
    <col min="2033" max="2033" width="9.7109375" style="2039" customWidth="1"/>
    <col min="2034" max="2034" width="1.7109375" style="2039" customWidth="1"/>
    <col min="2035" max="2035" width="11.7109375" style="2039" customWidth="1"/>
    <col min="2036" max="2036" width="5.7109375" style="2039" customWidth="1"/>
    <col min="2037" max="2037" width="12.28515625" style="2039" customWidth="1"/>
    <col min="2038" max="2038" width="1.7109375" style="2039" customWidth="1"/>
    <col min="2039" max="2039" width="11.85546875" style="2039" customWidth="1"/>
    <col min="2040" max="2040" width="3.28515625" style="2039" customWidth="1"/>
    <col min="2041" max="2041" width="11.42578125" style="2039" bestFit="1" customWidth="1"/>
    <col min="2042" max="2042" width="3.7109375" style="2039" customWidth="1"/>
    <col min="2043" max="2043" width="12" style="2039" customWidth="1"/>
    <col min="2044" max="2044" width="4.7109375" style="2039" customWidth="1"/>
    <col min="2045" max="2045" width="9.7109375" style="2039" customWidth="1"/>
    <col min="2046" max="2046" width="4.7109375" style="2039" customWidth="1"/>
    <col min="2047" max="2047" width="13.85546875" style="2039" customWidth="1"/>
    <col min="2048" max="2048" width="5.28515625" style="2039" customWidth="1"/>
    <col min="2049" max="2049" width="12.140625" style="2039" customWidth="1"/>
    <col min="2050" max="2286" width="14.7109375" style="2039"/>
    <col min="2287" max="2287" width="5.7109375" style="2039" customWidth="1"/>
    <col min="2288" max="2288" width="48.140625" style="2039" customWidth="1"/>
    <col min="2289" max="2289" width="9.7109375" style="2039" customWidth="1"/>
    <col min="2290" max="2290" width="1.7109375" style="2039" customWidth="1"/>
    <col min="2291" max="2291" width="11.7109375" style="2039" customWidth="1"/>
    <col min="2292" max="2292" width="5.7109375" style="2039" customWidth="1"/>
    <col min="2293" max="2293" width="12.28515625" style="2039" customWidth="1"/>
    <col min="2294" max="2294" width="1.7109375" style="2039" customWidth="1"/>
    <col min="2295" max="2295" width="11.85546875" style="2039" customWidth="1"/>
    <col min="2296" max="2296" width="3.28515625" style="2039" customWidth="1"/>
    <col min="2297" max="2297" width="11.42578125" style="2039" bestFit="1" customWidth="1"/>
    <col min="2298" max="2298" width="3.7109375" style="2039" customWidth="1"/>
    <col min="2299" max="2299" width="12" style="2039" customWidth="1"/>
    <col min="2300" max="2300" width="4.7109375" style="2039" customWidth="1"/>
    <col min="2301" max="2301" width="9.7109375" style="2039" customWidth="1"/>
    <col min="2302" max="2302" width="4.7109375" style="2039" customWidth="1"/>
    <col min="2303" max="2303" width="13.85546875" style="2039" customWidth="1"/>
    <col min="2304" max="2304" width="5.28515625" style="2039" customWidth="1"/>
    <col min="2305" max="2305" width="12.140625" style="2039" customWidth="1"/>
    <col min="2306" max="2542" width="14.7109375" style="2039"/>
    <col min="2543" max="2543" width="5.7109375" style="2039" customWidth="1"/>
    <col min="2544" max="2544" width="48.140625" style="2039" customWidth="1"/>
    <col min="2545" max="2545" width="9.7109375" style="2039" customWidth="1"/>
    <col min="2546" max="2546" width="1.7109375" style="2039" customWidth="1"/>
    <col min="2547" max="2547" width="11.7109375" style="2039" customWidth="1"/>
    <col min="2548" max="2548" width="5.7109375" style="2039" customWidth="1"/>
    <col min="2549" max="2549" width="12.28515625" style="2039" customWidth="1"/>
    <col min="2550" max="2550" width="1.7109375" style="2039" customWidth="1"/>
    <col min="2551" max="2551" width="11.85546875" style="2039" customWidth="1"/>
    <col min="2552" max="2552" width="3.28515625" style="2039" customWidth="1"/>
    <col min="2553" max="2553" width="11.42578125" style="2039" bestFit="1" customWidth="1"/>
    <col min="2554" max="2554" width="3.7109375" style="2039" customWidth="1"/>
    <col min="2555" max="2555" width="12" style="2039" customWidth="1"/>
    <col min="2556" max="2556" width="4.7109375" style="2039" customWidth="1"/>
    <col min="2557" max="2557" width="9.7109375" style="2039" customWidth="1"/>
    <col min="2558" max="2558" width="4.7109375" style="2039" customWidth="1"/>
    <col min="2559" max="2559" width="13.85546875" style="2039" customWidth="1"/>
    <col min="2560" max="2560" width="5.28515625" style="2039" customWidth="1"/>
    <col min="2561" max="2561" width="12.140625" style="2039" customWidth="1"/>
    <col min="2562" max="2798" width="14.7109375" style="2039"/>
    <col min="2799" max="2799" width="5.7109375" style="2039" customWidth="1"/>
    <col min="2800" max="2800" width="48.140625" style="2039" customWidth="1"/>
    <col min="2801" max="2801" width="9.7109375" style="2039" customWidth="1"/>
    <col min="2802" max="2802" width="1.7109375" style="2039" customWidth="1"/>
    <col min="2803" max="2803" width="11.7109375" style="2039" customWidth="1"/>
    <col min="2804" max="2804" width="5.7109375" style="2039" customWidth="1"/>
    <col min="2805" max="2805" width="12.28515625" style="2039" customWidth="1"/>
    <col min="2806" max="2806" width="1.7109375" style="2039" customWidth="1"/>
    <col min="2807" max="2807" width="11.85546875" style="2039" customWidth="1"/>
    <col min="2808" max="2808" width="3.28515625" style="2039" customWidth="1"/>
    <col min="2809" max="2809" width="11.42578125" style="2039" bestFit="1" customWidth="1"/>
    <col min="2810" max="2810" width="3.7109375" style="2039" customWidth="1"/>
    <col min="2811" max="2811" width="12" style="2039" customWidth="1"/>
    <col min="2812" max="2812" width="4.7109375" style="2039" customWidth="1"/>
    <col min="2813" max="2813" width="9.7109375" style="2039" customWidth="1"/>
    <col min="2814" max="2814" width="4.7109375" style="2039" customWidth="1"/>
    <col min="2815" max="2815" width="13.85546875" style="2039" customWidth="1"/>
    <col min="2816" max="2816" width="5.28515625" style="2039" customWidth="1"/>
    <col min="2817" max="2817" width="12.140625" style="2039" customWidth="1"/>
    <col min="2818" max="3054" width="14.7109375" style="2039"/>
    <col min="3055" max="3055" width="5.7109375" style="2039" customWidth="1"/>
    <col min="3056" max="3056" width="48.140625" style="2039" customWidth="1"/>
    <col min="3057" max="3057" width="9.7109375" style="2039" customWidth="1"/>
    <col min="3058" max="3058" width="1.7109375" style="2039" customWidth="1"/>
    <col min="3059" max="3059" width="11.7109375" style="2039" customWidth="1"/>
    <col min="3060" max="3060" width="5.7109375" style="2039" customWidth="1"/>
    <col min="3061" max="3061" width="12.28515625" style="2039" customWidth="1"/>
    <col min="3062" max="3062" width="1.7109375" style="2039" customWidth="1"/>
    <col min="3063" max="3063" width="11.85546875" style="2039" customWidth="1"/>
    <col min="3064" max="3064" width="3.28515625" style="2039" customWidth="1"/>
    <col min="3065" max="3065" width="11.42578125" style="2039" bestFit="1" customWidth="1"/>
    <col min="3066" max="3066" width="3.7109375" style="2039" customWidth="1"/>
    <col min="3067" max="3067" width="12" style="2039" customWidth="1"/>
    <col min="3068" max="3068" width="4.7109375" style="2039" customWidth="1"/>
    <col min="3069" max="3069" width="9.7109375" style="2039" customWidth="1"/>
    <col min="3070" max="3070" width="4.7109375" style="2039" customWidth="1"/>
    <col min="3071" max="3071" width="13.85546875" style="2039" customWidth="1"/>
    <col min="3072" max="3072" width="5.28515625" style="2039" customWidth="1"/>
    <col min="3073" max="3073" width="12.140625" style="2039" customWidth="1"/>
    <col min="3074" max="3310" width="14.7109375" style="2039"/>
    <col min="3311" max="3311" width="5.7109375" style="2039" customWidth="1"/>
    <col min="3312" max="3312" width="48.140625" style="2039" customWidth="1"/>
    <col min="3313" max="3313" width="9.7109375" style="2039" customWidth="1"/>
    <col min="3314" max="3314" width="1.7109375" style="2039" customWidth="1"/>
    <col min="3315" max="3315" width="11.7109375" style="2039" customWidth="1"/>
    <col min="3316" max="3316" width="5.7109375" style="2039" customWidth="1"/>
    <col min="3317" max="3317" width="12.28515625" style="2039" customWidth="1"/>
    <col min="3318" max="3318" width="1.7109375" style="2039" customWidth="1"/>
    <col min="3319" max="3319" width="11.85546875" style="2039" customWidth="1"/>
    <col min="3320" max="3320" width="3.28515625" style="2039" customWidth="1"/>
    <col min="3321" max="3321" width="11.42578125" style="2039" bestFit="1" customWidth="1"/>
    <col min="3322" max="3322" width="3.7109375" style="2039" customWidth="1"/>
    <col min="3323" max="3323" width="12" style="2039" customWidth="1"/>
    <col min="3324" max="3324" width="4.7109375" style="2039" customWidth="1"/>
    <col min="3325" max="3325" width="9.7109375" style="2039" customWidth="1"/>
    <col min="3326" max="3326" width="4.7109375" style="2039" customWidth="1"/>
    <col min="3327" max="3327" width="13.85546875" style="2039" customWidth="1"/>
    <col min="3328" max="3328" width="5.28515625" style="2039" customWidth="1"/>
    <col min="3329" max="3329" width="12.140625" style="2039" customWidth="1"/>
    <col min="3330" max="3566" width="14.7109375" style="2039"/>
    <col min="3567" max="3567" width="5.7109375" style="2039" customWidth="1"/>
    <col min="3568" max="3568" width="48.140625" style="2039" customWidth="1"/>
    <col min="3569" max="3569" width="9.7109375" style="2039" customWidth="1"/>
    <col min="3570" max="3570" width="1.7109375" style="2039" customWidth="1"/>
    <col min="3571" max="3571" width="11.7109375" style="2039" customWidth="1"/>
    <col min="3572" max="3572" width="5.7109375" style="2039" customWidth="1"/>
    <col min="3573" max="3573" width="12.28515625" style="2039" customWidth="1"/>
    <col min="3574" max="3574" width="1.7109375" style="2039" customWidth="1"/>
    <col min="3575" max="3575" width="11.85546875" style="2039" customWidth="1"/>
    <col min="3576" max="3576" width="3.28515625" style="2039" customWidth="1"/>
    <col min="3577" max="3577" width="11.42578125" style="2039" bestFit="1" customWidth="1"/>
    <col min="3578" max="3578" width="3.7109375" style="2039" customWidth="1"/>
    <col min="3579" max="3579" width="12" style="2039" customWidth="1"/>
    <col min="3580" max="3580" width="4.7109375" style="2039" customWidth="1"/>
    <col min="3581" max="3581" width="9.7109375" style="2039" customWidth="1"/>
    <col min="3582" max="3582" width="4.7109375" style="2039" customWidth="1"/>
    <col min="3583" max="3583" width="13.85546875" style="2039" customWidth="1"/>
    <col min="3584" max="3584" width="5.28515625" style="2039" customWidth="1"/>
    <col min="3585" max="3585" width="12.140625" style="2039" customWidth="1"/>
    <col min="3586" max="3822" width="14.7109375" style="2039"/>
    <col min="3823" max="3823" width="5.7109375" style="2039" customWidth="1"/>
    <col min="3824" max="3824" width="48.140625" style="2039" customWidth="1"/>
    <col min="3825" max="3825" width="9.7109375" style="2039" customWidth="1"/>
    <col min="3826" max="3826" width="1.7109375" style="2039" customWidth="1"/>
    <col min="3827" max="3827" width="11.7109375" style="2039" customWidth="1"/>
    <col min="3828" max="3828" width="5.7109375" style="2039" customWidth="1"/>
    <col min="3829" max="3829" width="12.28515625" style="2039" customWidth="1"/>
    <col min="3830" max="3830" width="1.7109375" style="2039" customWidth="1"/>
    <col min="3831" max="3831" width="11.85546875" style="2039" customWidth="1"/>
    <col min="3832" max="3832" width="3.28515625" style="2039" customWidth="1"/>
    <col min="3833" max="3833" width="11.42578125" style="2039" bestFit="1" customWidth="1"/>
    <col min="3834" max="3834" width="3.7109375" style="2039" customWidth="1"/>
    <col min="3835" max="3835" width="12" style="2039" customWidth="1"/>
    <col min="3836" max="3836" width="4.7109375" style="2039" customWidth="1"/>
    <col min="3837" max="3837" width="9.7109375" style="2039" customWidth="1"/>
    <col min="3838" max="3838" width="4.7109375" style="2039" customWidth="1"/>
    <col min="3839" max="3839" width="13.85546875" style="2039" customWidth="1"/>
    <col min="3840" max="3840" width="5.28515625" style="2039" customWidth="1"/>
    <col min="3841" max="3841" width="12.140625" style="2039" customWidth="1"/>
    <col min="3842" max="4078" width="14.7109375" style="2039"/>
    <col min="4079" max="4079" width="5.7109375" style="2039" customWidth="1"/>
    <col min="4080" max="4080" width="48.140625" style="2039" customWidth="1"/>
    <col min="4081" max="4081" width="9.7109375" style="2039" customWidth="1"/>
    <col min="4082" max="4082" width="1.7109375" style="2039" customWidth="1"/>
    <col min="4083" max="4083" width="11.7109375" style="2039" customWidth="1"/>
    <col min="4084" max="4084" width="5.7109375" style="2039" customWidth="1"/>
    <col min="4085" max="4085" width="12.28515625" style="2039" customWidth="1"/>
    <col min="4086" max="4086" width="1.7109375" style="2039" customWidth="1"/>
    <col min="4087" max="4087" width="11.85546875" style="2039" customWidth="1"/>
    <col min="4088" max="4088" width="3.28515625" style="2039" customWidth="1"/>
    <col min="4089" max="4089" width="11.42578125" style="2039" bestFit="1" customWidth="1"/>
    <col min="4090" max="4090" width="3.7109375" style="2039" customWidth="1"/>
    <col min="4091" max="4091" width="12" style="2039" customWidth="1"/>
    <col min="4092" max="4092" width="4.7109375" style="2039" customWidth="1"/>
    <col min="4093" max="4093" width="9.7109375" style="2039" customWidth="1"/>
    <col min="4094" max="4094" width="4.7109375" style="2039" customWidth="1"/>
    <col min="4095" max="4095" width="13.85546875" style="2039" customWidth="1"/>
    <col min="4096" max="4096" width="5.28515625" style="2039" customWidth="1"/>
    <col min="4097" max="4097" width="12.140625" style="2039" customWidth="1"/>
    <col min="4098" max="4334" width="14.7109375" style="2039"/>
    <col min="4335" max="4335" width="5.7109375" style="2039" customWidth="1"/>
    <col min="4336" max="4336" width="48.140625" style="2039" customWidth="1"/>
    <col min="4337" max="4337" width="9.7109375" style="2039" customWidth="1"/>
    <col min="4338" max="4338" width="1.7109375" style="2039" customWidth="1"/>
    <col min="4339" max="4339" width="11.7109375" style="2039" customWidth="1"/>
    <col min="4340" max="4340" width="5.7109375" style="2039" customWidth="1"/>
    <col min="4341" max="4341" width="12.28515625" style="2039" customWidth="1"/>
    <col min="4342" max="4342" width="1.7109375" style="2039" customWidth="1"/>
    <col min="4343" max="4343" width="11.85546875" style="2039" customWidth="1"/>
    <col min="4344" max="4344" width="3.28515625" style="2039" customWidth="1"/>
    <col min="4345" max="4345" width="11.42578125" style="2039" bestFit="1" customWidth="1"/>
    <col min="4346" max="4346" width="3.7109375" style="2039" customWidth="1"/>
    <col min="4347" max="4347" width="12" style="2039" customWidth="1"/>
    <col min="4348" max="4348" width="4.7109375" style="2039" customWidth="1"/>
    <col min="4349" max="4349" width="9.7109375" style="2039" customWidth="1"/>
    <col min="4350" max="4350" width="4.7109375" style="2039" customWidth="1"/>
    <col min="4351" max="4351" width="13.85546875" style="2039" customWidth="1"/>
    <col min="4352" max="4352" width="5.28515625" style="2039" customWidth="1"/>
    <col min="4353" max="4353" width="12.140625" style="2039" customWidth="1"/>
    <col min="4354" max="4590" width="14.7109375" style="2039"/>
    <col min="4591" max="4591" width="5.7109375" style="2039" customWidth="1"/>
    <col min="4592" max="4592" width="48.140625" style="2039" customWidth="1"/>
    <col min="4593" max="4593" width="9.7109375" style="2039" customWidth="1"/>
    <col min="4594" max="4594" width="1.7109375" style="2039" customWidth="1"/>
    <col min="4595" max="4595" width="11.7109375" style="2039" customWidth="1"/>
    <col min="4596" max="4596" width="5.7109375" style="2039" customWidth="1"/>
    <col min="4597" max="4597" width="12.28515625" style="2039" customWidth="1"/>
    <col min="4598" max="4598" width="1.7109375" style="2039" customWidth="1"/>
    <col min="4599" max="4599" width="11.85546875" style="2039" customWidth="1"/>
    <col min="4600" max="4600" width="3.28515625" style="2039" customWidth="1"/>
    <col min="4601" max="4601" width="11.42578125" style="2039" bestFit="1" customWidth="1"/>
    <col min="4602" max="4602" width="3.7109375" style="2039" customWidth="1"/>
    <col min="4603" max="4603" width="12" style="2039" customWidth="1"/>
    <col min="4604" max="4604" width="4.7109375" style="2039" customWidth="1"/>
    <col min="4605" max="4605" width="9.7109375" style="2039" customWidth="1"/>
    <col min="4606" max="4606" width="4.7109375" style="2039" customWidth="1"/>
    <col min="4607" max="4607" width="13.85546875" style="2039" customWidth="1"/>
    <col min="4608" max="4608" width="5.28515625" style="2039" customWidth="1"/>
    <col min="4609" max="4609" width="12.140625" style="2039" customWidth="1"/>
    <col min="4610" max="4846" width="14.7109375" style="2039"/>
    <col min="4847" max="4847" width="5.7109375" style="2039" customWidth="1"/>
    <col min="4848" max="4848" width="48.140625" style="2039" customWidth="1"/>
    <col min="4849" max="4849" width="9.7109375" style="2039" customWidth="1"/>
    <col min="4850" max="4850" width="1.7109375" style="2039" customWidth="1"/>
    <col min="4851" max="4851" width="11.7109375" style="2039" customWidth="1"/>
    <col min="4852" max="4852" width="5.7109375" style="2039" customWidth="1"/>
    <col min="4853" max="4853" width="12.28515625" style="2039" customWidth="1"/>
    <col min="4854" max="4854" width="1.7109375" style="2039" customWidth="1"/>
    <col min="4855" max="4855" width="11.85546875" style="2039" customWidth="1"/>
    <col min="4856" max="4856" width="3.28515625" style="2039" customWidth="1"/>
    <col min="4857" max="4857" width="11.42578125" style="2039" bestFit="1" customWidth="1"/>
    <col min="4858" max="4858" width="3.7109375" style="2039" customWidth="1"/>
    <col min="4859" max="4859" width="12" style="2039" customWidth="1"/>
    <col min="4860" max="4860" width="4.7109375" style="2039" customWidth="1"/>
    <col min="4861" max="4861" width="9.7109375" style="2039" customWidth="1"/>
    <col min="4862" max="4862" width="4.7109375" style="2039" customWidth="1"/>
    <col min="4863" max="4863" width="13.85546875" style="2039" customWidth="1"/>
    <col min="4864" max="4864" width="5.28515625" style="2039" customWidth="1"/>
    <col min="4865" max="4865" width="12.140625" style="2039" customWidth="1"/>
    <col min="4866" max="5102" width="14.7109375" style="2039"/>
    <col min="5103" max="5103" width="5.7109375" style="2039" customWidth="1"/>
    <col min="5104" max="5104" width="48.140625" style="2039" customWidth="1"/>
    <col min="5105" max="5105" width="9.7109375" style="2039" customWidth="1"/>
    <col min="5106" max="5106" width="1.7109375" style="2039" customWidth="1"/>
    <col min="5107" max="5107" width="11.7109375" style="2039" customWidth="1"/>
    <col min="5108" max="5108" width="5.7109375" style="2039" customWidth="1"/>
    <col min="5109" max="5109" width="12.28515625" style="2039" customWidth="1"/>
    <col min="5110" max="5110" width="1.7109375" style="2039" customWidth="1"/>
    <col min="5111" max="5111" width="11.85546875" style="2039" customWidth="1"/>
    <col min="5112" max="5112" width="3.28515625" style="2039" customWidth="1"/>
    <col min="5113" max="5113" width="11.42578125" style="2039" bestFit="1" customWidth="1"/>
    <col min="5114" max="5114" width="3.7109375" style="2039" customWidth="1"/>
    <col min="5115" max="5115" width="12" style="2039" customWidth="1"/>
    <col min="5116" max="5116" width="4.7109375" style="2039" customWidth="1"/>
    <col min="5117" max="5117" width="9.7109375" style="2039" customWidth="1"/>
    <col min="5118" max="5118" width="4.7109375" style="2039" customWidth="1"/>
    <col min="5119" max="5119" width="13.85546875" style="2039" customWidth="1"/>
    <col min="5120" max="5120" width="5.28515625" style="2039" customWidth="1"/>
    <col min="5121" max="5121" width="12.140625" style="2039" customWidth="1"/>
    <col min="5122" max="5358" width="14.7109375" style="2039"/>
    <col min="5359" max="5359" width="5.7109375" style="2039" customWidth="1"/>
    <col min="5360" max="5360" width="48.140625" style="2039" customWidth="1"/>
    <col min="5361" max="5361" width="9.7109375" style="2039" customWidth="1"/>
    <col min="5362" max="5362" width="1.7109375" style="2039" customWidth="1"/>
    <col min="5363" max="5363" width="11.7109375" style="2039" customWidth="1"/>
    <col min="5364" max="5364" width="5.7109375" style="2039" customWidth="1"/>
    <col min="5365" max="5365" width="12.28515625" style="2039" customWidth="1"/>
    <col min="5366" max="5366" width="1.7109375" style="2039" customWidth="1"/>
    <col min="5367" max="5367" width="11.85546875" style="2039" customWidth="1"/>
    <col min="5368" max="5368" width="3.28515625" style="2039" customWidth="1"/>
    <col min="5369" max="5369" width="11.42578125" style="2039" bestFit="1" customWidth="1"/>
    <col min="5370" max="5370" width="3.7109375" style="2039" customWidth="1"/>
    <col min="5371" max="5371" width="12" style="2039" customWidth="1"/>
    <col min="5372" max="5372" width="4.7109375" style="2039" customWidth="1"/>
    <col min="5373" max="5373" width="9.7109375" style="2039" customWidth="1"/>
    <col min="5374" max="5374" width="4.7109375" style="2039" customWidth="1"/>
    <col min="5375" max="5375" width="13.85546875" style="2039" customWidth="1"/>
    <col min="5376" max="5376" width="5.28515625" style="2039" customWidth="1"/>
    <col min="5377" max="5377" width="12.140625" style="2039" customWidth="1"/>
    <col min="5378" max="5614" width="14.7109375" style="2039"/>
    <col min="5615" max="5615" width="5.7109375" style="2039" customWidth="1"/>
    <col min="5616" max="5616" width="48.140625" style="2039" customWidth="1"/>
    <col min="5617" max="5617" width="9.7109375" style="2039" customWidth="1"/>
    <col min="5618" max="5618" width="1.7109375" style="2039" customWidth="1"/>
    <col min="5619" max="5619" width="11.7109375" style="2039" customWidth="1"/>
    <col min="5620" max="5620" width="5.7109375" style="2039" customWidth="1"/>
    <col min="5621" max="5621" width="12.28515625" style="2039" customWidth="1"/>
    <col min="5622" max="5622" width="1.7109375" style="2039" customWidth="1"/>
    <col min="5623" max="5623" width="11.85546875" style="2039" customWidth="1"/>
    <col min="5624" max="5624" width="3.28515625" style="2039" customWidth="1"/>
    <col min="5625" max="5625" width="11.42578125" style="2039" bestFit="1" customWidth="1"/>
    <col min="5626" max="5626" width="3.7109375" style="2039" customWidth="1"/>
    <col min="5627" max="5627" width="12" style="2039" customWidth="1"/>
    <col min="5628" max="5628" width="4.7109375" style="2039" customWidth="1"/>
    <col min="5629" max="5629" width="9.7109375" style="2039" customWidth="1"/>
    <col min="5630" max="5630" width="4.7109375" style="2039" customWidth="1"/>
    <col min="5631" max="5631" width="13.85546875" style="2039" customWidth="1"/>
    <col min="5632" max="5632" width="5.28515625" style="2039" customWidth="1"/>
    <col min="5633" max="5633" width="12.140625" style="2039" customWidth="1"/>
    <col min="5634" max="5870" width="14.7109375" style="2039"/>
    <col min="5871" max="5871" width="5.7109375" style="2039" customWidth="1"/>
    <col min="5872" max="5872" width="48.140625" style="2039" customWidth="1"/>
    <col min="5873" max="5873" width="9.7109375" style="2039" customWidth="1"/>
    <col min="5874" max="5874" width="1.7109375" style="2039" customWidth="1"/>
    <col min="5875" max="5875" width="11.7109375" style="2039" customWidth="1"/>
    <col min="5876" max="5876" width="5.7109375" style="2039" customWidth="1"/>
    <col min="5877" max="5877" width="12.28515625" style="2039" customWidth="1"/>
    <col min="5878" max="5878" width="1.7109375" style="2039" customWidth="1"/>
    <col min="5879" max="5879" width="11.85546875" style="2039" customWidth="1"/>
    <col min="5880" max="5880" width="3.28515625" style="2039" customWidth="1"/>
    <col min="5881" max="5881" width="11.42578125" style="2039" bestFit="1" customWidth="1"/>
    <col min="5882" max="5882" width="3.7109375" style="2039" customWidth="1"/>
    <col min="5883" max="5883" width="12" style="2039" customWidth="1"/>
    <col min="5884" max="5884" width="4.7109375" style="2039" customWidth="1"/>
    <col min="5885" max="5885" width="9.7109375" style="2039" customWidth="1"/>
    <col min="5886" max="5886" width="4.7109375" style="2039" customWidth="1"/>
    <col min="5887" max="5887" width="13.85546875" style="2039" customWidth="1"/>
    <col min="5888" max="5888" width="5.28515625" style="2039" customWidth="1"/>
    <col min="5889" max="5889" width="12.140625" style="2039" customWidth="1"/>
    <col min="5890" max="6126" width="14.7109375" style="2039"/>
    <col min="6127" max="6127" width="5.7109375" style="2039" customWidth="1"/>
    <col min="6128" max="6128" width="48.140625" style="2039" customWidth="1"/>
    <col min="6129" max="6129" width="9.7109375" style="2039" customWidth="1"/>
    <col min="6130" max="6130" width="1.7109375" style="2039" customWidth="1"/>
    <col min="6131" max="6131" width="11.7109375" style="2039" customWidth="1"/>
    <col min="6132" max="6132" width="5.7109375" style="2039" customWidth="1"/>
    <col min="6133" max="6133" width="12.28515625" style="2039" customWidth="1"/>
    <col min="6134" max="6134" width="1.7109375" style="2039" customWidth="1"/>
    <col min="6135" max="6135" width="11.85546875" style="2039" customWidth="1"/>
    <col min="6136" max="6136" width="3.28515625" style="2039" customWidth="1"/>
    <col min="6137" max="6137" width="11.42578125" style="2039" bestFit="1" customWidth="1"/>
    <col min="6138" max="6138" width="3.7109375" style="2039" customWidth="1"/>
    <col min="6139" max="6139" width="12" style="2039" customWidth="1"/>
    <col min="6140" max="6140" width="4.7109375" style="2039" customWidth="1"/>
    <col min="6141" max="6141" width="9.7109375" style="2039" customWidth="1"/>
    <col min="6142" max="6142" width="4.7109375" style="2039" customWidth="1"/>
    <col min="6143" max="6143" width="13.85546875" style="2039" customWidth="1"/>
    <col min="6144" max="6144" width="5.28515625" style="2039" customWidth="1"/>
    <col min="6145" max="6145" width="12.140625" style="2039" customWidth="1"/>
    <col min="6146" max="6382" width="14.7109375" style="2039"/>
    <col min="6383" max="6383" width="5.7109375" style="2039" customWidth="1"/>
    <col min="6384" max="6384" width="48.140625" style="2039" customWidth="1"/>
    <col min="6385" max="6385" width="9.7109375" style="2039" customWidth="1"/>
    <col min="6386" max="6386" width="1.7109375" style="2039" customWidth="1"/>
    <col min="6387" max="6387" width="11.7109375" style="2039" customWidth="1"/>
    <col min="6388" max="6388" width="5.7109375" style="2039" customWidth="1"/>
    <col min="6389" max="6389" width="12.28515625" style="2039" customWidth="1"/>
    <col min="6390" max="6390" width="1.7109375" style="2039" customWidth="1"/>
    <col min="6391" max="6391" width="11.85546875" style="2039" customWidth="1"/>
    <col min="6392" max="6392" width="3.28515625" style="2039" customWidth="1"/>
    <col min="6393" max="6393" width="11.42578125" style="2039" bestFit="1" customWidth="1"/>
    <col min="6394" max="6394" width="3.7109375" style="2039" customWidth="1"/>
    <col min="6395" max="6395" width="12" style="2039" customWidth="1"/>
    <col min="6396" max="6396" width="4.7109375" style="2039" customWidth="1"/>
    <col min="6397" max="6397" width="9.7109375" style="2039" customWidth="1"/>
    <col min="6398" max="6398" width="4.7109375" style="2039" customWidth="1"/>
    <col min="6399" max="6399" width="13.85546875" style="2039" customWidth="1"/>
    <col min="6400" max="6400" width="5.28515625" style="2039" customWidth="1"/>
    <col min="6401" max="6401" width="12.140625" style="2039" customWidth="1"/>
    <col min="6402" max="6638" width="14.7109375" style="2039"/>
    <col min="6639" max="6639" width="5.7109375" style="2039" customWidth="1"/>
    <col min="6640" max="6640" width="48.140625" style="2039" customWidth="1"/>
    <col min="6641" max="6641" width="9.7109375" style="2039" customWidth="1"/>
    <col min="6642" max="6642" width="1.7109375" style="2039" customWidth="1"/>
    <col min="6643" max="6643" width="11.7109375" style="2039" customWidth="1"/>
    <col min="6644" max="6644" width="5.7109375" style="2039" customWidth="1"/>
    <col min="6645" max="6645" width="12.28515625" style="2039" customWidth="1"/>
    <col min="6646" max="6646" width="1.7109375" style="2039" customWidth="1"/>
    <col min="6647" max="6647" width="11.85546875" style="2039" customWidth="1"/>
    <col min="6648" max="6648" width="3.28515625" style="2039" customWidth="1"/>
    <col min="6649" max="6649" width="11.42578125" style="2039" bestFit="1" customWidth="1"/>
    <col min="6650" max="6650" width="3.7109375" style="2039" customWidth="1"/>
    <col min="6651" max="6651" width="12" style="2039" customWidth="1"/>
    <col min="6652" max="6652" width="4.7109375" style="2039" customWidth="1"/>
    <col min="6653" max="6653" width="9.7109375" style="2039" customWidth="1"/>
    <col min="6654" max="6654" width="4.7109375" style="2039" customWidth="1"/>
    <col min="6655" max="6655" width="13.85546875" style="2039" customWidth="1"/>
    <col min="6656" max="6656" width="5.28515625" style="2039" customWidth="1"/>
    <col min="6657" max="6657" width="12.140625" style="2039" customWidth="1"/>
    <col min="6658" max="6894" width="14.7109375" style="2039"/>
    <col min="6895" max="6895" width="5.7109375" style="2039" customWidth="1"/>
    <col min="6896" max="6896" width="48.140625" style="2039" customWidth="1"/>
    <col min="6897" max="6897" width="9.7109375" style="2039" customWidth="1"/>
    <col min="6898" max="6898" width="1.7109375" style="2039" customWidth="1"/>
    <col min="6899" max="6899" width="11.7109375" style="2039" customWidth="1"/>
    <col min="6900" max="6900" width="5.7109375" style="2039" customWidth="1"/>
    <col min="6901" max="6901" width="12.28515625" style="2039" customWidth="1"/>
    <col min="6902" max="6902" width="1.7109375" style="2039" customWidth="1"/>
    <col min="6903" max="6903" width="11.85546875" style="2039" customWidth="1"/>
    <col min="6904" max="6904" width="3.28515625" style="2039" customWidth="1"/>
    <col min="6905" max="6905" width="11.42578125" style="2039" bestFit="1" customWidth="1"/>
    <col min="6906" max="6906" width="3.7109375" style="2039" customWidth="1"/>
    <col min="6907" max="6907" width="12" style="2039" customWidth="1"/>
    <col min="6908" max="6908" width="4.7109375" style="2039" customWidth="1"/>
    <col min="6909" max="6909" width="9.7109375" style="2039" customWidth="1"/>
    <col min="6910" max="6910" width="4.7109375" style="2039" customWidth="1"/>
    <col min="6911" max="6911" width="13.85546875" style="2039" customWidth="1"/>
    <col min="6912" max="6912" width="5.28515625" style="2039" customWidth="1"/>
    <col min="6913" max="6913" width="12.140625" style="2039" customWidth="1"/>
    <col min="6914" max="7150" width="14.7109375" style="2039"/>
    <col min="7151" max="7151" width="5.7109375" style="2039" customWidth="1"/>
    <col min="7152" max="7152" width="48.140625" style="2039" customWidth="1"/>
    <col min="7153" max="7153" width="9.7109375" style="2039" customWidth="1"/>
    <col min="7154" max="7154" width="1.7109375" style="2039" customWidth="1"/>
    <col min="7155" max="7155" width="11.7109375" style="2039" customWidth="1"/>
    <col min="7156" max="7156" width="5.7109375" style="2039" customWidth="1"/>
    <col min="7157" max="7157" width="12.28515625" style="2039" customWidth="1"/>
    <col min="7158" max="7158" width="1.7109375" style="2039" customWidth="1"/>
    <col min="7159" max="7159" width="11.85546875" style="2039" customWidth="1"/>
    <col min="7160" max="7160" width="3.28515625" style="2039" customWidth="1"/>
    <col min="7161" max="7161" width="11.42578125" style="2039" bestFit="1" customWidth="1"/>
    <col min="7162" max="7162" width="3.7109375" style="2039" customWidth="1"/>
    <col min="7163" max="7163" width="12" style="2039" customWidth="1"/>
    <col min="7164" max="7164" width="4.7109375" style="2039" customWidth="1"/>
    <col min="7165" max="7165" width="9.7109375" style="2039" customWidth="1"/>
    <col min="7166" max="7166" width="4.7109375" style="2039" customWidth="1"/>
    <col min="7167" max="7167" width="13.85546875" style="2039" customWidth="1"/>
    <col min="7168" max="7168" width="5.28515625" style="2039" customWidth="1"/>
    <col min="7169" max="7169" width="12.140625" style="2039" customWidth="1"/>
    <col min="7170" max="7406" width="14.7109375" style="2039"/>
    <col min="7407" max="7407" width="5.7109375" style="2039" customWidth="1"/>
    <col min="7408" max="7408" width="48.140625" style="2039" customWidth="1"/>
    <col min="7409" max="7409" width="9.7109375" style="2039" customWidth="1"/>
    <col min="7410" max="7410" width="1.7109375" style="2039" customWidth="1"/>
    <col min="7411" max="7411" width="11.7109375" style="2039" customWidth="1"/>
    <col min="7412" max="7412" width="5.7109375" style="2039" customWidth="1"/>
    <col min="7413" max="7413" width="12.28515625" style="2039" customWidth="1"/>
    <col min="7414" max="7414" width="1.7109375" style="2039" customWidth="1"/>
    <col min="7415" max="7415" width="11.85546875" style="2039" customWidth="1"/>
    <col min="7416" max="7416" width="3.28515625" style="2039" customWidth="1"/>
    <col min="7417" max="7417" width="11.42578125" style="2039" bestFit="1" customWidth="1"/>
    <col min="7418" max="7418" width="3.7109375" style="2039" customWidth="1"/>
    <col min="7419" max="7419" width="12" style="2039" customWidth="1"/>
    <col min="7420" max="7420" width="4.7109375" style="2039" customWidth="1"/>
    <col min="7421" max="7421" width="9.7109375" style="2039" customWidth="1"/>
    <col min="7422" max="7422" width="4.7109375" style="2039" customWidth="1"/>
    <col min="7423" max="7423" width="13.85546875" style="2039" customWidth="1"/>
    <col min="7424" max="7424" width="5.28515625" style="2039" customWidth="1"/>
    <col min="7425" max="7425" width="12.140625" style="2039" customWidth="1"/>
    <col min="7426" max="7662" width="14.7109375" style="2039"/>
    <col min="7663" max="7663" width="5.7109375" style="2039" customWidth="1"/>
    <col min="7664" max="7664" width="48.140625" style="2039" customWidth="1"/>
    <col min="7665" max="7665" width="9.7109375" style="2039" customWidth="1"/>
    <col min="7666" max="7666" width="1.7109375" style="2039" customWidth="1"/>
    <col min="7667" max="7667" width="11.7109375" style="2039" customWidth="1"/>
    <col min="7668" max="7668" width="5.7109375" style="2039" customWidth="1"/>
    <col min="7669" max="7669" width="12.28515625" style="2039" customWidth="1"/>
    <col min="7670" max="7670" width="1.7109375" style="2039" customWidth="1"/>
    <col min="7671" max="7671" width="11.85546875" style="2039" customWidth="1"/>
    <col min="7672" max="7672" width="3.28515625" style="2039" customWidth="1"/>
    <col min="7673" max="7673" width="11.42578125" style="2039" bestFit="1" customWidth="1"/>
    <col min="7674" max="7674" width="3.7109375" style="2039" customWidth="1"/>
    <col min="7675" max="7675" width="12" style="2039" customWidth="1"/>
    <col min="7676" max="7676" width="4.7109375" style="2039" customWidth="1"/>
    <col min="7677" max="7677" width="9.7109375" style="2039" customWidth="1"/>
    <col min="7678" max="7678" width="4.7109375" style="2039" customWidth="1"/>
    <col min="7679" max="7679" width="13.85546875" style="2039" customWidth="1"/>
    <col min="7680" max="7680" width="5.28515625" style="2039" customWidth="1"/>
    <col min="7681" max="7681" width="12.140625" style="2039" customWidth="1"/>
    <col min="7682" max="7918" width="14.7109375" style="2039"/>
    <col min="7919" max="7919" width="5.7109375" style="2039" customWidth="1"/>
    <col min="7920" max="7920" width="48.140625" style="2039" customWidth="1"/>
    <col min="7921" max="7921" width="9.7109375" style="2039" customWidth="1"/>
    <col min="7922" max="7922" width="1.7109375" style="2039" customWidth="1"/>
    <col min="7923" max="7923" width="11.7109375" style="2039" customWidth="1"/>
    <col min="7924" max="7924" width="5.7109375" style="2039" customWidth="1"/>
    <col min="7925" max="7925" width="12.28515625" style="2039" customWidth="1"/>
    <col min="7926" max="7926" width="1.7109375" style="2039" customWidth="1"/>
    <col min="7927" max="7927" width="11.85546875" style="2039" customWidth="1"/>
    <col min="7928" max="7928" width="3.28515625" style="2039" customWidth="1"/>
    <col min="7929" max="7929" width="11.42578125" style="2039" bestFit="1" customWidth="1"/>
    <col min="7930" max="7930" width="3.7109375" style="2039" customWidth="1"/>
    <col min="7931" max="7931" width="12" style="2039" customWidth="1"/>
    <col min="7932" max="7932" width="4.7109375" style="2039" customWidth="1"/>
    <col min="7933" max="7933" width="9.7109375" style="2039" customWidth="1"/>
    <col min="7934" max="7934" width="4.7109375" style="2039" customWidth="1"/>
    <col min="7935" max="7935" width="13.85546875" style="2039" customWidth="1"/>
    <col min="7936" max="7936" width="5.28515625" style="2039" customWidth="1"/>
    <col min="7937" max="7937" width="12.140625" style="2039" customWidth="1"/>
    <col min="7938" max="8174" width="14.7109375" style="2039"/>
    <col min="8175" max="8175" width="5.7109375" style="2039" customWidth="1"/>
    <col min="8176" max="8176" width="48.140625" style="2039" customWidth="1"/>
    <col min="8177" max="8177" width="9.7109375" style="2039" customWidth="1"/>
    <col min="8178" max="8178" width="1.7109375" style="2039" customWidth="1"/>
    <col min="8179" max="8179" width="11.7109375" style="2039" customWidth="1"/>
    <col min="8180" max="8180" width="5.7109375" style="2039" customWidth="1"/>
    <col min="8181" max="8181" width="12.28515625" style="2039" customWidth="1"/>
    <col min="8182" max="8182" width="1.7109375" style="2039" customWidth="1"/>
    <col min="8183" max="8183" width="11.85546875" style="2039" customWidth="1"/>
    <col min="8184" max="8184" width="3.28515625" style="2039" customWidth="1"/>
    <col min="8185" max="8185" width="11.42578125" style="2039" bestFit="1" customWidth="1"/>
    <col min="8186" max="8186" width="3.7109375" style="2039" customWidth="1"/>
    <col min="8187" max="8187" width="12" style="2039" customWidth="1"/>
    <col min="8188" max="8188" width="4.7109375" style="2039" customWidth="1"/>
    <col min="8189" max="8189" width="9.7109375" style="2039" customWidth="1"/>
    <col min="8190" max="8190" width="4.7109375" style="2039" customWidth="1"/>
    <col min="8191" max="8191" width="13.85546875" style="2039" customWidth="1"/>
    <col min="8192" max="8192" width="5.28515625" style="2039" customWidth="1"/>
    <col min="8193" max="8193" width="12.140625" style="2039" customWidth="1"/>
    <col min="8194" max="8430" width="14.7109375" style="2039"/>
    <col min="8431" max="8431" width="5.7109375" style="2039" customWidth="1"/>
    <col min="8432" max="8432" width="48.140625" style="2039" customWidth="1"/>
    <col min="8433" max="8433" width="9.7109375" style="2039" customWidth="1"/>
    <col min="8434" max="8434" width="1.7109375" style="2039" customWidth="1"/>
    <col min="8435" max="8435" width="11.7109375" style="2039" customWidth="1"/>
    <col min="8436" max="8436" width="5.7109375" style="2039" customWidth="1"/>
    <col min="8437" max="8437" width="12.28515625" style="2039" customWidth="1"/>
    <col min="8438" max="8438" width="1.7109375" style="2039" customWidth="1"/>
    <col min="8439" max="8439" width="11.85546875" style="2039" customWidth="1"/>
    <col min="8440" max="8440" width="3.28515625" style="2039" customWidth="1"/>
    <col min="8441" max="8441" width="11.42578125" style="2039" bestFit="1" customWidth="1"/>
    <col min="8442" max="8442" width="3.7109375" style="2039" customWidth="1"/>
    <col min="8443" max="8443" width="12" style="2039" customWidth="1"/>
    <col min="8444" max="8444" width="4.7109375" style="2039" customWidth="1"/>
    <col min="8445" max="8445" width="9.7109375" style="2039" customWidth="1"/>
    <col min="8446" max="8446" width="4.7109375" style="2039" customWidth="1"/>
    <col min="8447" max="8447" width="13.85546875" style="2039" customWidth="1"/>
    <col min="8448" max="8448" width="5.28515625" style="2039" customWidth="1"/>
    <col min="8449" max="8449" width="12.140625" style="2039" customWidth="1"/>
    <col min="8450" max="8686" width="14.7109375" style="2039"/>
    <col min="8687" max="8687" width="5.7109375" style="2039" customWidth="1"/>
    <col min="8688" max="8688" width="48.140625" style="2039" customWidth="1"/>
    <col min="8689" max="8689" width="9.7109375" style="2039" customWidth="1"/>
    <col min="8690" max="8690" width="1.7109375" style="2039" customWidth="1"/>
    <col min="8691" max="8691" width="11.7109375" style="2039" customWidth="1"/>
    <col min="8692" max="8692" width="5.7109375" style="2039" customWidth="1"/>
    <col min="8693" max="8693" width="12.28515625" style="2039" customWidth="1"/>
    <col min="8694" max="8694" width="1.7109375" style="2039" customWidth="1"/>
    <col min="8695" max="8695" width="11.85546875" style="2039" customWidth="1"/>
    <col min="8696" max="8696" width="3.28515625" style="2039" customWidth="1"/>
    <col min="8697" max="8697" width="11.42578125" style="2039" bestFit="1" customWidth="1"/>
    <col min="8698" max="8698" width="3.7109375" style="2039" customWidth="1"/>
    <col min="8699" max="8699" width="12" style="2039" customWidth="1"/>
    <col min="8700" max="8700" width="4.7109375" style="2039" customWidth="1"/>
    <col min="8701" max="8701" width="9.7109375" style="2039" customWidth="1"/>
    <col min="8702" max="8702" width="4.7109375" style="2039" customWidth="1"/>
    <col min="8703" max="8703" width="13.85546875" style="2039" customWidth="1"/>
    <col min="8704" max="8704" width="5.28515625" style="2039" customWidth="1"/>
    <col min="8705" max="8705" width="12.140625" style="2039" customWidth="1"/>
    <col min="8706" max="8942" width="14.7109375" style="2039"/>
    <col min="8943" max="8943" width="5.7109375" style="2039" customWidth="1"/>
    <col min="8944" max="8944" width="48.140625" style="2039" customWidth="1"/>
    <col min="8945" max="8945" width="9.7109375" style="2039" customWidth="1"/>
    <col min="8946" max="8946" width="1.7109375" style="2039" customWidth="1"/>
    <col min="8947" max="8947" width="11.7109375" style="2039" customWidth="1"/>
    <col min="8948" max="8948" width="5.7109375" style="2039" customWidth="1"/>
    <col min="8949" max="8949" width="12.28515625" style="2039" customWidth="1"/>
    <col min="8950" max="8950" width="1.7109375" style="2039" customWidth="1"/>
    <col min="8951" max="8951" width="11.85546875" style="2039" customWidth="1"/>
    <col min="8952" max="8952" width="3.28515625" style="2039" customWidth="1"/>
    <col min="8953" max="8953" width="11.42578125" style="2039" bestFit="1" customWidth="1"/>
    <col min="8954" max="8954" width="3.7109375" style="2039" customWidth="1"/>
    <col min="8955" max="8955" width="12" style="2039" customWidth="1"/>
    <col min="8956" max="8956" width="4.7109375" style="2039" customWidth="1"/>
    <col min="8957" max="8957" width="9.7109375" style="2039" customWidth="1"/>
    <col min="8958" max="8958" width="4.7109375" style="2039" customWidth="1"/>
    <col min="8959" max="8959" width="13.85546875" style="2039" customWidth="1"/>
    <col min="8960" max="8960" width="5.28515625" style="2039" customWidth="1"/>
    <col min="8961" max="8961" width="12.140625" style="2039" customWidth="1"/>
    <col min="8962" max="9198" width="14.7109375" style="2039"/>
    <col min="9199" max="9199" width="5.7109375" style="2039" customWidth="1"/>
    <col min="9200" max="9200" width="48.140625" style="2039" customWidth="1"/>
    <col min="9201" max="9201" width="9.7109375" style="2039" customWidth="1"/>
    <col min="9202" max="9202" width="1.7109375" style="2039" customWidth="1"/>
    <col min="9203" max="9203" width="11.7109375" style="2039" customWidth="1"/>
    <col min="9204" max="9204" width="5.7109375" style="2039" customWidth="1"/>
    <col min="9205" max="9205" width="12.28515625" style="2039" customWidth="1"/>
    <col min="9206" max="9206" width="1.7109375" style="2039" customWidth="1"/>
    <col min="9207" max="9207" width="11.85546875" style="2039" customWidth="1"/>
    <col min="9208" max="9208" width="3.28515625" style="2039" customWidth="1"/>
    <col min="9209" max="9209" width="11.42578125" style="2039" bestFit="1" customWidth="1"/>
    <col min="9210" max="9210" width="3.7109375" style="2039" customWidth="1"/>
    <col min="9211" max="9211" width="12" style="2039" customWidth="1"/>
    <col min="9212" max="9212" width="4.7109375" style="2039" customWidth="1"/>
    <col min="9213" max="9213" width="9.7109375" style="2039" customWidth="1"/>
    <col min="9214" max="9214" width="4.7109375" style="2039" customWidth="1"/>
    <col min="9215" max="9215" width="13.85546875" style="2039" customWidth="1"/>
    <col min="9216" max="9216" width="5.28515625" style="2039" customWidth="1"/>
    <col min="9217" max="9217" width="12.140625" style="2039" customWidth="1"/>
    <col min="9218" max="9454" width="14.7109375" style="2039"/>
    <col min="9455" max="9455" width="5.7109375" style="2039" customWidth="1"/>
    <col min="9456" max="9456" width="48.140625" style="2039" customWidth="1"/>
    <col min="9457" max="9457" width="9.7109375" style="2039" customWidth="1"/>
    <col min="9458" max="9458" width="1.7109375" style="2039" customWidth="1"/>
    <col min="9459" max="9459" width="11.7109375" style="2039" customWidth="1"/>
    <col min="9460" max="9460" width="5.7109375" style="2039" customWidth="1"/>
    <col min="9461" max="9461" width="12.28515625" style="2039" customWidth="1"/>
    <col min="9462" max="9462" width="1.7109375" style="2039" customWidth="1"/>
    <col min="9463" max="9463" width="11.85546875" style="2039" customWidth="1"/>
    <col min="9464" max="9464" width="3.28515625" style="2039" customWidth="1"/>
    <col min="9465" max="9465" width="11.42578125" style="2039" bestFit="1" customWidth="1"/>
    <col min="9466" max="9466" width="3.7109375" style="2039" customWidth="1"/>
    <col min="9467" max="9467" width="12" style="2039" customWidth="1"/>
    <col min="9468" max="9468" width="4.7109375" style="2039" customWidth="1"/>
    <col min="9469" max="9469" width="9.7109375" style="2039" customWidth="1"/>
    <col min="9470" max="9470" width="4.7109375" style="2039" customWidth="1"/>
    <col min="9471" max="9471" width="13.85546875" style="2039" customWidth="1"/>
    <col min="9472" max="9472" width="5.28515625" style="2039" customWidth="1"/>
    <col min="9473" max="9473" width="12.140625" style="2039" customWidth="1"/>
    <col min="9474" max="9710" width="14.7109375" style="2039"/>
    <col min="9711" max="9711" width="5.7109375" style="2039" customWidth="1"/>
    <col min="9712" max="9712" width="48.140625" style="2039" customWidth="1"/>
    <col min="9713" max="9713" width="9.7109375" style="2039" customWidth="1"/>
    <col min="9714" max="9714" width="1.7109375" style="2039" customWidth="1"/>
    <col min="9715" max="9715" width="11.7109375" style="2039" customWidth="1"/>
    <col min="9716" max="9716" width="5.7109375" style="2039" customWidth="1"/>
    <col min="9717" max="9717" width="12.28515625" style="2039" customWidth="1"/>
    <col min="9718" max="9718" width="1.7109375" style="2039" customWidth="1"/>
    <col min="9719" max="9719" width="11.85546875" style="2039" customWidth="1"/>
    <col min="9720" max="9720" width="3.28515625" style="2039" customWidth="1"/>
    <col min="9721" max="9721" width="11.42578125" style="2039" bestFit="1" customWidth="1"/>
    <col min="9722" max="9722" width="3.7109375" style="2039" customWidth="1"/>
    <col min="9723" max="9723" width="12" style="2039" customWidth="1"/>
    <col min="9724" max="9724" width="4.7109375" style="2039" customWidth="1"/>
    <col min="9725" max="9725" width="9.7109375" style="2039" customWidth="1"/>
    <col min="9726" max="9726" width="4.7109375" style="2039" customWidth="1"/>
    <col min="9727" max="9727" width="13.85546875" style="2039" customWidth="1"/>
    <col min="9728" max="9728" width="5.28515625" style="2039" customWidth="1"/>
    <col min="9729" max="9729" width="12.140625" style="2039" customWidth="1"/>
    <col min="9730" max="9966" width="14.7109375" style="2039"/>
    <col min="9967" max="9967" width="5.7109375" style="2039" customWidth="1"/>
    <col min="9968" max="9968" width="48.140625" style="2039" customWidth="1"/>
    <col min="9969" max="9969" width="9.7109375" style="2039" customWidth="1"/>
    <col min="9970" max="9970" width="1.7109375" style="2039" customWidth="1"/>
    <col min="9971" max="9971" width="11.7109375" style="2039" customWidth="1"/>
    <col min="9972" max="9972" width="5.7109375" style="2039" customWidth="1"/>
    <col min="9973" max="9973" width="12.28515625" style="2039" customWidth="1"/>
    <col min="9974" max="9974" width="1.7109375" style="2039" customWidth="1"/>
    <col min="9975" max="9975" width="11.85546875" style="2039" customWidth="1"/>
    <col min="9976" max="9976" width="3.28515625" style="2039" customWidth="1"/>
    <col min="9977" max="9977" width="11.42578125" style="2039" bestFit="1" customWidth="1"/>
    <col min="9978" max="9978" width="3.7109375" style="2039" customWidth="1"/>
    <col min="9979" max="9979" width="12" style="2039" customWidth="1"/>
    <col min="9980" max="9980" width="4.7109375" style="2039" customWidth="1"/>
    <col min="9981" max="9981" width="9.7109375" style="2039" customWidth="1"/>
    <col min="9982" max="9982" width="4.7109375" style="2039" customWidth="1"/>
    <col min="9983" max="9983" width="13.85546875" style="2039" customWidth="1"/>
    <col min="9984" max="9984" width="5.28515625" style="2039" customWidth="1"/>
    <col min="9985" max="9985" width="12.140625" style="2039" customWidth="1"/>
    <col min="9986" max="10222" width="14.7109375" style="2039"/>
    <col min="10223" max="10223" width="5.7109375" style="2039" customWidth="1"/>
    <col min="10224" max="10224" width="48.140625" style="2039" customWidth="1"/>
    <col min="10225" max="10225" width="9.7109375" style="2039" customWidth="1"/>
    <col min="10226" max="10226" width="1.7109375" style="2039" customWidth="1"/>
    <col min="10227" max="10227" width="11.7109375" style="2039" customWidth="1"/>
    <col min="10228" max="10228" width="5.7109375" style="2039" customWidth="1"/>
    <col min="10229" max="10229" width="12.28515625" style="2039" customWidth="1"/>
    <col min="10230" max="10230" width="1.7109375" style="2039" customWidth="1"/>
    <col min="10231" max="10231" width="11.85546875" style="2039" customWidth="1"/>
    <col min="10232" max="10232" width="3.28515625" style="2039" customWidth="1"/>
    <col min="10233" max="10233" width="11.42578125" style="2039" bestFit="1" customWidth="1"/>
    <col min="10234" max="10234" width="3.7109375" style="2039" customWidth="1"/>
    <col min="10235" max="10235" width="12" style="2039" customWidth="1"/>
    <col min="10236" max="10236" width="4.7109375" style="2039" customWidth="1"/>
    <col min="10237" max="10237" width="9.7109375" style="2039" customWidth="1"/>
    <col min="10238" max="10238" width="4.7109375" style="2039" customWidth="1"/>
    <col min="10239" max="10239" width="13.85546875" style="2039" customWidth="1"/>
    <col min="10240" max="10240" width="5.28515625" style="2039" customWidth="1"/>
    <col min="10241" max="10241" width="12.140625" style="2039" customWidth="1"/>
    <col min="10242" max="10478" width="14.7109375" style="2039"/>
    <col min="10479" max="10479" width="5.7109375" style="2039" customWidth="1"/>
    <col min="10480" max="10480" width="48.140625" style="2039" customWidth="1"/>
    <col min="10481" max="10481" width="9.7109375" style="2039" customWidth="1"/>
    <col min="10482" max="10482" width="1.7109375" style="2039" customWidth="1"/>
    <col min="10483" max="10483" width="11.7109375" style="2039" customWidth="1"/>
    <col min="10484" max="10484" width="5.7109375" style="2039" customWidth="1"/>
    <col min="10485" max="10485" width="12.28515625" style="2039" customWidth="1"/>
    <col min="10486" max="10486" width="1.7109375" style="2039" customWidth="1"/>
    <col min="10487" max="10487" width="11.85546875" style="2039" customWidth="1"/>
    <col min="10488" max="10488" width="3.28515625" style="2039" customWidth="1"/>
    <col min="10489" max="10489" width="11.42578125" style="2039" bestFit="1" customWidth="1"/>
    <col min="10490" max="10490" width="3.7109375" style="2039" customWidth="1"/>
    <col min="10491" max="10491" width="12" style="2039" customWidth="1"/>
    <col min="10492" max="10492" width="4.7109375" style="2039" customWidth="1"/>
    <col min="10493" max="10493" width="9.7109375" style="2039" customWidth="1"/>
    <col min="10494" max="10494" width="4.7109375" style="2039" customWidth="1"/>
    <col min="10495" max="10495" width="13.85546875" style="2039" customWidth="1"/>
    <col min="10496" max="10496" width="5.28515625" style="2039" customWidth="1"/>
    <col min="10497" max="10497" width="12.140625" style="2039" customWidth="1"/>
    <col min="10498" max="10734" width="14.7109375" style="2039"/>
    <col min="10735" max="10735" width="5.7109375" style="2039" customWidth="1"/>
    <col min="10736" max="10736" width="48.140625" style="2039" customWidth="1"/>
    <col min="10737" max="10737" width="9.7109375" style="2039" customWidth="1"/>
    <col min="10738" max="10738" width="1.7109375" style="2039" customWidth="1"/>
    <col min="10739" max="10739" width="11.7109375" style="2039" customWidth="1"/>
    <col min="10740" max="10740" width="5.7109375" style="2039" customWidth="1"/>
    <col min="10741" max="10741" width="12.28515625" style="2039" customWidth="1"/>
    <col min="10742" max="10742" width="1.7109375" style="2039" customWidth="1"/>
    <col min="10743" max="10743" width="11.85546875" style="2039" customWidth="1"/>
    <col min="10744" max="10744" width="3.28515625" style="2039" customWidth="1"/>
    <col min="10745" max="10745" width="11.42578125" style="2039" bestFit="1" customWidth="1"/>
    <col min="10746" max="10746" width="3.7109375" style="2039" customWidth="1"/>
    <col min="10747" max="10747" width="12" style="2039" customWidth="1"/>
    <col min="10748" max="10748" width="4.7109375" style="2039" customWidth="1"/>
    <col min="10749" max="10749" width="9.7109375" style="2039" customWidth="1"/>
    <col min="10750" max="10750" width="4.7109375" style="2039" customWidth="1"/>
    <col min="10751" max="10751" width="13.85546875" style="2039" customWidth="1"/>
    <col min="10752" max="10752" width="5.28515625" style="2039" customWidth="1"/>
    <col min="10753" max="10753" width="12.140625" style="2039" customWidth="1"/>
    <col min="10754" max="10990" width="14.7109375" style="2039"/>
    <col min="10991" max="10991" width="5.7109375" style="2039" customWidth="1"/>
    <col min="10992" max="10992" width="48.140625" style="2039" customWidth="1"/>
    <col min="10993" max="10993" width="9.7109375" style="2039" customWidth="1"/>
    <col min="10994" max="10994" width="1.7109375" style="2039" customWidth="1"/>
    <col min="10995" max="10995" width="11.7109375" style="2039" customWidth="1"/>
    <col min="10996" max="10996" width="5.7109375" style="2039" customWidth="1"/>
    <col min="10997" max="10997" width="12.28515625" style="2039" customWidth="1"/>
    <col min="10998" max="10998" width="1.7109375" style="2039" customWidth="1"/>
    <col min="10999" max="10999" width="11.85546875" style="2039" customWidth="1"/>
    <col min="11000" max="11000" width="3.28515625" style="2039" customWidth="1"/>
    <col min="11001" max="11001" width="11.42578125" style="2039" bestFit="1" customWidth="1"/>
    <col min="11002" max="11002" width="3.7109375" style="2039" customWidth="1"/>
    <col min="11003" max="11003" width="12" style="2039" customWidth="1"/>
    <col min="11004" max="11004" width="4.7109375" style="2039" customWidth="1"/>
    <col min="11005" max="11005" width="9.7109375" style="2039" customWidth="1"/>
    <col min="11006" max="11006" width="4.7109375" style="2039" customWidth="1"/>
    <col min="11007" max="11007" width="13.85546875" style="2039" customWidth="1"/>
    <col min="11008" max="11008" width="5.28515625" style="2039" customWidth="1"/>
    <col min="11009" max="11009" width="12.140625" style="2039" customWidth="1"/>
    <col min="11010" max="11246" width="14.7109375" style="2039"/>
    <col min="11247" max="11247" width="5.7109375" style="2039" customWidth="1"/>
    <col min="11248" max="11248" width="48.140625" style="2039" customWidth="1"/>
    <col min="11249" max="11249" width="9.7109375" style="2039" customWidth="1"/>
    <col min="11250" max="11250" width="1.7109375" style="2039" customWidth="1"/>
    <col min="11251" max="11251" width="11.7109375" style="2039" customWidth="1"/>
    <col min="11252" max="11252" width="5.7109375" style="2039" customWidth="1"/>
    <col min="11253" max="11253" width="12.28515625" style="2039" customWidth="1"/>
    <col min="11254" max="11254" width="1.7109375" style="2039" customWidth="1"/>
    <col min="11255" max="11255" width="11.85546875" style="2039" customWidth="1"/>
    <col min="11256" max="11256" width="3.28515625" style="2039" customWidth="1"/>
    <col min="11257" max="11257" width="11.42578125" style="2039" bestFit="1" customWidth="1"/>
    <col min="11258" max="11258" width="3.7109375" style="2039" customWidth="1"/>
    <col min="11259" max="11259" width="12" style="2039" customWidth="1"/>
    <col min="11260" max="11260" width="4.7109375" style="2039" customWidth="1"/>
    <col min="11261" max="11261" width="9.7109375" style="2039" customWidth="1"/>
    <col min="11262" max="11262" width="4.7109375" style="2039" customWidth="1"/>
    <col min="11263" max="11263" width="13.85546875" style="2039" customWidth="1"/>
    <col min="11264" max="11264" width="5.28515625" style="2039" customWidth="1"/>
    <col min="11265" max="11265" width="12.140625" style="2039" customWidth="1"/>
    <col min="11266" max="11502" width="14.7109375" style="2039"/>
    <col min="11503" max="11503" width="5.7109375" style="2039" customWidth="1"/>
    <col min="11504" max="11504" width="48.140625" style="2039" customWidth="1"/>
    <col min="11505" max="11505" width="9.7109375" style="2039" customWidth="1"/>
    <col min="11506" max="11506" width="1.7109375" style="2039" customWidth="1"/>
    <col min="11507" max="11507" width="11.7109375" style="2039" customWidth="1"/>
    <col min="11508" max="11508" width="5.7109375" style="2039" customWidth="1"/>
    <col min="11509" max="11509" width="12.28515625" style="2039" customWidth="1"/>
    <col min="11510" max="11510" width="1.7109375" style="2039" customWidth="1"/>
    <col min="11511" max="11511" width="11.85546875" style="2039" customWidth="1"/>
    <col min="11512" max="11512" width="3.28515625" style="2039" customWidth="1"/>
    <col min="11513" max="11513" width="11.42578125" style="2039" bestFit="1" customWidth="1"/>
    <col min="11514" max="11514" width="3.7109375" style="2039" customWidth="1"/>
    <col min="11515" max="11515" width="12" style="2039" customWidth="1"/>
    <col min="11516" max="11516" width="4.7109375" style="2039" customWidth="1"/>
    <col min="11517" max="11517" width="9.7109375" style="2039" customWidth="1"/>
    <col min="11518" max="11518" width="4.7109375" style="2039" customWidth="1"/>
    <col min="11519" max="11519" width="13.85546875" style="2039" customWidth="1"/>
    <col min="11520" max="11520" width="5.28515625" style="2039" customWidth="1"/>
    <col min="11521" max="11521" width="12.140625" style="2039" customWidth="1"/>
    <col min="11522" max="11758" width="14.7109375" style="2039"/>
    <col min="11759" max="11759" width="5.7109375" style="2039" customWidth="1"/>
    <col min="11760" max="11760" width="48.140625" style="2039" customWidth="1"/>
    <col min="11761" max="11761" width="9.7109375" style="2039" customWidth="1"/>
    <col min="11762" max="11762" width="1.7109375" style="2039" customWidth="1"/>
    <col min="11763" max="11763" width="11.7109375" style="2039" customWidth="1"/>
    <col min="11764" max="11764" width="5.7109375" style="2039" customWidth="1"/>
    <col min="11765" max="11765" width="12.28515625" style="2039" customWidth="1"/>
    <col min="11766" max="11766" width="1.7109375" style="2039" customWidth="1"/>
    <col min="11767" max="11767" width="11.85546875" style="2039" customWidth="1"/>
    <col min="11768" max="11768" width="3.28515625" style="2039" customWidth="1"/>
    <col min="11769" max="11769" width="11.42578125" style="2039" bestFit="1" customWidth="1"/>
    <col min="11770" max="11770" width="3.7109375" style="2039" customWidth="1"/>
    <col min="11771" max="11771" width="12" style="2039" customWidth="1"/>
    <col min="11772" max="11772" width="4.7109375" style="2039" customWidth="1"/>
    <col min="11773" max="11773" width="9.7109375" style="2039" customWidth="1"/>
    <col min="11774" max="11774" width="4.7109375" style="2039" customWidth="1"/>
    <col min="11775" max="11775" width="13.85546875" style="2039" customWidth="1"/>
    <col min="11776" max="11776" width="5.28515625" style="2039" customWidth="1"/>
    <col min="11777" max="11777" width="12.140625" style="2039" customWidth="1"/>
    <col min="11778" max="12014" width="14.7109375" style="2039"/>
    <col min="12015" max="12015" width="5.7109375" style="2039" customWidth="1"/>
    <col min="12016" max="12016" width="48.140625" style="2039" customWidth="1"/>
    <col min="12017" max="12017" width="9.7109375" style="2039" customWidth="1"/>
    <col min="12018" max="12018" width="1.7109375" style="2039" customWidth="1"/>
    <col min="12019" max="12019" width="11.7109375" style="2039" customWidth="1"/>
    <col min="12020" max="12020" width="5.7109375" style="2039" customWidth="1"/>
    <col min="12021" max="12021" width="12.28515625" style="2039" customWidth="1"/>
    <col min="12022" max="12022" width="1.7109375" style="2039" customWidth="1"/>
    <col min="12023" max="12023" width="11.85546875" style="2039" customWidth="1"/>
    <col min="12024" max="12024" width="3.28515625" style="2039" customWidth="1"/>
    <col min="12025" max="12025" width="11.42578125" style="2039" bestFit="1" customWidth="1"/>
    <col min="12026" max="12026" width="3.7109375" style="2039" customWidth="1"/>
    <col min="12027" max="12027" width="12" style="2039" customWidth="1"/>
    <col min="12028" max="12028" width="4.7109375" style="2039" customWidth="1"/>
    <col min="12029" max="12029" width="9.7109375" style="2039" customWidth="1"/>
    <col min="12030" max="12030" width="4.7109375" style="2039" customWidth="1"/>
    <col min="12031" max="12031" width="13.85546875" style="2039" customWidth="1"/>
    <col min="12032" max="12032" width="5.28515625" style="2039" customWidth="1"/>
    <col min="12033" max="12033" width="12.140625" style="2039" customWidth="1"/>
    <col min="12034" max="12270" width="14.7109375" style="2039"/>
    <col min="12271" max="12271" width="5.7109375" style="2039" customWidth="1"/>
    <col min="12272" max="12272" width="48.140625" style="2039" customWidth="1"/>
    <col min="12273" max="12273" width="9.7109375" style="2039" customWidth="1"/>
    <col min="12274" max="12274" width="1.7109375" style="2039" customWidth="1"/>
    <col min="12275" max="12275" width="11.7109375" style="2039" customWidth="1"/>
    <col min="12276" max="12276" width="5.7109375" style="2039" customWidth="1"/>
    <col min="12277" max="12277" width="12.28515625" style="2039" customWidth="1"/>
    <col min="12278" max="12278" width="1.7109375" style="2039" customWidth="1"/>
    <col min="12279" max="12279" width="11.85546875" style="2039" customWidth="1"/>
    <col min="12280" max="12280" width="3.28515625" style="2039" customWidth="1"/>
    <col min="12281" max="12281" width="11.42578125" style="2039" bestFit="1" customWidth="1"/>
    <col min="12282" max="12282" width="3.7109375" style="2039" customWidth="1"/>
    <col min="12283" max="12283" width="12" style="2039" customWidth="1"/>
    <col min="12284" max="12284" width="4.7109375" style="2039" customWidth="1"/>
    <col min="12285" max="12285" width="9.7109375" style="2039" customWidth="1"/>
    <col min="12286" max="12286" width="4.7109375" style="2039" customWidth="1"/>
    <col min="12287" max="12287" width="13.85546875" style="2039" customWidth="1"/>
    <col min="12288" max="12288" width="5.28515625" style="2039" customWidth="1"/>
    <col min="12289" max="12289" width="12.140625" style="2039" customWidth="1"/>
    <col min="12290" max="12526" width="14.7109375" style="2039"/>
    <col min="12527" max="12527" width="5.7109375" style="2039" customWidth="1"/>
    <col min="12528" max="12528" width="48.140625" style="2039" customWidth="1"/>
    <col min="12529" max="12529" width="9.7109375" style="2039" customWidth="1"/>
    <col min="12530" max="12530" width="1.7109375" style="2039" customWidth="1"/>
    <col min="12531" max="12531" width="11.7109375" style="2039" customWidth="1"/>
    <col min="12532" max="12532" width="5.7109375" style="2039" customWidth="1"/>
    <col min="12533" max="12533" width="12.28515625" style="2039" customWidth="1"/>
    <col min="12534" max="12534" width="1.7109375" style="2039" customWidth="1"/>
    <col min="12535" max="12535" width="11.85546875" style="2039" customWidth="1"/>
    <col min="12536" max="12536" width="3.28515625" style="2039" customWidth="1"/>
    <col min="12537" max="12537" width="11.42578125" style="2039" bestFit="1" customWidth="1"/>
    <col min="12538" max="12538" width="3.7109375" style="2039" customWidth="1"/>
    <col min="12539" max="12539" width="12" style="2039" customWidth="1"/>
    <col min="12540" max="12540" width="4.7109375" style="2039" customWidth="1"/>
    <col min="12541" max="12541" width="9.7109375" style="2039" customWidth="1"/>
    <col min="12542" max="12542" width="4.7109375" style="2039" customWidth="1"/>
    <col min="12543" max="12543" width="13.85546875" style="2039" customWidth="1"/>
    <col min="12544" max="12544" width="5.28515625" style="2039" customWidth="1"/>
    <col min="12545" max="12545" width="12.140625" style="2039" customWidth="1"/>
    <col min="12546" max="12782" width="14.7109375" style="2039"/>
    <col min="12783" max="12783" width="5.7109375" style="2039" customWidth="1"/>
    <col min="12784" max="12784" width="48.140625" style="2039" customWidth="1"/>
    <col min="12785" max="12785" width="9.7109375" style="2039" customWidth="1"/>
    <col min="12786" max="12786" width="1.7109375" style="2039" customWidth="1"/>
    <col min="12787" max="12787" width="11.7109375" style="2039" customWidth="1"/>
    <col min="12788" max="12788" width="5.7109375" style="2039" customWidth="1"/>
    <col min="12789" max="12789" width="12.28515625" style="2039" customWidth="1"/>
    <col min="12790" max="12790" width="1.7109375" style="2039" customWidth="1"/>
    <col min="12791" max="12791" width="11.85546875" style="2039" customWidth="1"/>
    <col min="12792" max="12792" width="3.28515625" style="2039" customWidth="1"/>
    <col min="12793" max="12793" width="11.42578125" style="2039" bestFit="1" customWidth="1"/>
    <col min="12794" max="12794" width="3.7109375" style="2039" customWidth="1"/>
    <col min="12795" max="12795" width="12" style="2039" customWidth="1"/>
    <col min="12796" max="12796" width="4.7109375" style="2039" customWidth="1"/>
    <col min="12797" max="12797" width="9.7109375" style="2039" customWidth="1"/>
    <col min="12798" max="12798" width="4.7109375" style="2039" customWidth="1"/>
    <col min="12799" max="12799" width="13.85546875" style="2039" customWidth="1"/>
    <col min="12800" max="12800" width="5.28515625" style="2039" customWidth="1"/>
    <col min="12801" max="12801" width="12.140625" style="2039" customWidth="1"/>
    <col min="12802" max="13038" width="14.7109375" style="2039"/>
    <col min="13039" max="13039" width="5.7109375" style="2039" customWidth="1"/>
    <col min="13040" max="13040" width="48.140625" style="2039" customWidth="1"/>
    <col min="13041" max="13041" width="9.7109375" style="2039" customWidth="1"/>
    <col min="13042" max="13042" width="1.7109375" style="2039" customWidth="1"/>
    <col min="13043" max="13043" width="11.7109375" style="2039" customWidth="1"/>
    <col min="13044" max="13044" width="5.7109375" style="2039" customWidth="1"/>
    <col min="13045" max="13045" width="12.28515625" style="2039" customWidth="1"/>
    <col min="13046" max="13046" width="1.7109375" style="2039" customWidth="1"/>
    <col min="13047" max="13047" width="11.85546875" style="2039" customWidth="1"/>
    <col min="13048" max="13048" width="3.28515625" style="2039" customWidth="1"/>
    <col min="13049" max="13049" width="11.42578125" style="2039" bestFit="1" customWidth="1"/>
    <col min="13050" max="13050" width="3.7109375" style="2039" customWidth="1"/>
    <col min="13051" max="13051" width="12" style="2039" customWidth="1"/>
    <col min="13052" max="13052" width="4.7109375" style="2039" customWidth="1"/>
    <col min="13053" max="13053" width="9.7109375" style="2039" customWidth="1"/>
    <col min="13054" max="13054" width="4.7109375" style="2039" customWidth="1"/>
    <col min="13055" max="13055" width="13.85546875" style="2039" customWidth="1"/>
    <col min="13056" max="13056" width="5.28515625" style="2039" customWidth="1"/>
    <col min="13057" max="13057" width="12.140625" style="2039" customWidth="1"/>
    <col min="13058" max="13294" width="14.7109375" style="2039"/>
    <col min="13295" max="13295" width="5.7109375" style="2039" customWidth="1"/>
    <col min="13296" max="13296" width="48.140625" style="2039" customWidth="1"/>
    <col min="13297" max="13297" width="9.7109375" style="2039" customWidth="1"/>
    <col min="13298" max="13298" width="1.7109375" style="2039" customWidth="1"/>
    <col min="13299" max="13299" width="11.7109375" style="2039" customWidth="1"/>
    <col min="13300" max="13300" width="5.7109375" style="2039" customWidth="1"/>
    <col min="13301" max="13301" width="12.28515625" style="2039" customWidth="1"/>
    <col min="13302" max="13302" width="1.7109375" style="2039" customWidth="1"/>
    <col min="13303" max="13303" width="11.85546875" style="2039" customWidth="1"/>
    <col min="13304" max="13304" width="3.28515625" style="2039" customWidth="1"/>
    <col min="13305" max="13305" width="11.42578125" style="2039" bestFit="1" customWidth="1"/>
    <col min="13306" max="13306" width="3.7109375" style="2039" customWidth="1"/>
    <col min="13307" max="13307" width="12" style="2039" customWidth="1"/>
    <col min="13308" max="13308" width="4.7109375" style="2039" customWidth="1"/>
    <col min="13309" max="13309" width="9.7109375" style="2039" customWidth="1"/>
    <col min="13310" max="13310" width="4.7109375" style="2039" customWidth="1"/>
    <col min="13311" max="13311" width="13.85546875" style="2039" customWidth="1"/>
    <col min="13312" max="13312" width="5.28515625" style="2039" customWidth="1"/>
    <col min="13313" max="13313" width="12.140625" style="2039" customWidth="1"/>
    <col min="13314" max="13550" width="14.7109375" style="2039"/>
    <col min="13551" max="13551" width="5.7109375" style="2039" customWidth="1"/>
    <col min="13552" max="13552" width="48.140625" style="2039" customWidth="1"/>
    <col min="13553" max="13553" width="9.7109375" style="2039" customWidth="1"/>
    <col min="13554" max="13554" width="1.7109375" style="2039" customWidth="1"/>
    <col min="13555" max="13555" width="11.7109375" style="2039" customWidth="1"/>
    <col min="13556" max="13556" width="5.7109375" style="2039" customWidth="1"/>
    <col min="13557" max="13557" width="12.28515625" style="2039" customWidth="1"/>
    <col min="13558" max="13558" width="1.7109375" style="2039" customWidth="1"/>
    <col min="13559" max="13559" width="11.85546875" style="2039" customWidth="1"/>
    <col min="13560" max="13560" width="3.28515625" style="2039" customWidth="1"/>
    <col min="13561" max="13561" width="11.42578125" style="2039" bestFit="1" customWidth="1"/>
    <col min="13562" max="13562" width="3.7109375" style="2039" customWidth="1"/>
    <col min="13563" max="13563" width="12" style="2039" customWidth="1"/>
    <col min="13564" max="13564" width="4.7109375" style="2039" customWidth="1"/>
    <col min="13565" max="13565" width="9.7109375" style="2039" customWidth="1"/>
    <col min="13566" max="13566" width="4.7109375" style="2039" customWidth="1"/>
    <col min="13567" max="13567" width="13.85546875" style="2039" customWidth="1"/>
    <col min="13568" max="13568" width="5.28515625" style="2039" customWidth="1"/>
    <col min="13569" max="13569" width="12.140625" style="2039" customWidth="1"/>
    <col min="13570" max="13806" width="14.7109375" style="2039"/>
    <col min="13807" max="13807" width="5.7109375" style="2039" customWidth="1"/>
    <col min="13808" max="13808" width="48.140625" style="2039" customWidth="1"/>
    <col min="13809" max="13809" width="9.7109375" style="2039" customWidth="1"/>
    <col min="13810" max="13810" width="1.7109375" style="2039" customWidth="1"/>
    <col min="13811" max="13811" width="11.7109375" style="2039" customWidth="1"/>
    <col min="13812" max="13812" width="5.7109375" style="2039" customWidth="1"/>
    <col min="13813" max="13813" width="12.28515625" style="2039" customWidth="1"/>
    <col min="13814" max="13814" width="1.7109375" style="2039" customWidth="1"/>
    <col min="13815" max="13815" width="11.85546875" style="2039" customWidth="1"/>
    <col min="13816" max="13816" width="3.28515625" style="2039" customWidth="1"/>
    <col min="13817" max="13817" width="11.42578125" style="2039" bestFit="1" customWidth="1"/>
    <col min="13818" max="13818" width="3.7109375" style="2039" customWidth="1"/>
    <col min="13819" max="13819" width="12" style="2039" customWidth="1"/>
    <col min="13820" max="13820" width="4.7109375" style="2039" customWidth="1"/>
    <col min="13821" max="13821" width="9.7109375" style="2039" customWidth="1"/>
    <col min="13822" max="13822" width="4.7109375" style="2039" customWidth="1"/>
    <col min="13823" max="13823" width="13.85546875" style="2039" customWidth="1"/>
    <col min="13824" max="13824" width="5.28515625" style="2039" customWidth="1"/>
    <col min="13825" max="13825" width="12.140625" style="2039" customWidth="1"/>
    <col min="13826" max="14062" width="14.7109375" style="2039"/>
    <col min="14063" max="14063" width="5.7109375" style="2039" customWidth="1"/>
    <col min="14064" max="14064" width="48.140625" style="2039" customWidth="1"/>
    <col min="14065" max="14065" width="9.7109375" style="2039" customWidth="1"/>
    <col min="14066" max="14066" width="1.7109375" style="2039" customWidth="1"/>
    <col min="14067" max="14067" width="11.7109375" style="2039" customWidth="1"/>
    <col min="14068" max="14068" width="5.7109375" style="2039" customWidth="1"/>
    <col min="14069" max="14069" width="12.28515625" style="2039" customWidth="1"/>
    <col min="14070" max="14070" width="1.7109375" style="2039" customWidth="1"/>
    <col min="14071" max="14071" width="11.85546875" style="2039" customWidth="1"/>
    <col min="14072" max="14072" width="3.28515625" style="2039" customWidth="1"/>
    <col min="14073" max="14073" width="11.42578125" style="2039" bestFit="1" customWidth="1"/>
    <col min="14074" max="14074" width="3.7109375" style="2039" customWidth="1"/>
    <col min="14075" max="14075" width="12" style="2039" customWidth="1"/>
    <col min="14076" max="14076" width="4.7109375" style="2039" customWidth="1"/>
    <col min="14077" max="14077" width="9.7109375" style="2039" customWidth="1"/>
    <col min="14078" max="14078" width="4.7109375" style="2039" customWidth="1"/>
    <col min="14079" max="14079" width="13.85546875" style="2039" customWidth="1"/>
    <col min="14080" max="14080" width="5.28515625" style="2039" customWidth="1"/>
    <col min="14081" max="14081" width="12.140625" style="2039" customWidth="1"/>
    <col min="14082" max="14318" width="14.7109375" style="2039"/>
    <col min="14319" max="14319" width="5.7109375" style="2039" customWidth="1"/>
    <col min="14320" max="14320" width="48.140625" style="2039" customWidth="1"/>
    <col min="14321" max="14321" width="9.7109375" style="2039" customWidth="1"/>
    <col min="14322" max="14322" width="1.7109375" style="2039" customWidth="1"/>
    <col min="14323" max="14323" width="11.7109375" style="2039" customWidth="1"/>
    <col min="14324" max="14324" width="5.7109375" style="2039" customWidth="1"/>
    <col min="14325" max="14325" width="12.28515625" style="2039" customWidth="1"/>
    <col min="14326" max="14326" width="1.7109375" style="2039" customWidth="1"/>
    <col min="14327" max="14327" width="11.85546875" style="2039" customWidth="1"/>
    <col min="14328" max="14328" width="3.28515625" style="2039" customWidth="1"/>
    <col min="14329" max="14329" width="11.42578125" style="2039" bestFit="1" customWidth="1"/>
    <col min="14330" max="14330" width="3.7109375" style="2039" customWidth="1"/>
    <col min="14331" max="14331" width="12" style="2039" customWidth="1"/>
    <col min="14332" max="14332" width="4.7109375" style="2039" customWidth="1"/>
    <col min="14333" max="14333" width="9.7109375" style="2039" customWidth="1"/>
    <col min="14334" max="14334" width="4.7109375" style="2039" customWidth="1"/>
    <col min="14335" max="14335" width="13.85546875" style="2039" customWidth="1"/>
    <col min="14336" max="14336" width="5.28515625" style="2039" customWidth="1"/>
    <col min="14337" max="14337" width="12.140625" style="2039" customWidth="1"/>
    <col min="14338" max="14574" width="14.7109375" style="2039"/>
    <col min="14575" max="14575" width="5.7109375" style="2039" customWidth="1"/>
    <col min="14576" max="14576" width="48.140625" style="2039" customWidth="1"/>
    <col min="14577" max="14577" width="9.7109375" style="2039" customWidth="1"/>
    <col min="14578" max="14578" width="1.7109375" style="2039" customWidth="1"/>
    <col min="14579" max="14579" width="11.7109375" style="2039" customWidth="1"/>
    <col min="14580" max="14580" width="5.7109375" style="2039" customWidth="1"/>
    <col min="14581" max="14581" width="12.28515625" style="2039" customWidth="1"/>
    <col min="14582" max="14582" width="1.7109375" style="2039" customWidth="1"/>
    <col min="14583" max="14583" width="11.85546875" style="2039" customWidth="1"/>
    <col min="14584" max="14584" width="3.28515625" style="2039" customWidth="1"/>
    <col min="14585" max="14585" width="11.42578125" style="2039" bestFit="1" customWidth="1"/>
    <col min="14586" max="14586" width="3.7109375" style="2039" customWidth="1"/>
    <col min="14587" max="14587" width="12" style="2039" customWidth="1"/>
    <col min="14588" max="14588" width="4.7109375" style="2039" customWidth="1"/>
    <col min="14589" max="14589" width="9.7109375" style="2039" customWidth="1"/>
    <col min="14590" max="14590" width="4.7109375" style="2039" customWidth="1"/>
    <col min="14591" max="14591" width="13.85546875" style="2039" customWidth="1"/>
    <col min="14592" max="14592" width="5.28515625" style="2039" customWidth="1"/>
    <col min="14593" max="14593" width="12.140625" style="2039" customWidth="1"/>
    <col min="14594" max="14830" width="14.7109375" style="2039"/>
    <col min="14831" max="14831" width="5.7109375" style="2039" customWidth="1"/>
    <col min="14832" max="14832" width="48.140625" style="2039" customWidth="1"/>
    <col min="14833" max="14833" width="9.7109375" style="2039" customWidth="1"/>
    <col min="14834" max="14834" width="1.7109375" style="2039" customWidth="1"/>
    <col min="14835" max="14835" width="11.7109375" style="2039" customWidth="1"/>
    <col min="14836" max="14836" width="5.7109375" style="2039" customWidth="1"/>
    <col min="14837" max="14837" width="12.28515625" style="2039" customWidth="1"/>
    <col min="14838" max="14838" width="1.7109375" style="2039" customWidth="1"/>
    <col min="14839" max="14839" width="11.85546875" style="2039" customWidth="1"/>
    <col min="14840" max="14840" width="3.28515625" style="2039" customWidth="1"/>
    <col min="14841" max="14841" width="11.42578125" style="2039" bestFit="1" customWidth="1"/>
    <col min="14842" max="14842" width="3.7109375" style="2039" customWidth="1"/>
    <col min="14843" max="14843" width="12" style="2039" customWidth="1"/>
    <col min="14844" max="14844" width="4.7109375" style="2039" customWidth="1"/>
    <col min="14845" max="14845" width="9.7109375" style="2039" customWidth="1"/>
    <col min="14846" max="14846" width="4.7109375" style="2039" customWidth="1"/>
    <col min="14847" max="14847" width="13.85546875" style="2039" customWidth="1"/>
    <col min="14848" max="14848" width="5.28515625" style="2039" customWidth="1"/>
    <col min="14849" max="14849" width="12.140625" style="2039" customWidth="1"/>
    <col min="14850" max="15086" width="14.7109375" style="2039"/>
    <col min="15087" max="15087" width="5.7109375" style="2039" customWidth="1"/>
    <col min="15088" max="15088" width="48.140625" style="2039" customWidth="1"/>
    <col min="15089" max="15089" width="9.7109375" style="2039" customWidth="1"/>
    <col min="15090" max="15090" width="1.7109375" style="2039" customWidth="1"/>
    <col min="15091" max="15091" width="11.7109375" style="2039" customWidth="1"/>
    <col min="15092" max="15092" width="5.7109375" style="2039" customWidth="1"/>
    <col min="15093" max="15093" width="12.28515625" style="2039" customWidth="1"/>
    <col min="15094" max="15094" width="1.7109375" style="2039" customWidth="1"/>
    <col min="15095" max="15095" width="11.85546875" style="2039" customWidth="1"/>
    <col min="15096" max="15096" width="3.28515625" style="2039" customWidth="1"/>
    <col min="15097" max="15097" width="11.42578125" style="2039" bestFit="1" customWidth="1"/>
    <col min="15098" max="15098" width="3.7109375" style="2039" customWidth="1"/>
    <col min="15099" max="15099" width="12" style="2039" customWidth="1"/>
    <col min="15100" max="15100" width="4.7109375" style="2039" customWidth="1"/>
    <col min="15101" max="15101" width="9.7109375" style="2039" customWidth="1"/>
    <col min="15102" max="15102" width="4.7109375" style="2039" customWidth="1"/>
    <col min="15103" max="15103" width="13.85546875" style="2039" customWidth="1"/>
    <col min="15104" max="15104" width="5.28515625" style="2039" customWidth="1"/>
    <col min="15105" max="15105" width="12.140625" style="2039" customWidth="1"/>
    <col min="15106" max="15342" width="14.7109375" style="2039"/>
    <col min="15343" max="15343" width="5.7109375" style="2039" customWidth="1"/>
    <col min="15344" max="15344" width="48.140625" style="2039" customWidth="1"/>
    <col min="15345" max="15345" width="9.7109375" style="2039" customWidth="1"/>
    <col min="15346" max="15346" width="1.7109375" style="2039" customWidth="1"/>
    <col min="15347" max="15347" width="11.7109375" style="2039" customWidth="1"/>
    <col min="15348" max="15348" width="5.7109375" style="2039" customWidth="1"/>
    <col min="15349" max="15349" width="12.28515625" style="2039" customWidth="1"/>
    <col min="15350" max="15350" width="1.7109375" style="2039" customWidth="1"/>
    <col min="15351" max="15351" width="11.85546875" style="2039" customWidth="1"/>
    <col min="15352" max="15352" width="3.28515625" style="2039" customWidth="1"/>
    <col min="15353" max="15353" width="11.42578125" style="2039" bestFit="1" customWidth="1"/>
    <col min="15354" max="15354" width="3.7109375" style="2039" customWidth="1"/>
    <col min="15355" max="15355" width="12" style="2039" customWidth="1"/>
    <col min="15356" max="15356" width="4.7109375" style="2039" customWidth="1"/>
    <col min="15357" max="15357" width="9.7109375" style="2039" customWidth="1"/>
    <col min="15358" max="15358" width="4.7109375" style="2039" customWidth="1"/>
    <col min="15359" max="15359" width="13.85546875" style="2039" customWidth="1"/>
    <col min="15360" max="15360" width="5.28515625" style="2039" customWidth="1"/>
    <col min="15361" max="15361" width="12.140625" style="2039" customWidth="1"/>
    <col min="15362" max="15598" width="14.7109375" style="2039"/>
    <col min="15599" max="15599" width="5.7109375" style="2039" customWidth="1"/>
    <col min="15600" max="15600" width="48.140625" style="2039" customWidth="1"/>
    <col min="15601" max="15601" width="9.7109375" style="2039" customWidth="1"/>
    <col min="15602" max="15602" width="1.7109375" style="2039" customWidth="1"/>
    <col min="15603" max="15603" width="11.7109375" style="2039" customWidth="1"/>
    <col min="15604" max="15604" width="5.7109375" style="2039" customWidth="1"/>
    <col min="15605" max="15605" width="12.28515625" style="2039" customWidth="1"/>
    <col min="15606" max="15606" width="1.7109375" style="2039" customWidth="1"/>
    <col min="15607" max="15607" width="11.85546875" style="2039" customWidth="1"/>
    <col min="15608" max="15608" width="3.28515625" style="2039" customWidth="1"/>
    <col min="15609" max="15609" width="11.42578125" style="2039" bestFit="1" customWidth="1"/>
    <col min="15610" max="15610" width="3.7109375" style="2039" customWidth="1"/>
    <col min="15611" max="15611" width="12" style="2039" customWidth="1"/>
    <col min="15612" max="15612" width="4.7109375" style="2039" customWidth="1"/>
    <col min="15613" max="15613" width="9.7109375" style="2039" customWidth="1"/>
    <col min="15614" max="15614" width="4.7109375" style="2039" customWidth="1"/>
    <col min="15615" max="15615" width="13.85546875" style="2039" customWidth="1"/>
    <col min="15616" max="15616" width="5.28515625" style="2039" customWidth="1"/>
    <col min="15617" max="15617" width="12.140625" style="2039" customWidth="1"/>
    <col min="15618" max="15854" width="14.7109375" style="2039"/>
    <col min="15855" max="15855" width="5.7109375" style="2039" customWidth="1"/>
    <col min="15856" max="15856" width="48.140625" style="2039" customWidth="1"/>
    <col min="15857" max="15857" width="9.7109375" style="2039" customWidth="1"/>
    <col min="15858" max="15858" width="1.7109375" style="2039" customWidth="1"/>
    <col min="15859" max="15859" width="11.7109375" style="2039" customWidth="1"/>
    <col min="15860" max="15860" width="5.7109375" style="2039" customWidth="1"/>
    <col min="15861" max="15861" width="12.28515625" style="2039" customWidth="1"/>
    <col min="15862" max="15862" width="1.7109375" style="2039" customWidth="1"/>
    <col min="15863" max="15863" width="11.85546875" style="2039" customWidth="1"/>
    <col min="15864" max="15864" width="3.28515625" style="2039" customWidth="1"/>
    <col min="15865" max="15865" width="11.42578125" style="2039" bestFit="1" customWidth="1"/>
    <col min="15866" max="15866" width="3.7109375" style="2039" customWidth="1"/>
    <col min="15867" max="15867" width="12" style="2039" customWidth="1"/>
    <col min="15868" max="15868" width="4.7109375" style="2039" customWidth="1"/>
    <col min="15869" max="15869" width="9.7109375" style="2039" customWidth="1"/>
    <col min="15870" max="15870" width="4.7109375" style="2039" customWidth="1"/>
    <col min="15871" max="15871" width="13.85546875" style="2039" customWidth="1"/>
    <col min="15872" max="15872" width="5.28515625" style="2039" customWidth="1"/>
    <col min="15873" max="15873" width="12.140625" style="2039" customWidth="1"/>
    <col min="15874" max="16110" width="14.7109375" style="2039"/>
    <col min="16111" max="16111" width="5.7109375" style="2039" customWidth="1"/>
    <col min="16112" max="16112" width="48.140625" style="2039" customWidth="1"/>
    <col min="16113" max="16113" width="9.7109375" style="2039" customWidth="1"/>
    <col min="16114" max="16114" width="1.7109375" style="2039" customWidth="1"/>
    <col min="16115" max="16115" width="11.7109375" style="2039" customWidth="1"/>
    <col min="16116" max="16116" width="5.7109375" style="2039" customWidth="1"/>
    <col min="16117" max="16117" width="12.28515625" style="2039" customWidth="1"/>
    <col min="16118" max="16118" width="1.7109375" style="2039" customWidth="1"/>
    <col min="16119" max="16119" width="11.85546875" style="2039" customWidth="1"/>
    <col min="16120" max="16120" width="3.28515625" style="2039" customWidth="1"/>
    <col min="16121" max="16121" width="11.42578125" style="2039" bestFit="1" customWidth="1"/>
    <col min="16122" max="16122" width="3.7109375" style="2039" customWidth="1"/>
    <col min="16123" max="16123" width="12" style="2039" customWidth="1"/>
    <col min="16124" max="16124" width="4.7109375" style="2039" customWidth="1"/>
    <col min="16125" max="16125" width="9.7109375" style="2039" customWidth="1"/>
    <col min="16126" max="16126" width="4.7109375" style="2039" customWidth="1"/>
    <col min="16127" max="16127" width="13.85546875" style="2039" customWidth="1"/>
    <col min="16128" max="16128" width="5.28515625" style="2039" customWidth="1"/>
    <col min="16129" max="16129" width="12.140625" style="2039" customWidth="1"/>
    <col min="16130" max="16384" width="14.7109375" style="2039"/>
  </cols>
  <sheetData>
    <row r="1" spans="1:19" s="2041" customFormat="1" hidden="1" x14ac:dyDescent="0.15">
      <c r="A1" s="2038"/>
      <c r="B1" s="2039"/>
      <c r="C1" s="2039"/>
      <c r="D1" s="2039"/>
      <c r="E1" s="2039"/>
      <c r="F1" s="2040"/>
      <c r="G1" s="2039"/>
      <c r="H1" s="2039"/>
      <c r="I1" s="2039"/>
      <c r="J1" s="2040"/>
      <c r="K1" s="2039"/>
      <c r="L1" s="2039"/>
      <c r="M1" s="2039"/>
      <c r="N1" s="2039"/>
      <c r="O1" s="2039"/>
      <c r="P1" s="2040"/>
      <c r="Q1" s="2039"/>
      <c r="R1" s="2039"/>
    </row>
    <row r="2" spans="1:19" hidden="1" x14ac:dyDescent="0.2">
      <c r="S2" s="2042"/>
    </row>
    <row r="3" spans="1:19" hidden="1" x14ac:dyDescent="0.2">
      <c r="S3" s="2042"/>
    </row>
    <row r="4" spans="1:19" ht="15.75" x14ac:dyDescent="0.2">
      <c r="A4" s="2655" t="s">
        <v>2060</v>
      </c>
      <c r="B4" s="2655"/>
      <c r="C4" s="2655"/>
      <c r="D4" s="2655"/>
      <c r="E4" s="2655"/>
      <c r="F4" s="2655"/>
      <c r="G4" s="2655"/>
      <c r="H4" s="2655"/>
      <c r="I4" s="2655"/>
      <c r="J4" s="2655"/>
      <c r="K4" s="2655"/>
      <c r="L4" s="2655"/>
      <c r="M4" s="2655"/>
      <c r="N4" s="2655"/>
      <c r="O4" s="2655"/>
      <c r="P4" s="2655"/>
      <c r="Q4" s="2655"/>
      <c r="R4" s="2655"/>
      <c r="S4" s="2655"/>
    </row>
    <row r="5" spans="1:19" ht="15.75" x14ac:dyDescent="0.2">
      <c r="A5" s="2655" t="s">
        <v>2084</v>
      </c>
      <c r="B5" s="2655"/>
      <c r="C5" s="2655"/>
      <c r="D5" s="2655"/>
      <c r="E5" s="2655"/>
      <c r="F5" s="2655"/>
      <c r="G5" s="2655"/>
      <c r="H5" s="2655"/>
      <c r="I5" s="2655"/>
      <c r="J5" s="2655"/>
      <c r="K5" s="2655"/>
      <c r="L5" s="2655"/>
      <c r="M5" s="2655"/>
      <c r="N5" s="2655"/>
      <c r="O5" s="2655"/>
      <c r="P5" s="2655"/>
      <c r="Q5" s="2655"/>
      <c r="R5" s="2655"/>
      <c r="S5" s="2655"/>
    </row>
    <row r="6" spans="1:19" ht="15.75" x14ac:dyDescent="0.2">
      <c r="A6" s="2655" t="s">
        <v>1208</v>
      </c>
      <c r="B6" s="2655"/>
      <c r="C6" s="2655"/>
      <c r="D6" s="2655"/>
      <c r="E6" s="2655"/>
      <c r="F6" s="2655"/>
      <c r="G6" s="2655"/>
      <c r="H6" s="2655"/>
      <c r="I6" s="2655"/>
      <c r="J6" s="2655"/>
      <c r="K6" s="2655"/>
      <c r="L6" s="2655"/>
      <c r="M6" s="2655"/>
      <c r="N6" s="2655"/>
      <c r="O6" s="2655"/>
      <c r="P6" s="2655"/>
      <c r="Q6" s="2655"/>
      <c r="R6" s="2655"/>
      <c r="S6" s="2655"/>
    </row>
    <row r="7" spans="1:19" ht="12.75" customHeight="1" x14ac:dyDescent="0.2">
      <c r="A7" s="2656" t="s">
        <v>2085</v>
      </c>
      <c r="B7" s="2656"/>
      <c r="C7" s="2656"/>
      <c r="D7" s="2656"/>
      <c r="E7" s="2656"/>
      <c r="F7" s="2656"/>
      <c r="G7" s="2656"/>
      <c r="H7" s="2656"/>
      <c r="I7" s="2656"/>
      <c r="J7" s="2656"/>
      <c r="K7" s="2656"/>
      <c r="L7" s="2656"/>
      <c r="M7" s="2656"/>
      <c r="N7" s="2656"/>
      <c r="O7" s="2656"/>
      <c r="P7" s="2656"/>
      <c r="Q7" s="2656"/>
      <c r="R7" s="2656"/>
      <c r="S7" s="2656"/>
    </row>
    <row r="8" spans="1:19" x14ac:dyDescent="0.2">
      <c r="A8" s="2045"/>
      <c r="B8" s="2045"/>
      <c r="C8" s="2045"/>
      <c r="D8" s="2045"/>
      <c r="E8" s="2045"/>
      <c r="F8" s="2045"/>
      <c r="G8" s="2046"/>
      <c r="H8" s="2044"/>
      <c r="I8" s="2046"/>
      <c r="J8" s="2038"/>
      <c r="K8" s="2046"/>
      <c r="L8" s="2044"/>
    </row>
    <row r="9" spans="1:19" x14ac:dyDescent="0.2">
      <c r="A9" s="2045"/>
      <c r="B9" s="2045" t="s">
        <v>1159</v>
      </c>
      <c r="C9" s="2045"/>
      <c r="D9" s="2045"/>
      <c r="E9" s="2045"/>
      <c r="F9" s="2045"/>
      <c r="G9" s="2046"/>
      <c r="H9" s="2044"/>
      <c r="I9" s="2046"/>
      <c r="J9" s="2038"/>
      <c r="K9" s="2046"/>
      <c r="L9" s="2044"/>
      <c r="M9" s="2044"/>
      <c r="N9" s="2044"/>
      <c r="O9" s="2044"/>
      <c r="P9" s="2038"/>
      <c r="Q9" s="2044"/>
      <c r="R9" s="2044"/>
      <c r="S9" s="2038"/>
    </row>
    <row r="10" spans="1:19" s="2050" customFormat="1" ht="15" x14ac:dyDescent="0.2">
      <c r="A10" s="2047"/>
      <c r="B10" s="2048"/>
      <c r="C10" s="2043"/>
      <c r="D10" s="2043"/>
      <c r="E10" s="2047" t="s">
        <v>2086</v>
      </c>
      <c r="F10" s="2047"/>
      <c r="G10" s="2049" t="s">
        <v>2087</v>
      </c>
      <c r="H10" s="2049"/>
      <c r="I10" s="2049"/>
      <c r="J10" s="2047"/>
      <c r="K10" s="2049" t="s">
        <v>2088</v>
      </c>
      <c r="L10" s="2049"/>
      <c r="M10" s="2049"/>
      <c r="N10" s="2043"/>
      <c r="O10" s="2043"/>
      <c r="P10" s="2047"/>
      <c r="Q10" s="2043"/>
      <c r="R10" s="2043"/>
      <c r="S10" s="2047"/>
    </row>
    <row r="11" spans="1:19" s="2050" customFormat="1" ht="15" x14ac:dyDescent="0.2">
      <c r="A11" s="2047"/>
      <c r="B11" s="2048"/>
      <c r="C11" s="2047" t="s">
        <v>1253</v>
      </c>
      <c r="D11" s="2043"/>
      <c r="E11" s="2047" t="s">
        <v>2089</v>
      </c>
      <c r="F11" s="2047"/>
      <c r="G11" s="2047" t="s">
        <v>2090</v>
      </c>
      <c r="H11" s="2043"/>
      <c r="I11" s="2051" t="s">
        <v>2091</v>
      </c>
      <c r="J11" s="2047"/>
      <c r="K11" s="2047" t="s">
        <v>2090</v>
      </c>
      <c r="L11" s="2043"/>
      <c r="M11" s="2051" t="str">
        <f>I11</f>
        <v>7/01/19-</v>
      </c>
      <c r="N11" s="2043"/>
      <c r="O11" s="2047" t="s">
        <v>1250</v>
      </c>
      <c r="P11" s="2047"/>
      <c r="Q11" s="2047" t="s">
        <v>2092</v>
      </c>
      <c r="R11" s="2043"/>
      <c r="S11" s="2047" t="s">
        <v>1159</v>
      </c>
    </row>
    <row r="12" spans="1:19" s="2050" customFormat="1" ht="15" x14ac:dyDescent="0.2">
      <c r="A12" s="2048" t="s">
        <v>2093</v>
      </c>
      <c r="B12" s="2048"/>
      <c r="C12" s="2047" t="s">
        <v>2094</v>
      </c>
      <c r="D12" s="2043"/>
      <c r="E12" s="2047" t="s">
        <v>2094</v>
      </c>
      <c r="F12" s="2047"/>
      <c r="G12" s="2052" t="s">
        <v>2095</v>
      </c>
      <c r="H12" s="2043"/>
      <c r="I12" s="2052" t="s">
        <v>2096</v>
      </c>
      <c r="J12" s="2047"/>
      <c r="K12" s="2052" t="str">
        <f>G12</f>
        <v>6/30/19</v>
      </c>
      <c r="L12" s="2043"/>
      <c r="M12" s="2052" t="str">
        <f>I12</f>
        <v>6/30/20</v>
      </c>
      <c r="N12" s="2043"/>
      <c r="O12" s="2047" t="s">
        <v>2097</v>
      </c>
      <c r="P12" s="2047"/>
      <c r="Q12" s="2047" t="s">
        <v>1246</v>
      </c>
      <c r="R12" s="2043"/>
      <c r="S12" s="2047" t="s">
        <v>30</v>
      </c>
    </row>
    <row r="13" spans="1:19" s="2050" customFormat="1" ht="15" x14ac:dyDescent="0.2">
      <c r="A13" s="2053" t="s">
        <v>2098</v>
      </c>
      <c r="B13" s="2043"/>
      <c r="C13" s="2054" t="s">
        <v>2099</v>
      </c>
      <c r="D13" s="2043"/>
      <c r="E13" s="2054" t="s">
        <v>2100</v>
      </c>
      <c r="F13" s="2047"/>
      <c r="G13" s="2054" t="s">
        <v>2101</v>
      </c>
      <c r="H13" s="2043"/>
      <c r="I13" s="2054" t="s">
        <v>2102</v>
      </c>
      <c r="J13" s="2047"/>
      <c r="K13" s="2054" t="s">
        <v>2103</v>
      </c>
      <c r="L13" s="2043"/>
      <c r="M13" s="2054" t="s">
        <v>2104</v>
      </c>
      <c r="N13" s="2043"/>
      <c r="O13" s="2054" t="s">
        <v>2105</v>
      </c>
      <c r="P13" s="2047"/>
      <c r="Q13" s="2054" t="s">
        <v>2106</v>
      </c>
      <c r="R13" s="2043"/>
      <c r="S13" s="2054" t="s">
        <v>2107</v>
      </c>
    </row>
    <row r="14" spans="1:19" s="2050" customFormat="1" ht="9" customHeight="1" x14ac:dyDescent="0.2">
      <c r="A14" s="2055"/>
      <c r="B14" s="2043"/>
      <c r="C14" s="2054"/>
      <c r="D14" s="2043"/>
      <c r="E14" s="2054"/>
      <c r="F14" s="2047"/>
      <c r="G14" s="2054"/>
      <c r="H14" s="2043"/>
      <c r="I14" s="2054"/>
      <c r="J14" s="2047"/>
      <c r="K14" s="2054"/>
      <c r="L14" s="2043"/>
      <c r="M14" s="2054" t="s">
        <v>1159</v>
      </c>
      <c r="N14" s="2043"/>
      <c r="O14" s="2054"/>
      <c r="P14" s="2047"/>
      <c r="Q14" s="2054"/>
      <c r="R14" s="2043"/>
      <c r="S14" s="2054"/>
    </row>
    <row r="15" spans="1:19" s="2050" customFormat="1" ht="15" x14ac:dyDescent="0.2">
      <c r="A15" s="2056" t="s">
        <v>2108</v>
      </c>
      <c r="B15" s="2043"/>
      <c r="C15" s="2054"/>
      <c r="D15" s="2043"/>
      <c r="E15" s="2054"/>
      <c r="F15" s="2047"/>
      <c r="G15" s="2054"/>
      <c r="H15" s="2043"/>
      <c r="I15" s="2054"/>
      <c r="J15" s="2047"/>
      <c r="K15" s="2054"/>
      <c r="L15" s="2043"/>
      <c r="M15" s="2054"/>
      <c r="N15" s="2043"/>
      <c r="O15" s="2054"/>
      <c r="P15" s="2047"/>
      <c r="Q15" s="2054"/>
      <c r="R15" s="2043"/>
      <c r="S15" s="2054"/>
    </row>
    <row r="16" spans="1:19" s="2050" customFormat="1" ht="15" x14ac:dyDescent="0.2">
      <c r="A16" s="2056" t="s">
        <v>2109</v>
      </c>
      <c r="B16" s="2043"/>
      <c r="C16" s="2054"/>
      <c r="D16" s="2043"/>
      <c r="E16" s="2054"/>
      <c r="F16" s="2047"/>
      <c r="G16" s="2054"/>
      <c r="H16" s="2043"/>
      <c r="I16" s="2054"/>
      <c r="J16" s="2047"/>
      <c r="K16" s="2054"/>
      <c r="L16" s="2043"/>
      <c r="M16" s="2054"/>
      <c r="N16" s="2043"/>
      <c r="O16" s="2054"/>
      <c r="P16" s="2047"/>
      <c r="Q16" s="2054"/>
      <c r="R16" s="2043"/>
      <c r="S16" s="2054"/>
    </row>
    <row r="17" spans="1:19" s="2050" customFormat="1" ht="15" x14ac:dyDescent="0.2">
      <c r="A17" s="2056" t="s">
        <v>2110</v>
      </c>
      <c r="B17" s="2043"/>
      <c r="C17" s="2054"/>
      <c r="D17" s="2043"/>
      <c r="E17" s="2054"/>
      <c r="F17" s="2047"/>
      <c r="G17" s="2054"/>
      <c r="H17" s="2043"/>
      <c r="I17" s="2054"/>
      <c r="J17" s="2047"/>
      <c r="K17" s="2054"/>
      <c r="L17" s="2043"/>
      <c r="M17" s="2054"/>
      <c r="N17" s="2043"/>
      <c r="O17" s="2054"/>
      <c r="P17" s="2047"/>
      <c r="Q17" s="2054"/>
      <c r="R17" s="2043"/>
      <c r="S17" s="2054"/>
    </row>
    <row r="18" spans="1:19" s="2050" customFormat="1" ht="15" x14ac:dyDescent="0.2">
      <c r="A18" s="2056"/>
      <c r="B18" s="2043"/>
      <c r="C18" s="2054"/>
      <c r="D18" s="2043"/>
      <c r="E18" s="2054"/>
      <c r="F18" s="2047"/>
      <c r="G18" s="2054"/>
      <c r="H18" s="2043"/>
      <c r="I18" s="2054"/>
      <c r="J18" s="2047"/>
      <c r="K18" s="2054"/>
      <c r="L18" s="2043"/>
      <c r="M18" s="2054"/>
      <c r="N18" s="2043"/>
      <c r="O18" s="2054"/>
      <c r="P18" s="2047"/>
      <c r="Q18" s="2054"/>
      <c r="R18" s="2043"/>
      <c r="S18" s="2054"/>
    </row>
    <row r="19" spans="1:19" s="2050" customFormat="1" ht="15" x14ac:dyDescent="0.2">
      <c r="A19" s="2056"/>
      <c r="B19" s="2043" t="s">
        <v>1049</v>
      </c>
      <c r="C19" s="2057" t="s">
        <v>2111</v>
      </c>
      <c r="D19" s="2043"/>
      <c r="E19" s="2047" t="s">
        <v>2112</v>
      </c>
      <c r="F19" s="2047"/>
      <c r="G19" s="2058">
        <v>20232</v>
      </c>
      <c r="H19" s="2047"/>
      <c r="I19" s="2058">
        <v>4732</v>
      </c>
      <c r="J19" s="2043"/>
      <c r="K19" s="2058">
        <v>20232</v>
      </c>
      <c r="L19" s="2043"/>
      <c r="M19" s="2058">
        <v>4732</v>
      </c>
      <c r="N19" s="2043"/>
      <c r="O19" s="2054"/>
      <c r="P19" s="2047"/>
      <c r="Q19" s="2059">
        <f>+K19+M19</f>
        <v>24964</v>
      </c>
      <c r="R19" s="2043"/>
      <c r="S19" s="2060" t="s">
        <v>2113</v>
      </c>
    </row>
    <row r="20" spans="1:19" s="2050" customFormat="1" ht="15" x14ac:dyDescent="0.2">
      <c r="A20" s="2056"/>
      <c r="B20" s="2043" t="s">
        <v>1049</v>
      </c>
      <c r="C20" s="2057" t="s">
        <v>2111</v>
      </c>
      <c r="D20" s="2043"/>
      <c r="E20" s="2047" t="s">
        <v>2114</v>
      </c>
      <c r="F20" s="2047"/>
      <c r="G20" s="2058"/>
      <c r="H20" s="2043"/>
      <c r="I20" s="2058">
        <v>14478</v>
      </c>
      <c r="J20" s="2047"/>
      <c r="K20" s="2058"/>
      <c r="L20" s="2043"/>
      <c r="M20" s="2058">
        <v>14478</v>
      </c>
      <c r="N20" s="2043"/>
      <c r="O20" s="2058"/>
      <c r="P20" s="2061" t="s">
        <v>2115</v>
      </c>
      <c r="Q20" s="2058">
        <f>+K20+M20+O20</f>
        <v>14478</v>
      </c>
      <c r="R20" s="2043"/>
      <c r="S20" s="2047" t="s">
        <v>2113</v>
      </c>
    </row>
    <row r="21" spans="1:19" s="2050" customFormat="1" ht="15" x14ac:dyDescent="0.2">
      <c r="A21" s="2056"/>
      <c r="B21" s="2043"/>
      <c r="C21" s="2057"/>
      <c r="D21" s="2043"/>
      <c r="E21" s="2047"/>
      <c r="F21" s="2047"/>
      <c r="G21" s="2058"/>
      <c r="H21" s="2043"/>
      <c r="I21" s="2058"/>
      <c r="J21" s="2047"/>
      <c r="K21" s="2058"/>
      <c r="L21" s="2043"/>
      <c r="M21" s="2062"/>
      <c r="N21" s="2043"/>
      <c r="O21" s="2058"/>
      <c r="P21" s="2062"/>
      <c r="Q21" s="2058"/>
      <c r="R21" s="2043"/>
      <c r="S21" s="2047"/>
    </row>
    <row r="22" spans="1:19" s="2050" customFormat="1" ht="15" x14ac:dyDescent="0.2">
      <c r="A22" s="2056"/>
      <c r="B22" s="2043" t="s">
        <v>1050</v>
      </c>
      <c r="C22" s="2057">
        <v>10.553000000000001</v>
      </c>
      <c r="D22" s="2043"/>
      <c r="E22" s="2047" t="s">
        <v>2116</v>
      </c>
      <c r="F22" s="2047"/>
      <c r="G22" s="2058">
        <v>10999</v>
      </c>
      <c r="H22" s="2043"/>
      <c r="I22" s="2058">
        <v>2748</v>
      </c>
      <c r="J22" s="2047"/>
      <c r="K22" s="2058">
        <v>10999</v>
      </c>
      <c r="L22" s="2043"/>
      <c r="M22" s="2062">
        <v>2748</v>
      </c>
      <c r="N22" s="2043"/>
      <c r="O22" s="2058"/>
      <c r="Q22" s="2059">
        <f>+K22+M22</f>
        <v>13747</v>
      </c>
      <c r="R22" s="2043"/>
      <c r="S22" s="2047" t="s">
        <v>2113</v>
      </c>
    </row>
    <row r="23" spans="1:19" s="2050" customFormat="1" ht="15" x14ac:dyDescent="0.2">
      <c r="A23" s="2056"/>
      <c r="B23" s="2043" t="s">
        <v>1050</v>
      </c>
      <c r="C23" s="2057">
        <v>10.553000000000001</v>
      </c>
      <c r="D23" s="2043"/>
      <c r="E23" s="2047" t="s">
        <v>2117</v>
      </c>
      <c r="F23" s="2047"/>
      <c r="G23" s="2063"/>
      <c r="H23" s="2043"/>
      <c r="I23" s="2063">
        <v>8502</v>
      </c>
      <c r="J23" s="2047"/>
      <c r="K23" s="2063"/>
      <c r="L23" s="2043"/>
      <c r="M23" s="2063">
        <v>8502</v>
      </c>
      <c r="N23" s="2043"/>
      <c r="O23" s="2063"/>
      <c r="P23" s="2061" t="s">
        <v>2115</v>
      </c>
      <c r="Q23" s="2064">
        <f>+K23+M23+O23</f>
        <v>8502</v>
      </c>
      <c r="R23" s="2043"/>
      <c r="S23" s="2047" t="s">
        <v>2113</v>
      </c>
    </row>
    <row r="24" spans="1:19" s="2050" customFormat="1" ht="17.100000000000001" customHeight="1" x14ac:dyDescent="0.2">
      <c r="A24" s="2056" t="s">
        <v>2118</v>
      </c>
      <c r="B24" s="2043"/>
      <c r="C24" s="2057"/>
      <c r="D24" s="2043"/>
      <c r="E24" s="2047"/>
      <c r="F24" s="2047"/>
      <c r="G24" s="2063">
        <f>SUM(G19:G23)</f>
        <v>31231</v>
      </c>
      <c r="H24" s="2043"/>
      <c r="I24" s="2063">
        <f>SUM(I19:I23)</f>
        <v>30460</v>
      </c>
      <c r="J24" s="2047"/>
      <c r="K24" s="2063">
        <f>SUM(K19:K23)</f>
        <v>31231</v>
      </c>
      <c r="L24" s="2043"/>
      <c r="M24" s="2063">
        <f>SUM(M19:M23)</f>
        <v>30460</v>
      </c>
      <c r="N24" s="2043"/>
      <c r="O24" s="2063">
        <f>SUM(O19:O23)</f>
        <v>0</v>
      </c>
      <c r="P24" s="2047"/>
      <c r="Q24" s="2063">
        <f>SUM(Q19:Q23)</f>
        <v>61691</v>
      </c>
      <c r="R24" s="2043"/>
      <c r="S24" s="2047"/>
    </row>
    <row r="25" spans="1:19" s="2050" customFormat="1" ht="15" x14ac:dyDescent="0.2">
      <c r="A25" s="2055"/>
      <c r="B25" s="2043"/>
      <c r="C25" s="2054"/>
      <c r="D25" s="2043"/>
      <c r="E25" s="2054"/>
      <c r="F25" s="2047"/>
      <c r="G25" s="2054"/>
      <c r="H25" s="2043"/>
      <c r="I25" s="2054"/>
      <c r="J25" s="2047" t="s">
        <v>1159</v>
      </c>
      <c r="K25" s="2054"/>
      <c r="L25" s="2043"/>
      <c r="M25" s="2054"/>
      <c r="N25" s="2043"/>
      <c r="O25" s="2054"/>
      <c r="P25" s="2047"/>
      <c r="Q25" s="2054"/>
      <c r="R25" s="2043"/>
      <c r="S25" s="2054"/>
    </row>
    <row r="26" spans="1:19" s="2050" customFormat="1" ht="15" x14ac:dyDescent="0.2">
      <c r="A26" s="2652" t="s">
        <v>2119</v>
      </c>
      <c r="B26" s="2652"/>
      <c r="C26" s="2057" t="s">
        <v>1159</v>
      </c>
      <c r="D26" s="2043"/>
      <c r="E26" s="2048" t="s">
        <v>1159</v>
      </c>
      <c r="F26" s="2047"/>
      <c r="G26" s="2058"/>
      <c r="H26" s="2058"/>
      <c r="I26" s="2058"/>
      <c r="J26" s="2065"/>
      <c r="K26" s="2058"/>
      <c r="L26" s="2058"/>
      <c r="M26" s="2058">
        <v>0</v>
      </c>
      <c r="N26" s="2058"/>
      <c r="O26" s="2058"/>
      <c r="P26" s="2065"/>
      <c r="Q26" s="2058"/>
      <c r="R26" s="2058"/>
      <c r="S26" s="2065"/>
    </row>
    <row r="27" spans="1:19" s="2050" customFormat="1" ht="15" x14ac:dyDescent="0.2">
      <c r="A27" s="2056" t="s">
        <v>2120</v>
      </c>
      <c r="B27" s="2056"/>
      <c r="C27" s="2057"/>
      <c r="D27" s="2043"/>
      <c r="E27" s="2048" t="s">
        <v>1159</v>
      </c>
      <c r="F27" s="2047"/>
      <c r="G27" s="2058"/>
      <c r="H27" s="2058"/>
      <c r="I27" s="2058"/>
      <c r="J27" s="2065"/>
      <c r="K27" s="2058"/>
      <c r="L27" s="2058"/>
      <c r="M27" s="2058"/>
      <c r="N27" s="2058"/>
      <c r="O27" s="2058"/>
      <c r="P27" s="2065"/>
      <c r="Q27" s="2058"/>
      <c r="R27" s="2058"/>
      <c r="S27" s="2065"/>
    </row>
    <row r="28" spans="1:19" s="2050" customFormat="1" ht="15" x14ac:dyDescent="0.2">
      <c r="A28" s="2056" t="s">
        <v>2121</v>
      </c>
      <c r="B28" s="2056"/>
      <c r="C28" s="2057"/>
      <c r="D28" s="2043"/>
      <c r="E28" s="2048"/>
      <c r="F28" s="2047"/>
      <c r="G28" s="2058" t="s">
        <v>1159</v>
      </c>
      <c r="H28" s="2058"/>
      <c r="I28" s="2058"/>
      <c r="J28" s="2065"/>
      <c r="K28" s="2058"/>
      <c r="L28" s="2058"/>
      <c r="M28" s="2058"/>
      <c r="N28" s="2058"/>
      <c r="O28" s="2058"/>
      <c r="P28" s="2065"/>
      <c r="Q28" s="2058"/>
      <c r="R28" s="2058" t="s">
        <v>1159</v>
      </c>
      <c r="S28" s="2065"/>
    </row>
    <row r="29" spans="1:19" s="2050" customFormat="1" ht="15" x14ac:dyDescent="0.2">
      <c r="A29" s="2056"/>
      <c r="F29" s="2047"/>
      <c r="G29" s="2058"/>
      <c r="H29" s="2066"/>
      <c r="I29" s="2066"/>
      <c r="J29" s="2067"/>
      <c r="K29" s="2066"/>
      <c r="L29" s="2058"/>
      <c r="M29" s="2058"/>
      <c r="N29" s="2058"/>
      <c r="O29" s="2058"/>
      <c r="P29" s="2065"/>
      <c r="Q29" s="2058"/>
      <c r="R29" s="2058"/>
      <c r="S29" s="2065"/>
    </row>
    <row r="30" spans="1:19" s="2050" customFormat="1" ht="15" x14ac:dyDescent="0.2">
      <c r="A30" s="2062" t="s">
        <v>2122</v>
      </c>
      <c r="B30" s="2048" t="s">
        <v>2123</v>
      </c>
      <c r="C30" s="2057">
        <v>84.173000000000002</v>
      </c>
      <c r="D30" s="2043" t="s">
        <v>1159</v>
      </c>
      <c r="E30" s="2051" t="s">
        <v>2124</v>
      </c>
      <c r="F30" s="2047"/>
      <c r="G30" s="2066">
        <v>49842</v>
      </c>
      <c r="H30" s="2067"/>
      <c r="I30" s="2066">
        <v>57746</v>
      </c>
      <c r="J30" s="2066"/>
      <c r="K30" s="2058">
        <v>87863</v>
      </c>
      <c r="L30" s="2068"/>
      <c r="M30" s="2066">
        <v>19725</v>
      </c>
      <c r="N30" s="2059"/>
      <c r="O30" s="2066"/>
      <c r="P30" s="2067"/>
      <c r="Q30" s="2066">
        <f>+K30+M30+O30</f>
        <v>107588</v>
      </c>
      <c r="R30" s="2066"/>
      <c r="S30" s="2067">
        <v>107588</v>
      </c>
    </row>
    <row r="31" spans="1:19" s="2050" customFormat="1" ht="15" x14ac:dyDescent="0.2">
      <c r="A31" s="2062" t="s">
        <v>2122</v>
      </c>
      <c r="B31" s="2048" t="s">
        <v>2123</v>
      </c>
      <c r="C31" s="2057">
        <v>84.173000000000002</v>
      </c>
      <c r="D31" s="2043" t="s">
        <v>1159</v>
      </c>
      <c r="E31" s="2051" t="s">
        <v>2125</v>
      </c>
      <c r="F31" s="2062"/>
      <c r="G31" s="2066"/>
      <c r="H31" s="2066"/>
      <c r="I31" s="2066"/>
      <c r="J31" s="2067"/>
      <c r="K31" s="2066"/>
      <c r="L31" s="2066"/>
      <c r="M31" s="2058"/>
      <c r="N31" s="2068"/>
      <c r="O31" s="2066"/>
      <c r="P31" s="2059"/>
      <c r="Q31" s="2069">
        <f>+K31+M31+O31</f>
        <v>0</v>
      </c>
      <c r="R31" s="2066"/>
      <c r="S31" s="2067">
        <v>0</v>
      </c>
    </row>
    <row r="32" spans="1:19" s="2050" customFormat="1" ht="15" hidden="1" x14ac:dyDescent="0.2">
      <c r="A32" s="2062"/>
      <c r="B32" s="2048"/>
      <c r="C32" s="2057"/>
      <c r="D32" s="2043"/>
      <c r="E32" s="2051"/>
      <c r="F32" s="2062"/>
      <c r="G32" s="2066"/>
      <c r="H32" s="2066"/>
      <c r="I32" s="2066"/>
      <c r="J32" s="2067"/>
      <c r="K32" s="2066"/>
      <c r="L32" s="2066"/>
      <c r="M32" s="2066"/>
      <c r="N32" s="2068"/>
      <c r="O32" s="2066"/>
      <c r="P32" s="2059"/>
      <c r="Q32" s="2069"/>
      <c r="R32" s="2066"/>
      <c r="S32" s="2067"/>
    </row>
    <row r="33" spans="1:19" s="2050" customFormat="1" ht="15" x14ac:dyDescent="0.2">
      <c r="A33" s="2062"/>
      <c r="B33" s="2070"/>
      <c r="C33" s="2057"/>
      <c r="D33" s="2043"/>
      <c r="E33" s="2051"/>
      <c r="F33" s="2047"/>
      <c r="G33" s="2058"/>
      <c r="H33" s="2058"/>
      <c r="I33" s="2058"/>
      <c r="J33" s="2065"/>
      <c r="K33" s="2058"/>
      <c r="L33" s="2058"/>
      <c r="M33" s="2058"/>
      <c r="N33" s="2058"/>
      <c r="O33" s="2058"/>
      <c r="P33" s="2071"/>
      <c r="Q33" s="2072"/>
      <c r="R33" s="2058"/>
      <c r="S33" s="2065"/>
    </row>
    <row r="34" spans="1:19" s="2050" customFormat="1" ht="15" x14ac:dyDescent="0.2">
      <c r="A34" s="2062" t="s">
        <v>2122</v>
      </c>
      <c r="B34" s="2048" t="s">
        <v>2126</v>
      </c>
      <c r="C34" s="2057">
        <v>84.027000000000001</v>
      </c>
      <c r="D34" s="2043"/>
      <c r="E34" s="2047" t="s">
        <v>2127</v>
      </c>
      <c r="F34" s="2047"/>
      <c r="G34" s="2058">
        <v>1006322</v>
      </c>
      <c r="H34" s="2058"/>
      <c r="I34" s="2058">
        <v>1858527</v>
      </c>
      <c r="J34" s="2065"/>
      <c r="K34" s="2058">
        <v>2224475</v>
      </c>
      <c r="L34" s="2058"/>
      <c r="M34" s="2058">
        <v>640374</v>
      </c>
      <c r="N34" s="2058"/>
      <c r="O34" s="2058"/>
      <c r="P34" s="2071"/>
      <c r="Q34" s="2072">
        <f>SUM(K34:P34)</f>
        <v>2864849</v>
      </c>
      <c r="R34" s="2058"/>
      <c r="S34" s="2065">
        <v>2864849</v>
      </c>
    </row>
    <row r="35" spans="1:19" s="2050" customFormat="1" ht="17.25" x14ac:dyDescent="0.2">
      <c r="A35" s="2062" t="s">
        <v>2122</v>
      </c>
      <c r="B35" s="2048" t="s">
        <v>2126</v>
      </c>
      <c r="C35" s="2057">
        <v>84.027000000000001</v>
      </c>
      <c r="D35" s="2043"/>
      <c r="E35" s="2047" t="s">
        <v>2128</v>
      </c>
      <c r="F35" s="2062"/>
      <c r="G35" s="2073">
        <v>0</v>
      </c>
      <c r="H35" s="2058"/>
      <c r="I35" s="2073">
        <v>0</v>
      </c>
      <c r="J35" s="2065"/>
      <c r="K35" s="2073">
        <v>0</v>
      </c>
      <c r="L35" s="2058"/>
      <c r="M35" s="2073">
        <v>0</v>
      </c>
      <c r="N35" s="2058"/>
      <c r="O35" s="2073">
        <v>0</v>
      </c>
      <c r="P35" s="2071"/>
      <c r="Q35" s="2073">
        <f>+K35+M35+O35</f>
        <v>0</v>
      </c>
      <c r="R35" s="2058"/>
      <c r="S35" s="2065">
        <v>0</v>
      </c>
    </row>
    <row r="36" spans="1:19" s="2050" customFormat="1" ht="17.25" hidden="1" x14ac:dyDescent="0.2">
      <c r="A36" s="2062" t="s">
        <v>2122</v>
      </c>
      <c r="B36" s="2048" t="s">
        <v>2129</v>
      </c>
      <c r="C36" s="2057">
        <v>84.027000000000001</v>
      </c>
      <c r="D36" s="2043"/>
      <c r="E36" s="2047" t="s">
        <v>2130</v>
      </c>
      <c r="F36" s="2047"/>
      <c r="G36" s="2073">
        <v>0</v>
      </c>
      <c r="H36" s="2058"/>
      <c r="I36" s="2074">
        <v>0</v>
      </c>
      <c r="J36" s="2065"/>
      <c r="K36" s="2073">
        <v>0</v>
      </c>
      <c r="L36" s="2058"/>
      <c r="M36" s="2074">
        <v>0</v>
      </c>
      <c r="N36" s="2075" t="s">
        <v>2115</v>
      </c>
      <c r="O36" s="2074">
        <v>0</v>
      </c>
      <c r="P36" s="2071"/>
      <c r="Q36" s="2076">
        <f>+K36+M36+O36</f>
        <v>0</v>
      </c>
      <c r="R36" s="2065"/>
      <c r="S36" s="2077"/>
    </row>
    <row r="37" spans="1:19" s="2050" customFormat="1" ht="10.5" customHeight="1" x14ac:dyDescent="0.2">
      <c r="A37" s="2062"/>
      <c r="B37" s="2043"/>
      <c r="C37" s="2057"/>
      <c r="D37" s="2043"/>
      <c r="E37" s="2051"/>
      <c r="F37" s="2047"/>
      <c r="G37" s="2058"/>
      <c r="H37" s="2058"/>
      <c r="I37" s="2058"/>
      <c r="J37" s="2065"/>
      <c r="K37" s="2058"/>
      <c r="L37" s="2058"/>
      <c r="M37" s="2058"/>
      <c r="N37" s="2058"/>
      <c r="O37" s="2058"/>
      <c r="P37" s="2065"/>
      <c r="Q37" s="2058"/>
      <c r="R37" s="2058"/>
      <c r="S37" s="2065"/>
    </row>
    <row r="38" spans="1:19" s="2050" customFormat="1" ht="10.5" customHeight="1" x14ac:dyDescent="0.2">
      <c r="A38" s="2062"/>
      <c r="B38" s="2043"/>
      <c r="C38" s="2057"/>
      <c r="D38" s="2043"/>
      <c r="E38" s="2051"/>
      <c r="F38" s="2047"/>
      <c r="G38" s="2058"/>
      <c r="H38" s="2058"/>
      <c r="I38" s="2058"/>
      <c r="J38" s="2065"/>
      <c r="K38" s="2058"/>
      <c r="L38" s="2058"/>
      <c r="M38" s="2058"/>
      <c r="N38" s="2058"/>
      <c r="O38" s="2058"/>
      <c r="P38" s="2065"/>
      <c r="Q38" s="2078"/>
      <c r="R38" s="2058"/>
      <c r="S38" s="2065"/>
    </row>
    <row r="39" spans="1:19" s="2050" customFormat="1" ht="12" hidden="1" customHeight="1" x14ac:dyDescent="0.2">
      <c r="A39" s="2062"/>
      <c r="B39" s="2043"/>
      <c r="C39" s="2057"/>
      <c r="D39" s="2043"/>
      <c r="E39" s="2043"/>
      <c r="F39" s="2047"/>
      <c r="G39" s="2078"/>
      <c r="H39" s="2076"/>
      <c r="I39" s="2078"/>
      <c r="J39" s="2076"/>
      <c r="K39" s="2078"/>
      <c r="L39" s="2076"/>
      <c r="M39" s="2078"/>
      <c r="N39" s="2076"/>
      <c r="O39" s="2078"/>
      <c r="P39" s="2076"/>
      <c r="Q39" s="2078"/>
      <c r="R39" s="2079"/>
      <c r="S39" s="2080"/>
    </row>
    <row r="40" spans="1:19" s="2050" customFormat="1" ht="17.100000000000001" customHeight="1" x14ac:dyDescent="0.2">
      <c r="A40" s="2056" t="s">
        <v>2131</v>
      </c>
      <c r="B40" s="2043"/>
      <c r="C40" s="2057"/>
      <c r="D40" s="2043"/>
      <c r="E40" s="2043"/>
      <c r="F40" s="2047"/>
      <c r="G40" s="2078">
        <f>+G30+G31+G34+G35</f>
        <v>1056164</v>
      </c>
      <c r="H40" s="2078"/>
      <c r="I40" s="2078">
        <f>+I30+I31+I34+I35</f>
        <v>1916273</v>
      </c>
      <c r="J40" s="2078"/>
      <c r="K40" s="2078">
        <f>+K30+K31+K34+K35</f>
        <v>2312338</v>
      </c>
      <c r="L40" s="2078"/>
      <c r="M40" s="2078">
        <f>+M30+M31+M34+M35</f>
        <v>660099</v>
      </c>
      <c r="N40" s="2078"/>
      <c r="O40" s="2078">
        <f>+O30+O31+O34+O35</f>
        <v>0</v>
      </c>
      <c r="P40" s="2078"/>
      <c r="Q40" s="2078">
        <f>+Q30+Q31+Q34+Q35</f>
        <v>2972437</v>
      </c>
      <c r="R40" s="2078"/>
      <c r="S40" s="2065"/>
    </row>
    <row r="41" spans="1:19" s="2050" customFormat="1" ht="9.75" customHeight="1" x14ac:dyDescent="0.2">
      <c r="A41" s="2056"/>
      <c r="B41" s="2043"/>
      <c r="C41" s="2057"/>
      <c r="D41" s="2043"/>
      <c r="E41" s="2043"/>
      <c r="F41" s="2047"/>
      <c r="G41" s="2078"/>
      <c r="H41" s="2076"/>
      <c r="I41" s="2078"/>
      <c r="J41" s="2076"/>
      <c r="K41" s="2078"/>
      <c r="L41" s="2076"/>
      <c r="M41" s="2078"/>
      <c r="N41" s="2076"/>
      <c r="O41" s="2078"/>
      <c r="P41" s="2076"/>
      <c r="Q41" s="2078"/>
      <c r="R41" s="2079"/>
      <c r="S41" s="2080"/>
    </row>
    <row r="42" spans="1:19" s="2050" customFormat="1" ht="15.75" customHeight="1" x14ac:dyDescent="0.2">
      <c r="A42" s="2056"/>
      <c r="B42" s="2043" t="s">
        <v>2132</v>
      </c>
      <c r="C42" s="2057"/>
      <c r="D42" s="2043"/>
      <c r="E42" s="2043" t="s">
        <v>2133</v>
      </c>
      <c r="F42" s="2047"/>
      <c r="G42" s="2073">
        <v>0</v>
      </c>
      <c r="H42" s="2058"/>
      <c r="I42" s="2073">
        <v>0</v>
      </c>
      <c r="J42" s="2065"/>
      <c r="K42" s="2073">
        <v>0</v>
      </c>
      <c r="L42" s="2058"/>
      <c r="M42" s="2073">
        <v>0</v>
      </c>
      <c r="N42" s="2058"/>
      <c r="O42" s="2073">
        <v>0</v>
      </c>
      <c r="P42" s="2061" t="s">
        <v>2115</v>
      </c>
      <c r="Q42" s="2073">
        <f>+K42+M42+O42</f>
        <v>0</v>
      </c>
      <c r="R42" s="2079"/>
      <c r="S42" s="2065">
        <v>4798</v>
      </c>
    </row>
    <row r="43" spans="1:19" s="2050" customFormat="1" ht="9.75" customHeight="1" x14ac:dyDescent="0.2">
      <c r="A43" s="2056"/>
      <c r="B43" s="2043"/>
      <c r="C43" s="2057"/>
      <c r="D43" s="2043"/>
      <c r="E43" s="2043"/>
      <c r="F43" s="2047"/>
      <c r="G43" s="2078"/>
      <c r="H43" s="2076"/>
      <c r="I43" s="2078"/>
      <c r="J43" s="2076"/>
      <c r="K43" s="2078"/>
      <c r="L43" s="2076"/>
      <c r="M43" s="2078"/>
      <c r="N43" s="2076"/>
      <c r="O43" s="2078"/>
      <c r="P43" s="2076"/>
      <c r="Q43" s="2078"/>
      <c r="R43" s="2079"/>
      <c r="S43" s="2080"/>
    </row>
    <row r="44" spans="1:19" s="2050" customFormat="1" ht="17.25" x14ac:dyDescent="0.2">
      <c r="A44" s="2056" t="s">
        <v>2134</v>
      </c>
      <c r="B44" s="2043"/>
      <c r="C44" s="2057"/>
      <c r="D44" s="2043"/>
      <c r="E44" s="2043"/>
      <c r="F44" s="2047"/>
      <c r="G44" s="2078">
        <f>+G40+G24</f>
        <v>1087395</v>
      </c>
      <c r="H44" s="2076"/>
      <c r="I44" s="2078">
        <f>+I40+I24</f>
        <v>1946733</v>
      </c>
      <c r="J44" s="2076"/>
      <c r="K44" s="2078">
        <f>+K40+K24</f>
        <v>2343569</v>
      </c>
      <c r="L44" s="2076"/>
      <c r="M44" s="2078">
        <f>+M40+M24</f>
        <v>690559</v>
      </c>
      <c r="N44" s="2076"/>
      <c r="O44" s="2078">
        <f>+O40+O24</f>
        <v>0</v>
      </c>
      <c r="P44" s="2076"/>
      <c r="Q44" s="2078">
        <f>+Q40+Q24</f>
        <v>3034128</v>
      </c>
      <c r="R44" s="2079"/>
      <c r="S44" s="2080"/>
    </row>
    <row r="45" spans="1:19" s="2050" customFormat="1" ht="17.25" x14ac:dyDescent="0.2">
      <c r="A45" s="2062"/>
      <c r="B45" s="2043"/>
      <c r="C45" s="2057"/>
      <c r="D45" s="2043"/>
      <c r="E45" s="2043"/>
      <c r="F45" s="2047"/>
      <c r="G45" s="2078"/>
      <c r="H45" s="2076"/>
      <c r="I45" s="2078"/>
      <c r="J45" s="2076"/>
      <c r="K45" s="2078"/>
      <c r="L45" s="2076"/>
      <c r="M45" s="2078"/>
      <c r="N45" s="2076"/>
      <c r="P45" s="2076"/>
      <c r="Q45" s="2078"/>
      <c r="R45" s="2079"/>
      <c r="S45" s="2080"/>
    </row>
    <row r="46" spans="1:19" s="2050" customFormat="1" ht="17.25" x14ac:dyDescent="0.2">
      <c r="A46" s="2081" t="s">
        <v>2135</v>
      </c>
      <c r="C46" s="2057"/>
      <c r="D46" s="2043"/>
      <c r="E46" s="2043"/>
      <c r="F46" s="2047"/>
      <c r="G46" s="2076"/>
      <c r="H46" s="2076"/>
      <c r="I46" s="2076"/>
      <c r="J46" s="2076"/>
      <c r="K46" s="2082"/>
      <c r="L46" s="2076"/>
      <c r="M46" s="2076"/>
      <c r="N46" s="2076"/>
      <c r="O46" s="2076"/>
      <c r="P46" s="2076"/>
      <c r="Q46" s="2076"/>
      <c r="R46" s="2079"/>
      <c r="S46" s="2065"/>
    </row>
    <row r="47" spans="1:19" s="2050" customFormat="1" ht="17.25" x14ac:dyDescent="0.2">
      <c r="A47" s="2081" t="s">
        <v>2136</v>
      </c>
      <c r="C47" s="2057"/>
      <c r="D47" s="2043"/>
      <c r="E47" s="2043"/>
      <c r="F47" s="2083"/>
      <c r="G47" s="2084"/>
      <c r="H47" s="2076"/>
      <c r="I47" s="2082"/>
      <c r="J47" s="2076"/>
      <c r="K47" s="2085" t="s">
        <v>1159</v>
      </c>
      <c r="L47" s="2076"/>
      <c r="M47" s="2086"/>
      <c r="N47" s="2076"/>
      <c r="O47" s="2076"/>
      <c r="P47" s="2076"/>
      <c r="Q47" s="2076"/>
      <c r="R47" s="2079"/>
      <c r="S47" s="2065"/>
    </row>
    <row r="48" spans="1:19" s="2050" customFormat="1" ht="17.25" x14ac:dyDescent="0.2">
      <c r="A48" s="2081"/>
      <c r="C48" s="2057"/>
      <c r="D48" s="2043"/>
      <c r="E48" s="2043"/>
      <c r="F48" s="2083"/>
      <c r="G48" s="2084"/>
      <c r="H48" s="2076"/>
      <c r="I48" s="2082"/>
      <c r="J48" s="2076"/>
      <c r="K48" s="2085"/>
      <c r="L48" s="2076"/>
      <c r="M48" s="2086"/>
      <c r="N48" s="2076"/>
      <c r="O48" s="2076"/>
      <c r="P48" s="2076"/>
      <c r="Q48" s="2076"/>
      <c r="R48" s="2079"/>
      <c r="S48" s="2065"/>
    </row>
    <row r="49" spans="1:19" s="2050" customFormat="1" ht="15" x14ac:dyDescent="0.2">
      <c r="A49" s="2081"/>
      <c r="B49" s="2043" t="s">
        <v>2137</v>
      </c>
      <c r="C49" s="2057">
        <v>93.778000000000006</v>
      </c>
      <c r="E49" s="2047" t="s">
        <v>2138</v>
      </c>
      <c r="F49" s="2047"/>
      <c r="G49" s="2066">
        <v>54766</v>
      </c>
      <c r="H49" s="2066"/>
      <c r="I49" s="2058">
        <v>12021</v>
      </c>
      <c r="J49" s="2067"/>
      <c r="K49" s="2066">
        <v>69569</v>
      </c>
      <c r="L49" s="2066"/>
      <c r="M49" s="2058">
        <v>0</v>
      </c>
      <c r="N49" s="2066"/>
      <c r="O49" s="2066"/>
      <c r="P49" s="2067"/>
      <c r="Q49" s="2066">
        <f>+M49+O49+K49</f>
        <v>69569</v>
      </c>
      <c r="R49" s="2058"/>
      <c r="S49" s="2065" t="s">
        <v>2113</v>
      </c>
    </row>
    <row r="50" spans="1:19" s="2050" customFormat="1" ht="17.25" x14ac:dyDescent="0.2">
      <c r="A50" s="2081"/>
      <c r="B50" s="2043" t="s">
        <v>2137</v>
      </c>
      <c r="C50" s="2057">
        <v>93.778000000000006</v>
      </c>
      <c r="E50" s="2047" t="s">
        <v>2139</v>
      </c>
      <c r="F50" s="2047"/>
      <c r="G50" s="2087">
        <v>0</v>
      </c>
      <c r="H50" s="2066"/>
      <c r="I50" s="2087">
        <v>69370</v>
      </c>
      <c r="J50" s="2067"/>
      <c r="K50" s="2087">
        <v>0</v>
      </c>
      <c r="L50" s="2066"/>
      <c r="M50" s="2073">
        <v>128520</v>
      </c>
      <c r="N50" s="2066"/>
      <c r="O50" s="2087">
        <v>0</v>
      </c>
      <c r="P50" s="2067"/>
      <c r="Q50" s="2087">
        <f>+M50+O50+K50</f>
        <v>128520</v>
      </c>
      <c r="R50" s="2058"/>
      <c r="S50" s="2065" t="s">
        <v>2113</v>
      </c>
    </row>
    <row r="51" spans="1:19" s="2050" customFormat="1" ht="17.25" x14ac:dyDescent="0.2">
      <c r="A51" s="2081"/>
      <c r="B51" s="2043"/>
      <c r="C51" s="2057"/>
      <c r="D51" s="2043"/>
      <c r="E51" s="2043"/>
      <c r="F51" s="2047"/>
      <c r="G51" s="2073"/>
      <c r="H51" s="2058"/>
      <c r="I51" s="2073"/>
      <c r="J51" s="2065"/>
      <c r="K51" s="2073"/>
      <c r="L51" s="2058"/>
      <c r="M51" s="2073"/>
      <c r="N51" s="2058"/>
      <c r="O51" s="2073"/>
      <c r="P51" s="2065"/>
      <c r="Q51" s="2073"/>
      <c r="R51" s="2058"/>
      <c r="S51" s="2065"/>
    </row>
    <row r="52" spans="1:19" s="2050" customFormat="1" ht="17.25" x14ac:dyDescent="0.2">
      <c r="A52" s="2081" t="s">
        <v>2140</v>
      </c>
      <c r="B52" s="2043"/>
      <c r="C52" s="2057"/>
      <c r="D52" s="2043"/>
      <c r="E52" s="2043"/>
      <c r="F52" s="2047"/>
      <c r="G52" s="2073"/>
      <c r="H52" s="2058"/>
      <c r="I52" s="2073"/>
      <c r="J52" s="2065"/>
      <c r="K52" s="2073"/>
      <c r="L52" s="2058"/>
      <c r="M52" s="2073"/>
      <c r="N52" s="2058"/>
      <c r="O52" s="2073"/>
      <c r="P52" s="2065"/>
      <c r="Q52" s="2073"/>
      <c r="R52" s="2058"/>
      <c r="S52" s="2065"/>
    </row>
    <row r="53" spans="1:19" s="2050" customFormat="1" ht="17.25" x14ac:dyDescent="0.2">
      <c r="A53" s="2081" t="s">
        <v>2136</v>
      </c>
      <c r="B53" s="2043"/>
      <c r="C53" s="2057"/>
      <c r="D53" s="2043"/>
      <c r="E53" s="2043"/>
      <c r="F53" s="2047"/>
      <c r="G53" s="2073">
        <f>+G49+G50</f>
        <v>54766</v>
      </c>
      <c r="H53" s="2058"/>
      <c r="I53" s="2073">
        <f>+I49+I50</f>
        <v>81391</v>
      </c>
      <c r="J53" s="2065"/>
      <c r="K53" s="2073">
        <f>+K49+K50</f>
        <v>69569</v>
      </c>
      <c r="L53" s="2058"/>
      <c r="M53" s="2073">
        <f>+M49+M50</f>
        <v>128520</v>
      </c>
      <c r="N53" s="2058"/>
      <c r="O53" s="2073">
        <f>+O49+O50</f>
        <v>0</v>
      </c>
      <c r="P53" s="2065"/>
      <c r="Q53" s="2073">
        <f>+Q49+Q50</f>
        <v>198089</v>
      </c>
      <c r="R53" s="2058"/>
      <c r="S53" s="2065"/>
    </row>
    <row r="54" spans="1:19" s="2050" customFormat="1" ht="17.25" x14ac:dyDescent="0.2">
      <c r="A54" s="2081"/>
      <c r="B54" s="2043"/>
      <c r="C54" s="2057"/>
      <c r="D54" s="2043"/>
      <c r="E54" s="2043"/>
      <c r="F54" s="2047"/>
      <c r="G54" s="2073"/>
      <c r="H54" s="2058"/>
      <c r="I54" s="2073"/>
      <c r="J54" s="2065"/>
      <c r="K54" s="2073"/>
      <c r="L54" s="2058"/>
      <c r="M54" s="2073"/>
      <c r="N54" s="2058"/>
      <c r="O54" s="2073"/>
      <c r="P54" s="2065"/>
      <c r="Q54" s="2073"/>
      <c r="R54" s="2058"/>
      <c r="S54" s="2065"/>
    </row>
    <row r="55" spans="1:19" s="2050" customFormat="1" ht="17.25" x14ac:dyDescent="0.2">
      <c r="A55" s="2056" t="s">
        <v>2141</v>
      </c>
      <c r="B55" s="2043"/>
      <c r="C55" s="2057"/>
      <c r="E55" s="2050" t="s">
        <v>1159</v>
      </c>
      <c r="G55" s="2073">
        <f>+G53</f>
        <v>54766</v>
      </c>
      <c r="H55" s="2073"/>
      <c r="I55" s="2073">
        <f>+I53</f>
        <v>81391</v>
      </c>
      <c r="J55" s="2073"/>
      <c r="K55" s="2073">
        <f>+K53</f>
        <v>69569</v>
      </c>
      <c r="L55" s="2073"/>
      <c r="M55" s="2073">
        <f>+M53</f>
        <v>128520</v>
      </c>
      <c r="N55" s="2073"/>
      <c r="O55" s="2073">
        <f>+O53</f>
        <v>0</v>
      </c>
      <c r="P55" s="2073"/>
      <c r="Q55" s="2073">
        <f>+Q53</f>
        <v>198089</v>
      </c>
      <c r="R55" s="2058"/>
      <c r="S55" s="2065"/>
    </row>
    <row r="56" spans="1:19" s="2050" customFormat="1" ht="15" x14ac:dyDescent="0.2">
      <c r="D56" s="2043"/>
      <c r="E56" s="2043"/>
      <c r="F56" s="2047"/>
      <c r="G56" s="2058"/>
      <c r="H56" s="2058"/>
      <c r="I56" s="2058"/>
      <c r="J56" s="2065"/>
      <c r="K56" s="2058"/>
      <c r="L56" s="2058"/>
      <c r="M56" s="2058"/>
      <c r="N56" s="2058"/>
      <c r="O56" s="2058"/>
      <c r="P56" s="2065"/>
      <c r="Q56" s="2058"/>
      <c r="R56" s="2058"/>
      <c r="S56" s="2065"/>
    </row>
    <row r="57" spans="1:19" s="2050" customFormat="1" ht="17.25" x14ac:dyDescent="0.2">
      <c r="A57" s="2081" t="s">
        <v>2142</v>
      </c>
      <c r="C57" s="2088"/>
      <c r="D57" s="2043"/>
      <c r="E57" s="2043"/>
      <c r="F57" s="2047"/>
      <c r="G57" s="2089">
        <f>+G44+G55</f>
        <v>1142161</v>
      </c>
      <c r="H57" s="2089"/>
      <c r="I57" s="2089">
        <f>+I44+I55</f>
        <v>2028124</v>
      </c>
      <c r="J57" s="2089"/>
      <c r="K57" s="2089">
        <f>+K44+K55</f>
        <v>2413138</v>
      </c>
      <c r="L57" s="2089"/>
      <c r="M57" s="2089">
        <f>+M44+M55</f>
        <v>819079</v>
      </c>
      <c r="N57" s="2089"/>
      <c r="O57" s="2089">
        <f>+O44+O55</f>
        <v>0</v>
      </c>
      <c r="P57" s="2089"/>
      <c r="Q57" s="2089">
        <f>+Q44+Q55</f>
        <v>3232217</v>
      </c>
      <c r="R57" s="2079" t="s">
        <v>1159</v>
      </c>
      <c r="S57" s="2084"/>
    </row>
    <row r="58" spans="1:19" s="2050" customFormat="1" ht="17.25" x14ac:dyDescent="0.2">
      <c r="A58" s="2081"/>
      <c r="C58" s="2088"/>
      <c r="D58" s="2043"/>
      <c r="E58" s="2043"/>
      <c r="F58" s="2047"/>
      <c r="G58" s="2089"/>
      <c r="H58" s="2089"/>
      <c r="I58" s="2089"/>
      <c r="J58" s="2089"/>
      <c r="K58" s="2089"/>
      <c r="L58" s="2089"/>
      <c r="M58" s="2089"/>
      <c r="N58" s="2089"/>
      <c r="O58" s="2089"/>
      <c r="P58" s="2089"/>
      <c r="Q58" s="2089"/>
      <c r="R58" s="2079"/>
      <c r="S58" s="2084"/>
    </row>
    <row r="59" spans="1:19" s="2050" customFormat="1" ht="17.25" x14ac:dyDescent="0.2">
      <c r="A59" s="2081"/>
      <c r="C59" s="2088"/>
      <c r="D59" s="2043"/>
      <c r="E59" s="2043"/>
      <c r="F59" s="2047"/>
      <c r="G59" s="2089"/>
      <c r="H59" s="2089"/>
      <c r="I59" s="2089"/>
      <c r="J59" s="2089"/>
      <c r="K59" s="2089"/>
      <c r="L59" s="2089"/>
      <c r="M59" s="2089"/>
      <c r="N59" s="2089"/>
      <c r="O59" s="2089"/>
      <c r="P59" s="2089"/>
      <c r="Q59" s="2089"/>
      <c r="R59" s="2079"/>
      <c r="S59" s="2084"/>
    </row>
    <row r="60" spans="1:19" s="2050" customFormat="1" ht="15" x14ac:dyDescent="0.2">
      <c r="A60" s="2043" t="s">
        <v>2143</v>
      </c>
      <c r="B60" s="2043"/>
      <c r="C60" s="2043"/>
      <c r="D60" s="2043"/>
      <c r="E60" s="2043"/>
      <c r="F60" s="2047"/>
      <c r="G60" s="2058"/>
      <c r="H60" s="2058"/>
      <c r="I60" s="2058"/>
      <c r="J60" s="2065"/>
      <c r="K60" s="2058"/>
      <c r="L60" s="2058"/>
      <c r="M60" s="2058"/>
      <c r="N60" s="2058"/>
      <c r="O60" s="2058"/>
      <c r="P60" s="2065"/>
      <c r="Q60" s="2058"/>
      <c r="R60" s="2058"/>
      <c r="S60" s="2065"/>
    </row>
    <row r="61" spans="1:19" s="2050" customFormat="1" ht="15" hidden="1" x14ac:dyDescent="0.2">
      <c r="A61" s="2043"/>
      <c r="B61" s="2043"/>
      <c r="C61" s="2043"/>
      <c r="D61" s="2043"/>
      <c r="E61" s="2043"/>
      <c r="F61" s="2047"/>
      <c r="G61" s="2058"/>
      <c r="H61" s="2058"/>
      <c r="I61" s="2058"/>
      <c r="J61" s="2065"/>
      <c r="K61" s="2058"/>
      <c r="L61" s="2058"/>
      <c r="M61" s="2058"/>
      <c r="N61" s="2058"/>
      <c r="O61" s="2058"/>
      <c r="P61" s="2065"/>
      <c r="Q61" s="2058"/>
      <c r="R61" s="2058"/>
      <c r="S61" s="2065"/>
    </row>
    <row r="62" spans="1:19" s="2050" customFormat="1" ht="15" hidden="1" x14ac:dyDescent="0.2">
      <c r="A62" s="2048" t="s">
        <v>2144</v>
      </c>
      <c r="F62" s="2083"/>
      <c r="G62" s="2090"/>
      <c r="H62" s="2090"/>
      <c r="I62" s="2090"/>
      <c r="J62" s="2091"/>
      <c r="K62" s="2090"/>
      <c r="L62" s="2090"/>
      <c r="M62" s="2092" t="s">
        <v>1159</v>
      </c>
      <c r="N62" s="2090"/>
      <c r="O62" s="2090" t="s">
        <v>1159</v>
      </c>
      <c r="P62" s="2091"/>
      <c r="Q62" s="2090"/>
      <c r="R62" s="2090"/>
      <c r="S62" s="2091"/>
    </row>
    <row r="63" spans="1:19" s="2050" customFormat="1" ht="15" hidden="1" x14ac:dyDescent="0.2">
      <c r="A63" s="2047"/>
      <c r="B63" s="2093" t="s">
        <v>2145</v>
      </c>
      <c r="C63" s="2094"/>
      <c r="F63" s="2083"/>
      <c r="G63" s="2090"/>
      <c r="H63" s="2090"/>
      <c r="I63" s="2090"/>
      <c r="J63" s="2091"/>
      <c r="K63" s="2090"/>
      <c r="L63" s="2090"/>
      <c r="M63" s="2090" t="s">
        <v>1159</v>
      </c>
      <c r="N63" s="2090"/>
      <c r="O63" s="2090"/>
      <c r="P63" s="2091"/>
      <c r="Q63" s="2090"/>
      <c r="R63" s="2090"/>
      <c r="S63" s="2091"/>
    </row>
    <row r="64" spans="1:19" s="2050" customFormat="1" ht="15" hidden="1" x14ac:dyDescent="0.2">
      <c r="A64" s="2047"/>
      <c r="B64" s="2043"/>
      <c r="C64" s="2095"/>
      <c r="F64" s="2083"/>
      <c r="G64" s="2090"/>
      <c r="H64" s="2090"/>
      <c r="I64" s="2090"/>
      <c r="J64" s="2091"/>
      <c r="K64" s="2090"/>
      <c r="L64" s="2090"/>
      <c r="M64" s="2090"/>
      <c r="N64" s="2090"/>
      <c r="O64" s="2090"/>
      <c r="P64" s="2091"/>
      <c r="Q64" s="2090"/>
      <c r="R64" s="2090"/>
      <c r="S64" s="2091"/>
    </row>
    <row r="65" spans="1:19" s="2050" customFormat="1" ht="15" x14ac:dyDescent="0.2">
      <c r="A65" s="2070" t="s">
        <v>2146</v>
      </c>
      <c r="C65" s="2095"/>
      <c r="F65" s="2083"/>
      <c r="G65" s="2090"/>
      <c r="H65" s="2090"/>
      <c r="I65" s="2090"/>
      <c r="J65" s="2091"/>
      <c r="K65" s="2090"/>
      <c r="L65" s="2090"/>
      <c r="M65" s="2090"/>
      <c r="N65" s="2090"/>
      <c r="O65" s="2090"/>
      <c r="P65" s="2091"/>
      <c r="Q65" s="2090"/>
      <c r="R65" s="2090"/>
      <c r="S65" s="2091"/>
    </row>
    <row r="66" spans="1:19" x14ac:dyDescent="0.2">
      <c r="C66" s="2096"/>
      <c r="G66" s="2097"/>
      <c r="H66" s="2097"/>
      <c r="I66" s="2097"/>
      <c r="J66" s="2098"/>
      <c r="K66" s="2097"/>
      <c r="L66" s="2097"/>
      <c r="M66" s="2097"/>
      <c r="N66" s="2097"/>
      <c r="O66" s="2097"/>
      <c r="P66" s="2098"/>
      <c r="Q66" s="2097"/>
      <c r="R66" s="2097"/>
      <c r="S66" s="2098"/>
    </row>
    <row r="67" spans="1:19" x14ac:dyDescent="0.2">
      <c r="C67" s="2096"/>
      <c r="G67" s="2097"/>
      <c r="H67" s="2097"/>
      <c r="I67" s="2097"/>
      <c r="J67" s="2098"/>
      <c r="K67" s="2097"/>
      <c r="L67" s="2097"/>
      <c r="M67" s="2097"/>
      <c r="N67" s="2097"/>
      <c r="O67" s="2097"/>
      <c r="P67" s="2098"/>
      <c r="Q67" s="2097"/>
      <c r="R67" s="2097"/>
      <c r="S67" s="2098"/>
    </row>
    <row r="68" spans="1:19" x14ac:dyDescent="0.2">
      <c r="C68" s="2096"/>
      <c r="G68" s="2097"/>
      <c r="H68" s="2097"/>
      <c r="I68" s="2097"/>
      <c r="J68" s="2098"/>
      <c r="K68" s="2097"/>
      <c r="L68" s="2097"/>
      <c r="M68" s="2097"/>
      <c r="N68" s="2097"/>
      <c r="O68" s="2097"/>
      <c r="P68" s="2098"/>
      <c r="Q68" s="2097"/>
      <c r="R68" s="2097"/>
      <c r="S68" s="2098"/>
    </row>
    <row r="69" spans="1:19" s="2100" customFormat="1" x14ac:dyDescent="0.2">
      <c r="A69" s="2099"/>
      <c r="C69" s="2101"/>
      <c r="F69" s="2102"/>
      <c r="G69" s="2103"/>
      <c r="H69" s="2103"/>
      <c r="I69" s="2103"/>
      <c r="J69" s="2104"/>
      <c r="K69" s="2103"/>
      <c r="L69" s="2103"/>
      <c r="M69" s="2103"/>
      <c r="N69" s="2103"/>
      <c r="O69" s="2103"/>
      <c r="P69" s="2104"/>
      <c r="Q69" s="2103"/>
      <c r="R69" s="2103"/>
      <c r="S69" s="2104"/>
    </row>
    <row r="70" spans="1:19" s="2105" customFormat="1" ht="13.5" customHeight="1" x14ac:dyDescent="0.2">
      <c r="A70" s="2653" t="s">
        <v>2147</v>
      </c>
      <c r="B70" s="2653"/>
      <c r="C70" s="2653"/>
      <c r="D70" s="2653"/>
      <c r="E70" s="2653"/>
      <c r="F70" s="2653"/>
      <c r="G70" s="2653"/>
      <c r="H70" s="2653"/>
      <c r="I70" s="2653"/>
      <c r="J70" s="2653"/>
      <c r="K70" s="2653"/>
      <c r="L70" s="2653"/>
      <c r="M70" s="2653"/>
      <c r="S70" s="2106"/>
    </row>
    <row r="71" spans="1:19" s="2105" customFormat="1" ht="13.5" customHeight="1" x14ac:dyDescent="0.2">
      <c r="A71" s="2654" t="s">
        <v>2148</v>
      </c>
      <c r="B71" s="2654"/>
      <c r="C71" s="2654"/>
      <c r="D71" s="2654"/>
      <c r="E71" s="2654"/>
      <c r="F71" s="2654"/>
      <c r="G71" s="2654"/>
      <c r="H71" s="2654"/>
      <c r="I71" s="2654"/>
      <c r="J71" s="2654"/>
      <c r="K71" s="2654"/>
      <c r="L71" s="2654"/>
      <c r="M71" s="2654"/>
      <c r="S71" s="2106"/>
    </row>
    <row r="72" spans="1:19" s="2105" customFormat="1" ht="13.5" customHeight="1" x14ac:dyDescent="0.2">
      <c r="A72" s="2653" t="s">
        <v>2149</v>
      </c>
      <c r="B72" s="2653"/>
      <c r="C72" s="2653"/>
      <c r="D72" s="2653"/>
      <c r="E72" s="2653"/>
      <c r="F72" s="2653"/>
      <c r="G72" s="2653"/>
      <c r="H72" s="2653"/>
      <c r="I72" s="2653"/>
      <c r="J72" s="2653"/>
      <c r="K72" s="2653"/>
      <c r="L72" s="2653"/>
      <c r="M72" s="2653"/>
      <c r="S72" s="2106"/>
    </row>
    <row r="73" spans="1:19" s="2105" customFormat="1" ht="13.5" customHeight="1" x14ac:dyDescent="0.2">
      <c r="A73" s="2107" t="s">
        <v>2150</v>
      </c>
      <c r="B73" s="2107"/>
      <c r="C73" s="2107"/>
      <c r="D73" s="2107"/>
      <c r="E73" s="2107"/>
      <c r="F73" s="2107"/>
      <c r="G73" s="2107"/>
      <c r="H73" s="2107"/>
      <c r="I73" s="2107"/>
      <c r="J73" s="2107"/>
      <c r="K73" s="2107"/>
      <c r="L73" s="2107"/>
      <c r="M73" s="2107"/>
      <c r="S73" s="2106"/>
    </row>
    <row r="74" spans="1:19" s="2105" customFormat="1" ht="13.5" customHeight="1" x14ac:dyDescent="0.2">
      <c r="A74" s="2108" t="s">
        <v>2151</v>
      </c>
      <c r="B74" s="2109"/>
      <c r="C74" s="2110"/>
      <c r="D74" s="2111"/>
      <c r="E74" s="2111"/>
      <c r="F74" s="2111"/>
      <c r="G74" s="2111"/>
      <c r="H74" s="2111"/>
      <c r="I74" s="2111"/>
      <c r="J74" s="2111"/>
      <c r="S74" s="2106"/>
    </row>
    <row r="75" spans="1:19" s="2105" customFormat="1" ht="13.5" customHeight="1" x14ac:dyDescent="0.2">
      <c r="A75" s="2108" t="s">
        <v>2152</v>
      </c>
      <c r="B75" s="2109"/>
      <c r="C75" s="2110"/>
      <c r="D75" s="2111"/>
      <c r="E75" s="2111"/>
      <c r="F75" s="2111"/>
      <c r="G75" s="2111"/>
      <c r="H75" s="2111"/>
      <c r="I75" s="2111"/>
      <c r="J75" s="2111"/>
      <c r="S75" s="2106"/>
    </row>
    <row r="76" spans="1:19" s="2105" customFormat="1" ht="13.5" customHeight="1" x14ac:dyDescent="0.2">
      <c r="A76" s="2111" t="s">
        <v>2153</v>
      </c>
      <c r="B76" s="2112"/>
      <c r="C76" s="2113"/>
      <c r="S76" s="2106"/>
    </row>
    <row r="77" spans="1:19" s="2105" customFormat="1" ht="13.5" customHeight="1" x14ac:dyDescent="0.2">
      <c r="A77" s="2111" t="s">
        <v>2154</v>
      </c>
      <c r="B77" s="2112"/>
      <c r="C77" s="2113"/>
      <c r="S77" s="2106"/>
    </row>
    <row r="78" spans="1:19" s="2105" customFormat="1" ht="13.5" customHeight="1" x14ac:dyDescent="0.2">
      <c r="A78" s="2111" t="s">
        <v>2155</v>
      </c>
      <c r="B78" s="2112"/>
      <c r="C78" s="2113"/>
      <c r="S78" s="2106"/>
    </row>
    <row r="79" spans="1:19" s="2114" customFormat="1" ht="13.5" customHeight="1" x14ac:dyDescent="0.15">
      <c r="B79" s="2115"/>
      <c r="C79" s="2116"/>
      <c r="F79" s="2117"/>
      <c r="G79" s="2117"/>
      <c r="H79" s="2117"/>
      <c r="I79" s="2117"/>
      <c r="J79" s="2118"/>
      <c r="S79" s="2117"/>
    </row>
  </sheetData>
  <mergeCells count="8">
    <mergeCell ref="A26:B26"/>
    <mergeCell ref="A70:M70"/>
    <mergeCell ref="A71:M71"/>
    <mergeCell ref="A72:M72"/>
    <mergeCell ref="A4:S4"/>
    <mergeCell ref="A5:S5"/>
    <mergeCell ref="A6:S6"/>
    <mergeCell ref="A7:S7"/>
  </mergeCells>
  <printOptions gridLinesSet="0"/>
  <pageMargins left="0.25" right="0.25" top="0.5" bottom="0" header="0.5" footer="0"/>
  <pageSetup scale="65" orientation="landscape" r:id="rId1"/>
  <headerFooter alignWithMargins="0">
    <oddFooter xml:space="preserve">&amp;L&amp;"Times New Roman,Regular"See accompanying notes to the Schedule of Expenditures of Federal Awards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36" t="s">
        <v>1158</v>
      </c>
      <c r="B2" s="2236"/>
      <c r="C2" s="2236"/>
      <c r="D2" s="2236"/>
      <c r="E2" s="2236"/>
      <c r="F2" s="2236"/>
      <c r="G2" s="2236"/>
      <c r="H2" s="2236"/>
      <c r="I2" s="2236"/>
      <c r="J2" s="223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1768</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50" t="s">
        <v>1616</v>
      </c>
      <c r="B35" s="2251"/>
      <c r="C35" s="2251"/>
      <c r="D35" s="2251"/>
      <c r="E35" s="2252"/>
      <c r="F35" s="2252"/>
      <c r="G35" s="2252"/>
      <c r="H35" s="2252"/>
      <c r="I35" s="225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50" t="s">
        <v>310</v>
      </c>
      <c r="B47" s="2253"/>
      <c r="C47" s="2253"/>
      <c r="D47" s="2253"/>
      <c r="E47" s="2254"/>
      <c r="F47" s="2254"/>
      <c r="G47" s="2254"/>
      <c r="H47" s="2254"/>
      <c r="I47" s="225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57"/>
      <c r="C57" s="2258"/>
      <c r="D57" s="2258"/>
      <c r="E57" s="2258"/>
      <c r="F57" s="2258"/>
      <c r="G57" s="2258"/>
      <c r="H57" s="2258"/>
      <c r="I57" s="2258"/>
      <c r="J57" s="2259"/>
    </row>
    <row r="58" spans="1:10" s="176" customFormat="1" x14ac:dyDescent="0.2">
      <c r="A58" s="248"/>
      <c r="B58" s="2260"/>
      <c r="C58" s="2261"/>
      <c r="D58" s="2261"/>
      <c r="E58" s="2261"/>
      <c r="F58" s="2261"/>
      <c r="G58" s="2261"/>
      <c r="H58" s="2261"/>
      <c r="I58" s="2261"/>
      <c r="J58" s="2262"/>
    </row>
    <row r="59" spans="1:10" s="176" customFormat="1" x14ac:dyDescent="0.2">
      <c r="A59" s="248"/>
      <c r="B59" s="2260"/>
      <c r="C59" s="2261"/>
      <c r="D59" s="2261"/>
      <c r="E59" s="2261"/>
      <c r="F59" s="2261"/>
      <c r="G59" s="2261"/>
      <c r="H59" s="2261"/>
      <c r="I59" s="2261"/>
      <c r="J59" s="2262"/>
    </row>
    <row r="60" spans="1:10" s="176" customFormat="1" x14ac:dyDescent="0.2">
      <c r="A60" s="248"/>
      <c r="B60" s="2260"/>
      <c r="C60" s="2261"/>
      <c r="D60" s="2261"/>
      <c r="E60" s="2261"/>
      <c r="F60" s="2261"/>
      <c r="G60" s="2261"/>
      <c r="H60" s="2261"/>
      <c r="I60" s="2261"/>
      <c r="J60" s="2262"/>
    </row>
    <row r="61" spans="1:10" s="176" customFormat="1" x14ac:dyDescent="0.2">
      <c r="A61" s="248"/>
      <c r="B61" s="2260"/>
      <c r="C61" s="2261"/>
      <c r="D61" s="2261"/>
      <c r="E61" s="2261"/>
      <c r="F61" s="2261"/>
      <c r="G61" s="2261"/>
      <c r="H61" s="2261"/>
      <c r="I61" s="2261"/>
      <c r="J61" s="2262"/>
    </row>
    <row r="62" spans="1:10" s="176" customFormat="1" x14ac:dyDescent="0.2">
      <c r="A62" s="248"/>
      <c r="B62" s="2260"/>
      <c r="C62" s="2261"/>
      <c r="D62" s="2261"/>
      <c r="E62" s="2261"/>
      <c r="F62" s="2261"/>
      <c r="G62" s="2261"/>
      <c r="H62" s="2261"/>
      <c r="I62" s="2261"/>
      <c r="J62" s="2262"/>
    </row>
    <row r="63" spans="1:10" s="176" customFormat="1" x14ac:dyDescent="0.2">
      <c r="A63" s="248"/>
      <c r="B63" s="2260"/>
      <c r="C63" s="2261"/>
      <c r="D63" s="2261"/>
      <c r="E63" s="2261"/>
      <c r="F63" s="2261"/>
      <c r="G63" s="2261"/>
      <c r="H63" s="2261"/>
      <c r="I63" s="2261"/>
      <c r="J63" s="2262"/>
    </row>
    <row r="64" spans="1:10" s="176" customFormat="1" x14ac:dyDescent="0.2">
      <c r="A64" s="248"/>
      <c r="B64" s="2260"/>
      <c r="C64" s="2261"/>
      <c r="D64" s="2261"/>
      <c r="E64" s="2261"/>
      <c r="F64" s="2261"/>
      <c r="G64" s="2261"/>
      <c r="H64" s="2261"/>
      <c r="I64" s="2261"/>
      <c r="J64" s="2262"/>
    </row>
    <row r="65" spans="1:11" s="176" customFormat="1" x14ac:dyDescent="0.2">
      <c r="A65" s="248"/>
      <c r="B65" s="2260"/>
      <c r="C65" s="2261"/>
      <c r="D65" s="2261"/>
      <c r="E65" s="2261"/>
      <c r="F65" s="2261"/>
      <c r="G65" s="2261"/>
      <c r="H65" s="2261"/>
      <c r="I65" s="2261"/>
      <c r="J65" s="2262"/>
    </row>
    <row r="66" spans="1:11" s="176" customFormat="1" x14ac:dyDescent="0.2">
      <c r="A66" s="248"/>
      <c r="B66" s="2260"/>
      <c r="C66" s="2261"/>
      <c r="D66" s="2261"/>
      <c r="E66" s="2261"/>
      <c r="F66" s="2261"/>
      <c r="G66" s="2261"/>
      <c r="H66" s="2261"/>
      <c r="I66" s="2261"/>
      <c r="J66" s="2262"/>
    </row>
    <row r="67" spans="1:11" s="176" customFormat="1" ht="9" customHeight="1" x14ac:dyDescent="0.2">
      <c r="A67" s="249"/>
      <c r="B67" s="2263"/>
      <c r="C67" s="2264"/>
      <c r="D67" s="2264"/>
      <c r="E67" s="2264"/>
      <c r="F67" s="2264"/>
      <c r="G67" s="2264"/>
      <c r="H67" s="2264"/>
      <c r="I67" s="2264"/>
      <c r="J67" s="226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50" t="s">
        <v>1312</v>
      </c>
      <c r="B70" s="2253"/>
      <c r="C70" s="2253"/>
      <c r="D70" s="2253"/>
      <c r="E70" s="2254"/>
      <c r="F70" s="2254"/>
      <c r="G70" s="2254"/>
      <c r="H70" s="2254"/>
      <c r="I70" s="225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1870</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55" t="s">
        <v>1309</v>
      </c>
      <c r="B83" s="2255"/>
      <c r="C83" s="2255"/>
      <c r="D83" s="225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66" t="s">
        <v>1987</v>
      </c>
      <c r="B85" s="2266"/>
      <c r="C85" s="2266"/>
      <c r="D85" s="2267"/>
      <c r="E85" s="1544"/>
      <c r="F85" s="1544"/>
      <c r="G85" s="1544">
        <v>1</v>
      </c>
      <c r="H85" s="1544"/>
      <c r="I85" s="1904"/>
      <c r="J85" s="1727">
        <f>SUM(E85:I85)</f>
        <v>1</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68" t="s">
        <v>1987</v>
      </c>
      <c r="B88" s="2269"/>
      <c r="C88" s="2269"/>
      <c r="D88" s="227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1</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37"/>
      <c r="C102" s="2238"/>
      <c r="D102" s="2238"/>
      <c r="E102" s="2238"/>
      <c r="F102" s="2238"/>
      <c r="G102" s="2238"/>
      <c r="H102" s="2238"/>
      <c r="I102" s="2239"/>
    </row>
    <row r="103" spans="1:9" s="176" customFormat="1" ht="11.25" customHeight="1" x14ac:dyDescent="0.2">
      <c r="A103" s="294"/>
      <c r="B103" s="2240"/>
      <c r="C103" s="2241"/>
      <c r="D103" s="2241"/>
      <c r="E103" s="2241"/>
      <c r="F103" s="2241"/>
      <c r="G103" s="2241"/>
      <c r="H103" s="2241"/>
      <c r="I103" s="2242"/>
    </row>
    <row r="104" spans="1:9" s="176" customFormat="1" ht="11.25" customHeight="1" x14ac:dyDescent="0.2">
      <c r="A104" s="294"/>
      <c r="B104" s="2240"/>
      <c r="C104" s="2241"/>
      <c r="D104" s="2241"/>
      <c r="E104" s="2241"/>
      <c r="F104" s="2241"/>
      <c r="G104" s="2241"/>
      <c r="H104" s="2241"/>
      <c r="I104" s="2242"/>
    </row>
    <row r="105" spans="1:9" s="176" customFormat="1" x14ac:dyDescent="0.2">
      <c r="A105" s="294"/>
      <c r="B105" s="2240"/>
      <c r="C105" s="2241"/>
      <c r="D105" s="2241"/>
      <c r="E105" s="2241"/>
      <c r="F105" s="2241"/>
      <c r="G105" s="2241"/>
      <c r="H105" s="2241"/>
      <c r="I105" s="2242"/>
    </row>
    <row r="106" spans="1:9" s="176" customFormat="1" ht="11.25" customHeight="1" x14ac:dyDescent="0.2">
      <c r="A106" s="294"/>
      <c r="B106" s="2240"/>
      <c r="C106" s="2241"/>
      <c r="D106" s="2241"/>
      <c r="E106" s="2241"/>
      <c r="F106" s="2241"/>
      <c r="G106" s="2241"/>
      <c r="H106" s="2241"/>
      <c r="I106" s="2242"/>
    </row>
    <row r="107" spans="1:9" s="176" customFormat="1" ht="11.25" customHeight="1" x14ac:dyDescent="0.2">
      <c r="A107" s="294"/>
      <c r="B107" s="2240"/>
      <c r="C107" s="2241"/>
      <c r="D107" s="2241"/>
      <c r="E107" s="2241"/>
      <c r="F107" s="2241"/>
      <c r="G107" s="2241"/>
      <c r="H107" s="2241"/>
      <c r="I107" s="2242"/>
    </row>
    <row r="108" spans="1:9" s="176" customFormat="1" ht="11.25" customHeight="1" x14ac:dyDescent="0.2">
      <c r="A108" s="294"/>
      <c r="B108" s="2240"/>
      <c r="C108" s="2241"/>
      <c r="D108" s="2241"/>
      <c r="E108" s="2241"/>
      <c r="F108" s="2241"/>
      <c r="G108" s="2241"/>
      <c r="H108" s="2241"/>
      <c r="I108" s="2242"/>
    </row>
    <row r="109" spans="1:9" s="176" customFormat="1" ht="11.25" customHeight="1" x14ac:dyDescent="0.2">
      <c r="A109" s="294"/>
      <c r="B109" s="2240"/>
      <c r="C109" s="2241"/>
      <c r="D109" s="2241"/>
      <c r="E109" s="2241"/>
      <c r="F109" s="2241"/>
      <c r="G109" s="2241"/>
      <c r="H109" s="2241"/>
      <c r="I109" s="2242"/>
    </row>
    <row r="110" spans="1:9" s="176" customFormat="1" ht="11.25" customHeight="1" x14ac:dyDescent="0.2">
      <c r="A110" s="294"/>
      <c r="B110" s="2240"/>
      <c r="C110" s="2241"/>
      <c r="D110" s="2241"/>
      <c r="E110" s="2241"/>
      <c r="F110" s="2241"/>
      <c r="G110" s="2241"/>
      <c r="H110" s="2241"/>
      <c r="I110" s="2242"/>
    </row>
    <row r="111" spans="1:9" s="176" customFormat="1" ht="11.25" customHeight="1" x14ac:dyDescent="0.2">
      <c r="A111" s="294"/>
      <c r="B111" s="2240"/>
      <c r="C111" s="2241"/>
      <c r="D111" s="2241"/>
      <c r="E111" s="2241"/>
      <c r="F111" s="2241"/>
      <c r="G111" s="2241"/>
      <c r="H111" s="2241"/>
      <c r="I111" s="2242"/>
    </row>
    <row r="112" spans="1:9" s="176" customFormat="1" ht="11.25" customHeight="1" x14ac:dyDescent="0.2">
      <c r="A112" s="294"/>
      <c r="B112" s="2243"/>
      <c r="C112" s="2244"/>
      <c r="D112" s="2244"/>
      <c r="E112" s="2244"/>
      <c r="F112" s="2244"/>
      <c r="G112" s="2244"/>
      <c r="H112" s="2244"/>
      <c r="I112" s="224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46" t="s">
        <v>2050</v>
      </c>
      <c r="D114" s="224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47" t="s">
        <v>1319</v>
      </c>
      <c r="D117" s="2248"/>
      <c r="E117" s="2249"/>
      <c r="F117" s="2249"/>
      <c r="G117" s="2249"/>
      <c r="H117" s="2249"/>
      <c r="I117" s="282"/>
    </row>
    <row r="118" spans="1:9" s="176" customFormat="1" ht="24" customHeight="1" x14ac:dyDescent="0.2">
      <c r="A118" s="294"/>
      <c r="B118" s="294"/>
      <c r="C118" s="294"/>
      <c r="D118" s="301" t="s">
        <v>2156</v>
      </c>
      <c r="E118" s="300"/>
      <c r="F118" s="302"/>
      <c r="G118" s="1473"/>
      <c r="H118" s="300"/>
      <c r="I118" s="282"/>
    </row>
    <row r="119" spans="1:9" s="176" customFormat="1" ht="11.25" customHeight="1" x14ac:dyDescent="0.2">
      <c r="A119" s="303"/>
      <c r="B119" s="303"/>
      <c r="C119" s="304"/>
      <c r="D119" s="305" t="s">
        <v>358</v>
      </c>
      <c r="E119" s="288"/>
      <c r="F119" s="1472" t="s">
        <v>1871</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5"/>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58" t="str">
        <f>'Single Audit Cover'!A7</f>
        <v xml:space="preserve">  Henry-Stark County Spec Ed Dist</v>
      </c>
      <c r="B1" s="2658"/>
      <c r="C1" s="2658"/>
      <c r="D1" s="2658"/>
      <c r="E1" s="2658"/>
      <c r="F1" s="2658"/>
    </row>
    <row r="2" spans="1:7" ht="13.5" customHeight="1" x14ac:dyDescent="0.2">
      <c r="A2" s="2649">
        <f>'Single Audit Cover'!E7</f>
        <v>28037801060</v>
      </c>
      <c r="B2" s="2649"/>
      <c r="C2" s="2649"/>
      <c r="D2" s="2649"/>
      <c r="E2" s="2649"/>
      <c r="F2" s="2649"/>
      <c r="G2" s="1051"/>
    </row>
    <row r="3" spans="1:7" ht="15.75" customHeight="1" x14ac:dyDescent="0.2">
      <c r="A3" s="2659" t="s">
        <v>1260</v>
      </c>
      <c r="B3" s="2659"/>
      <c r="C3" s="2659"/>
      <c r="D3" s="2659"/>
      <c r="E3" s="2659"/>
      <c r="F3" s="2659"/>
    </row>
    <row r="4" spans="1:7" ht="13.5" customHeight="1" x14ac:dyDescent="0.2">
      <c r="A4" s="2660" t="str">
        <f>'Single Audit Cover'!A4</f>
        <v>Year Ending June 30, 2020</v>
      </c>
      <c r="B4" s="2660"/>
      <c r="C4" s="2660"/>
      <c r="D4" s="2660"/>
      <c r="E4" s="2660"/>
      <c r="F4" s="2660"/>
    </row>
    <row r="5" spans="1:7" ht="8.25" customHeight="1" x14ac:dyDescent="0.2">
      <c r="C5" s="295"/>
      <c r="D5" s="295"/>
    </row>
    <row r="6" spans="1:7" ht="13.5" customHeight="1" x14ac:dyDescent="0.2">
      <c r="A6" s="1052" t="s">
        <v>1705</v>
      </c>
      <c r="C6" s="295"/>
      <c r="D6" s="295"/>
    </row>
    <row r="7" spans="1:7" ht="60.95" customHeight="1" x14ac:dyDescent="0.2">
      <c r="A7" s="2657" t="s">
        <v>2070</v>
      </c>
      <c r="B7" s="2657"/>
      <c r="C7" s="2657"/>
      <c r="D7" s="2657"/>
      <c r="E7" s="2657"/>
      <c r="F7" s="2657"/>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2067</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57" t="s">
        <v>1707</v>
      </c>
      <c r="B13" s="2657"/>
      <c r="C13" s="2657"/>
      <c r="D13" s="2657"/>
      <c r="E13" s="2657"/>
      <c r="F13" s="2657"/>
    </row>
    <row r="14" spans="1:7" ht="9.75" customHeight="1" x14ac:dyDescent="0.2">
      <c r="C14" s="1036"/>
      <c r="D14" s="1036"/>
    </row>
    <row r="15" spans="1:7" ht="13.5" customHeight="1" x14ac:dyDescent="0.2">
      <c r="C15" s="1476" t="s">
        <v>1259</v>
      </c>
      <c r="D15" s="2662" t="s">
        <v>1258</v>
      </c>
      <c r="E15" s="2662"/>
      <c r="F15" s="2662"/>
    </row>
    <row r="16" spans="1:7" ht="13.5" customHeight="1" x14ac:dyDescent="0.2">
      <c r="A16" s="1058"/>
      <c r="B16" s="1052" t="s">
        <v>1257</v>
      </c>
      <c r="C16" s="1476" t="s">
        <v>1256</v>
      </c>
      <c r="D16" s="2663" t="s">
        <v>1571</v>
      </c>
      <c r="E16" s="2663"/>
      <c r="F16" s="2663"/>
    </row>
    <row r="17" spans="1:6" ht="20.45" customHeight="1" x14ac:dyDescent="0.2">
      <c r="A17" s="1059"/>
      <c r="B17" s="2035" t="s">
        <v>2071</v>
      </c>
      <c r="C17" s="1061"/>
      <c r="D17" s="2661"/>
      <c r="E17" s="2661"/>
      <c r="F17" s="2661"/>
    </row>
    <row r="18" spans="1:6" ht="20.65" hidden="1" customHeight="1" x14ac:dyDescent="0.2">
      <c r="A18" s="1059"/>
      <c r="B18" s="1060"/>
      <c r="C18" s="1061"/>
      <c r="D18" s="2661"/>
      <c r="E18" s="2661"/>
      <c r="F18" s="2661"/>
    </row>
    <row r="19" spans="1:6" ht="20.65" hidden="1" customHeight="1" x14ac:dyDescent="0.2">
      <c r="A19" s="1059"/>
      <c r="B19" s="1060"/>
      <c r="C19" s="1061"/>
      <c r="D19" s="2661"/>
      <c r="E19" s="2661"/>
      <c r="F19" s="2661"/>
    </row>
    <row r="20" spans="1:6" ht="20.65" hidden="1" customHeight="1" x14ac:dyDescent="0.2">
      <c r="A20" s="1059"/>
      <c r="B20" s="1060"/>
      <c r="C20" s="1061"/>
      <c r="D20" s="2661"/>
      <c r="E20" s="2661"/>
      <c r="F20" s="2661"/>
    </row>
    <row r="21" spans="1:6" ht="20.65" hidden="1" customHeight="1" x14ac:dyDescent="0.2">
      <c r="A21" s="1059"/>
      <c r="B21" s="1060"/>
      <c r="C21" s="1061"/>
      <c r="D21" s="2661"/>
      <c r="E21" s="2661"/>
      <c r="F21" s="2661"/>
    </row>
    <row r="22" spans="1:6" ht="20.65" hidden="1" customHeight="1" x14ac:dyDescent="0.2">
      <c r="A22" s="1059"/>
      <c r="B22" s="1060"/>
      <c r="C22" s="1061"/>
      <c r="D22" s="2661"/>
      <c r="E22" s="2661"/>
      <c r="F22" s="2661"/>
    </row>
    <row r="23" spans="1:6" ht="20.65" hidden="1" customHeight="1" x14ac:dyDescent="0.2">
      <c r="A23" s="1059"/>
      <c r="B23" s="1060"/>
      <c r="C23" s="1061"/>
      <c r="D23" s="2661"/>
      <c r="E23" s="2661"/>
      <c r="F23" s="2661"/>
    </row>
    <row r="24" spans="1:6" ht="20.65" hidden="1" customHeight="1" x14ac:dyDescent="0.2">
      <c r="A24" s="1059"/>
      <c r="B24" s="1060"/>
      <c r="C24" s="1061"/>
      <c r="D24" s="2661"/>
      <c r="E24" s="2661"/>
      <c r="F24" s="2661"/>
    </row>
    <row r="25" spans="1:6" ht="20.65" hidden="1" customHeight="1" x14ac:dyDescent="0.2">
      <c r="A25" s="1059"/>
      <c r="B25" s="1060"/>
      <c r="C25" s="1061"/>
      <c r="D25" s="2661"/>
      <c r="E25" s="2661"/>
      <c r="F25" s="2661"/>
    </row>
    <row r="26" spans="1:6" ht="20.65" hidden="1" customHeight="1" x14ac:dyDescent="0.2">
      <c r="A26" s="1059"/>
      <c r="B26" s="1060"/>
      <c r="C26" s="1061"/>
      <c r="D26" s="2661"/>
      <c r="E26" s="2661"/>
      <c r="F26" s="2661"/>
    </row>
    <row r="27" spans="1:6" ht="20.65" hidden="1" customHeight="1" x14ac:dyDescent="0.2">
      <c r="A27" s="1059"/>
      <c r="B27" s="1060"/>
      <c r="C27" s="1061"/>
      <c r="D27" s="2661"/>
      <c r="E27" s="2661"/>
      <c r="F27" s="2661"/>
    </row>
    <row r="28" spans="1:6" ht="20.65" hidden="1" customHeight="1" x14ac:dyDescent="0.2">
      <c r="A28" s="1059"/>
      <c r="B28" s="1060"/>
      <c r="C28" s="1061"/>
      <c r="D28" s="2661"/>
      <c r="E28" s="2661"/>
      <c r="F28" s="2661"/>
    </row>
    <row r="29" spans="1:6" ht="20.65" hidden="1" customHeight="1" x14ac:dyDescent="0.2">
      <c r="A29" s="1059"/>
      <c r="B29" s="1060"/>
      <c r="C29" s="1061"/>
      <c r="D29" s="2661"/>
      <c r="E29" s="2661"/>
      <c r="F29" s="266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65" t="s">
        <v>2072</v>
      </c>
      <c r="B32" s="2665"/>
      <c r="C32" s="2665"/>
      <c r="D32" s="2665"/>
      <c r="E32" s="2665"/>
      <c r="F32" s="2665"/>
    </row>
    <row r="33" spans="1:6" ht="13.5" customHeight="1" x14ac:dyDescent="0.2">
      <c r="A33" s="306" t="s">
        <v>1417</v>
      </c>
      <c r="B33" s="306"/>
      <c r="C33" s="1064">
        <v>0</v>
      </c>
      <c r="D33" s="1526"/>
      <c r="E33" s="1062"/>
    </row>
    <row r="34" spans="1:6" ht="13.5" customHeight="1" x14ac:dyDescent="0.2">
      <c r="A34" s="306" t="s">
        <v>1809</v>
      </c>
      <c r="B34" s="306"/>
      <c r="C34" s="1065">
        <v>0</v>
      </c>
      <c r="D34" s="1526" t="s">
        <v>1572</v>
      </c>
      <c r="E34" s="2666">
        <f>+C33+C34</f>
        <v>0</v>
      </c>
      <c r="F34" s="2667"/>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v>0</v>
      </c>
      <c r="D38" s="1526"/>
      <c r="E38" s="1062"/>
    </row>
    <row r="39" spans="1:6" ht="14.25" customHeight="1" x14ac:dyDescent="0.2">
      <c r="A39" s="306"/>
      <c r="B39" s="306" t="s">
        <v>1419</v>
      </c>
      <c r="C39" s="1068">
        <v>0</v>
      </c>
      <c r="D39" s="1526"/>
      <c r="E39" s="1062"/>
    </row>
    <row r="40" spans="1:6" ht="14.25" customHeight="1" x14ac:dyDescent="0.2">
      <c r="A40" s="306"/>
      <c r="B40" s="306" t="s">
        <v>1420</v>
      </c>
      <c r="C40" s="1068">
        <v>0</v>
      </c>
      <c r="D40" s="1526"/>
      <c r="E40" s="1062"/>
    </row>
    <row r="41" spans="1:6" ht="14.25" customHeight="1" x14ac:dyDescent="0.2">
      <c r="A41" s="306"/>
      <c r="B41" s="306" t="s">
        <v>1421</v>
      </c>
      <c r="C41" s="1068">
        <v>0</v>
      </c>
      <c r="D41" s="1526"/>
      <c r="E41" s="1062"/>
    </row>
    <row r="42" spans="1:6" ht="14.25" customHeight="1" x14ac:dyDescent="0.2">
      <c r="A42" s="306" t="s">
        <v>1422</v>
      </c>
      <c r="B42" s="306"/>
      <c r="C42" s="1524">
        <v>0</v>
      </c>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4.25" customHeight="1" x14ac:dyDescent="0.2">
      <c r="A45" s="1063" t="s">
        <v>2073</v>
      </c>
      <c r="B45" s="306"/>
      <c r="C45" s="1528"/>
      <c r="D45" s="1526"/>
      <c r="E45" s="1062"/>
    </row>
    <row r="46" spans="1:6" ht="14.25" customHeight="1" x14ac:dyDescent="0.2">
      <c r="A46" s="306"/>
      <c r="B46" s="2669" t="s">
        <v>2074</v>
      </c>
      <c r="C46" s="2670"/>
      <c r="D46" s="2670"/>
      <c r="E46" s="1062"/>
    </row>
    <row r="47" spans="1:6" ht="14.25" customHeight="1" x14ac:dyDescent="0.2">
      <c r="A47" s="306"/>
      <c r="B47" s="2670"/>
      <c r="C47" s="2670"/>
      <c r="D47" s="2670"/>
      <c r="E47" s="1062"/>
    </row>
    <row r="48" spans="1:6" ht="13.5" customHeight="1" x14ac:dyDescent="0.2">
      <c r="B48" s="2670"/>
      <c r="C48" s="2670"/>
      <c r="D48" s="2670"/>
    </row>
    <row r="49" spans="1:6" x14ac:dyDescent="0.2">
      <c r="A49" s="1071" t="s">
        <v>1708</v>
      </c>
      <c r="C49" s="295"/>
      <c r="D49" s="295"/>
    </row>
    <row r="50" spans="1:6" s="300" customFormat="1" ht="11.25" customHeight="1" x14ac:dyDescent="0.2">
      <c r="A50" s="1072"/>
      <c r="B50" s="1073"/>
      <c r="C50" s="1073"/>
      <c r="D50" s="1073"/>
      <c r="E50" s="1073"/>
      <c r="F50" s="1073"/>
    </row>
    <row r="51" spans="1:6" s="300" customFormat="1" ht="6" customHeight="1" x14ac:dyDescent="0.2">
      <c r="A51" s="1074"/>
    </row>
    <row r="52" spans="1:6" s="1076" customFormat="1" ht="23.25" customHeight="1" x14ac:dyDescent="0.2">
      <c r="A52" s="1075">
        <v>5</v>
      </c>
      <c r="B52" s="2668" t="s">
        <v>1573</v>
      </c>
      <c r="C52" s="2668"/>
      <c r="D52" s="2668"/>
      <c r="E52" s="1168"/>
    </row>
    <row r="53" spans="1:6" s="1076" customFormat="1" ht="3.75" customHeight="1" x14ac:dyDescent="0.2">
      <c r="A53" s="1075"/>
      <c r="B53" s="1475"/>
      <c r="C53" s="1475"/>
      <c r="D53" s="1475"/>
      <c r="E53" s="1168"/>
    </row>
    <row r="54" spans="1:6" s="1076" customFormat="1" ht="20.25" customHeight="1" x14ac:dyDescent="0.2">
      <c r="A54" s="1077">
        <v>6</v>
      </c>
      <c r="B54" s="2664" t="s">
        <v>1534</v>
      </c>
      <c r="C54" s="2664"/>
      <c r="D54" s="2664"/>
    </row>
    <row r="55" spans="1:6" ht="14.25" customHeight="1" x14ac:dyDescent="0.2">
      <c r="A55" s="1077"/>
      <c r="B55" s="2664"/>
      <c r="C55" s="2664"/>
      <c r="D55" s="2664"/>
    </row>
  </sheetData>
  <mergeCells count="27">
    <mergeCell ref="B54:D54"/>
    <mergeCell ref="B55:D55"/>
    <mergeCell ref="D27:F27"/>
    <mergeCell ref="D28:F28"/>
    <mergeCell ref="D29:F29"/>
    <mergeCell ref="A32:F32"/>
    <mergeCell ref="E34:F34"/>
    <mergeCell ref="B52:D52"/>
    <mergeCell ref="B46:D48"/>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7"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75" t="str">
        <f>'Single Audit Cover'!A7</f>
        <v xml:space="preserve">  Henry-Stark County Spec Ed Dist</v>
      </c>
      <c r="C1" s="2676"/>
      <c r="D1" s="2676"/>
      <c r="E1" s="2676"/>
      <c r="F1" s="2676"/>
      <c r="G1" s="2676"/>
      <c r="H1" s="2676"/>
      <c r="I1" s="2676"/>
      <c r="J1" s="1178"/>
    </row>
    <row r="2" spans="2:10" s="295" customFormat="1" ht="12.75" customHeight="1" x14ac:dyDescent="0.2">
      <c r="B2" s="2677">
        <f>'Single Audit Cover'!E7</f>
        <v>28037801060</v>
      </c>
      <c r="C2" s="2678"/>
      <c r="D2" s="2678"/>
      <c r="E2" s="2678"/>
      <c r="F2" s="2678"/>
      <c r="G2" s="2678"/>
      <c r="H2" s="2678"/>
      <c r="I2" s="2678"/>
      <c r="J2" s="1178"/>
    </row>
    <row r="3" spans="2:10" s="295" customFormat="1" ht="12.75" customHeight="1" x14ac:dyDescent="0.2">
      <c r="B3" s="2679" t="s">
        <v>1274</v>
      </c>
      <c r="C3" s="2680"/>
      <c r="D3" s="2680"/>
      <c r="E3" s="2680"/>
      <c r="F3" s="2680"/>
      <c r="G3" s="2680"/>
      <c r="H3" s="2680"/>
      <c r="I3" s="2680"/>
      <c r="J3" s="1179"/>
    </row>
    <row r="4" spans="2:10" s="295" customFormat="1" ht="12.75" customHeight="1" x14ac:dyDescent="0.2">
      <c r="B4" s="2679" t="str">
        <f>'Single Audit Cover'!A4</f>
        <v>Year Ending June 30, 2020</v>
      </c>
      <c r="C4" s="2680"/>
      <c r="D4" s="2680"/>
      <c r="E4" s="2680"/>
      <c r="F4" s="2680"/>
      <c r="G4" s="2680"/>
      <c r="H4" s="2680"/>
      <c r="I4" s="268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79" t="s">
        <v>1273</v>
      </c>
      <c r="C7" s="2680"/>
      <c r="D7" s="2680"/>
      <c r="E7" s="2680"/>
      <c r="F7" s="2680"/>
      <c r="G7" s="2680"/>
      <c r="H7" s="2680"/>
      <c r="I7" s="268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81" t="s">
        <v>1154</v>
      </c>
      <c r="D11" s="268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2067</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2067</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2067</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2067</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2067</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82" t="s">
        <v>2075</v>
      </c>
      <c r="E29" s="2682"/>
      <c r="F29" s="2682"/>
      <c r="G29" s="2682"/>
      <c r="H29" s="2682"/>
      <c r="I29" s="2682"/>
    </row>
    <row r="30" spans="2:9" s="295" customFormat="1" x14ac:dyDescent="0.2">
      <c r="B30" s="1138"/>
      <c r="C30" s="300"/>
      <c r="D30" s="1189" t="s">
        <v>1723</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2067</v>
      </c>
      <c r="H33" s="1076" t="s">
        <v>99</v>
      </c>
    </row>
    <row r="35" spans="2:9" x14ac:dyDescent="0.2">
      <c r="B35" s="1197" t="s">
        <v>1724</v>
      </c>
      <c r="C35" s="1198"/>
      <c r="D35" s="1043"/>
    </row>
    <row r="36" spans="2:9" ht="6" customHeight="1" x14ac:dyDescent="0.2">
      <c r="B36" s="1197"/>
      <c r="C36" s="1198"/>
      <c r="D36" s="1043"/>
    </row>
    <row r="37" spans="2:9" ht="17.25" customHeight="1" x14ac:dyDescent="0.2">
      <c r="B37" s="1199" t="s">
        <v>1725</v>
      </c>
      <c r="C37" s="2683" t="s">
        <v>1726</v>
      </c>
      <c r="D37" s="2684"/>
      <c r="E37" s="2684"/>
      <c r="F37" s="2685"/>
      <c r="G37" s="2683" t="s">
        <v>1575</v>
      </c>
      <c r="H37" s="2684"/>
      <c r="I37" s="2685"/>
    </row>
    <row r="38" spans="2:9" ht="16.5" customHeight="1" x14ac:dyDescent="0.2">
      <c r="B38" s="1200">
        <v>84.173000000000002</v>
      </c>
      <c r="C38" s="2671" t="s">
        <v>2076</v>
      </c>
      <c r="D38" s="2672"/>
      <c r="E38" s="2672"/>
      <c r="F38" s="2673"/>
      <c r="G38" s="2686">
        <v>19725</v>
      </c>
      <c r="H38" s="2687"/>
      <c r="I38" s="2688"/>
    </row>
    <row r="39" spans="2:9" ht="16.5" customHeight="1" x14ac:dyDescent="0.2">
      <c r="B39" s="1200">
        <v>84.027000000000001</v>
      </c>
      <c r="C39" s="2671" t="s">
        <v>2077</v>
      </c>
      <c r="D39" s="2672"/>
      <c r="E39" s="2672"/>
      <c r="F39" s="2673"/>
      <c r="G39" s="2674">
        <v>640374</v>
      </c>
      <c r="H39" s="2674"/>
      <c r="I39" s="2674"/>
    </row>
    <row r="40" spans="2:9" ht="16.5" customHeight="1" x14ac:dyDescent="0.2">
      <c r="B40" s="1200"/>
      <c r="C40" s="2671"/>
      <c r="D40" s="2672"/>
      <c r="E40" s="2672"/>
      <c r="F40" s="2673"/>
      <c r="G40" s="2674"/>
      <c r="H40" s="2674"/>
      <c r="I40" s="2674"/>
    </row>
    <row r="41" spans="2:9" ht="16.5" customHeight="1" x14ac:dyDescent="0.2">
      <c r="B41" s="1200"/>
      <c r="C41" s="2671"/>
      <c r="D41" s="2672"/>
      <c r="E41" s="2672"/>
      <c r="F41" s="2673"/>
      <c r="G41" s="2674"/>
      <c r="H41" s="2674"/>
      <c r="I41" s="2674"/>
    </row>
    <row r="42" spans="2:9" ht="16.5" customHeight="1" x14ac:dyDescent="0.2">
      <c r="B42" s="1200"/>
      <c r="C42" s="2671"/>
      <c r="D42" s="2672"/>
      <c r="E42" s="2672"/>
      <c r="F42" s="2673"/>
      <c r="G42" s="2674"/>
      <c r="H42" s="2674"/>
      <c r="I42" s="2674"/>
    </row>
    <row r="43" spans="2:9" ht="16.5" customHeight="1" x14ac:dyDescent="0.2">
      <c r="B43" s="1200"/>
      <c r="C43" s="2689" t="s">
        <v>1576</v>
      </c>
      <c r="D43" s="2690"/>
      <c r="E43" s="2690"/>
      <c r="F43" s="2691"/>
      <c r="G43" s="2692">
        <f>SUM(G38:I42)</f>
        <v>660099</v>
      </c>
      <c r="H43" s="2692"/>
      <c r="I43" s="2692"/>
    </row>
    <row r="44" spans="2:9" ht="12.75" customHeight="1" x14ac:dyDescent="0.2"/>
    <row r="45" spans="2:9" ht="12.75" customHeight="1" x14ac:dyDescent="0.2">
      <c r="B45" s="1917" t="str">
        <f>"Total Federal Expenditures for 7/1/"&amp;MID('AFR20'!E2,3,2)-1&amp;"-6/30/"&amp;MID('AFR20'!E2,3,2)</f>
        <v>Total Federal Expenditures for 7/1/19-6/30/20</v>
      </c>
      <c r="C45" s="1918"/>
      <c r="D45" s="2693">
        <v>819079</v>
      </c>
      <c r="E45" s="2694"/>
    </row>
    <row r="46" spans="2:9" ht="5.25" customHeight="1" x14ac:dyDescent="0.2">
      <c r="B46" s="1201"/>
      <c r="D46" s="1202"/>
      <c r="E46" s="1203"/>
    </row>
    <row r="47" spans="2:9" ht="12.75" customHeight="1" x14ac:dyDescent="0.2">
      <c r="B47" s="1076" t="s">
        <v>1577</v>
      </c>
      <c r="C47" s="1076"/>
      <c r="D47" s="1204">
        <f>+G43/D45</f>
        <v>0.80590394821500733</v>
      </c>
      <c r="E47" s="1205"/>
      <c r="F47" s="1206"/>
      <c r="I47" s="1207"/>
    </row>
    <row r="48" spans="2:9" ht="9.9499999999999993" customHeight="1" x14ac:dyDescent="0.2"/>
    <row r="49" spans="1:9" x14ac:dyDescent="0.2">
      <c r="B49" s="1138" t="s">
        <v>1262</v>
      </c>
      <c r="C49" s="1058"/>
      <c r="D49" s="1058"/>
      <c r="E49" s="2695">
        <v>750000</v>
      </c>
      <c r="F49" s="2695"/>
      <c r="G49" s="2695"/>
      <c r="H49" s="300"/>
    </row>
    <row r="51" spans="1:9" ht="13.5" customHeight="1" x14ac:dyDescent="0.2">
      <c r="B51" s="1138" t="s">
        <v>1261</v>
      </c>
      <c r="C51" s="1058"/>
      <c r="E51" s="1194"/>
      <c r="F51" s="1076" t="s">
        <v>879</v>
      </c>
      <c r="G51" s="1194" t="s">
        <v>2067</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1727</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1728</v>
      </c>
      <c r="C58" s="1220"/>
      <c r="D58" s="1220"/>
    </row>
    <row r="59" spans="1:9" s="1217" customFormat="1" ht="3.95" customHeight="1" x14ac:dyDescent="0.2">
      <c r="A59" s="1214"/>
      <c r="B59" s="1219"/>
      <c r="C59" s="1220"/>
      <c r="D59" s="1220"/>
    </row>
    <row r="60" spans="1:9" s="1217" customFormat="1" ht="13.5" customHeight="1" x14ac:dyDescent="0.2">
      <c r="A60" s="1214"/>
      <c r="B60" s="1219" t="s">
        <v>1729</v>
      </c>
      <c r="C60" s="1220"/>
      <c r="D60" s="1220"/>
    </row>
    <row r="61" spans="1:9" s="1217" customFormat="1" ht="3.95" customHeight="1" x14ac:dyDescent="0.2">
      <c r="A61" s="1214"/>
      <c r="B61" s="1219"/>
      <c r="C61" s="1220"/>
      <c r="D61" s="1220"/>
    </row>
    <row r="62" spans="1:9" s="1217" customFormat="1" ht="12.75" customHeight="1" x14ac:dyDescent="0.2">
      <c r="A62" s="1214"/>
      <c r="B62" s="1219" t="s">
        <v>1730</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75" t="str">
        <f>'Single Audit Cover'!A7</f>
        <v xml:space="preserve">  Henry-Stark County Spec Ed Dist</v>
      </c>
      <c r="C1" s="2675"/>
      <c r="D1" s="2675"/>
      <c r="E1" s="2675"/>
      <c r="F1" s="2675"/>
      <c r="G1" s="2675"/>
      <c r="H1" s="2675"/>
      <c r="I1" s="2675"/>
      <c r="J1" s="2675"/>
      <c r="K1" s="2675"/>
      <c r="L1" s="1144"/>
      <c r="M1" s="1144"/>
    </row>
    <row r="2" spans="1:13" ht="12" customHeight="1" x14ac:dyDescent="0.2">
      <c r="B2" s="2677">
        <f>'Single Audit Cover'!E7</f>
        <v>28037801060</v>
      </c>
      <c r="C2" s="2677"/>
      <c r="D2" s="2677"/>
      <c r="E2" s="2677"/>
      <c r="F2" s="2677"/>
      <c r="G2" s="2677"/>
      <c r="H2" s="2677"/>
      <c r="I2" s="2677"/>
      <c r="J2" s="2677"/>
      <c r="K2" s="2677"/>
      <c r="L2" s="1145"/>
      <c r="M2" s="1146"/>
    </row>
    <row r="3" spans="1:13" ht="10.35" customHeight="1" x14ac:dyDescent="0.2">
      <c r="B3" s="2698" t="s">
        <v>1274</v>
      </c>
      <c r="C3" s="2698"/>
      <c r="D3" s="2698"/>
      <c r="E3" s="2698"/>
      <c r="F3" s="2698"/>
      <c r="G3" s="2698"/>
      <c r="H3" s="2698"/>
      <c r="I3" s="2698"/>
      <c r="J3" s="2698"/>
      <c r="K3" s="2698"/>
      <c r="L3" s="1147"/>
      <c r="M3" s="1147"/>
    </row>
    <row r="4" spans="1:13" ht="14.25" customHeight="1" x14ac:dyDescent="0.2">
      <c r="B4" s="2699" t="str">
        <f>'Single Audit Cover'!A4</f>
        <v>Year Ending June 30, 2020</v>
      </c>
      <c r="C4" s="2699"/>
      <c r="D4" s="2699"/>
      <c r="E4" s="2699"/>
      <c r="F4" s="2699"/>
      <c r="G4" s="2699"/>
      <c r="H4" s="2699"/>
      <c r="I4" s="2699"/>
      <c r="J4" s="2699"/>
      <c r="K4" s="269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99" t="s">
        <v>1285</v>
      </c>
      <c r="C7" s="2699"/>
      <c r="D7" s="2700"/>
      <c r="E7" s="2700"/>
      <c r="F7" s="2700"/>
      <c r="G7" s="2700"/>
      <c r="H7" s="2700"/>
      <c r="I7" s="2700"/>
      <c r="J7" s="2700"/>
      <c r="K7" s="270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1717</v>
      </c>
      <c r="C10" s="1919" t="str">
        <f>'AFR20'!$E$2&amp;"-"</f>
        <v>2020-</v>
      </c>
      <c r="D10" s="1155" t="s">
        <v>2071</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97"/>
      <c r="C14" s="2697"/>
      <c r="D14" s="2697"/>
      <c r="E14" s="2697"/>
      <c r="F14" s="2697"/>
      <c r="G14" s="2697"/>
      <c r="H14" s="2697"/>
      <c r="I14" s="2697"/>
      <c r="J14" s="2697"/>
      <c r="K14" s="269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97"/>
      <c r="C17" s="2697"/>
      <c r="D17" s="2697"/>
      <c r="E17" s="2697"/>
      <c r="F17" s="2697"/>
      <c r="G17" s="2697"/>
      <c r="H17" s="2697"/>
      <c r="I17" s="2697"/>
      <c r="J17" s="2697"/>
      <c r="K17" s="2697"/>
      <c r="L17" s="1151"/>
    </row>
    <row r="18" spans="2:12" ht="4.5" customHeight="1" x14ac:dyDescent="0.2">
      <c r="B18" s="1167"/>
      <c r="C18" s="1167"/>
      <c r="L18" s="1151"/>
    </row>
    <row r="19" spans="2:12" s="1058" customFormat="1" ht="13.5" customHeight="1" x14ac:dyDescent="0.2">
      <c r="B19" s="1162" t="s">
        <v>1718</v>
      </c>
      <c r="C19" s="1162"/>
      <c r="D19" s="1163"/>
      <c r="E19" s="1163"/>
      <c r="F19" s="1163"/>
      <c r="G19" s="1164"/>
      <c r="H19" s="1163"/>
      <c r="I19" s="1164"/>
      <c r="J19" s="1163"/>
      <c r="K19" s="1163"/>
      <c r="L19" s="1165"/>
    </row>
    <row r="20" spans="2:12" ht="45.75" customHeight="1" x14ac:dyDescent="0.2">
      <c r="B20" s="2701"/>
      <c r="C20" s="2701"/>
      <c r="D20" s="2697"/>
      <c r="E20" s="2697"/>
      <c r="F20" s="2697"/>
      <c r="G20" s="2697"/>
      <c r="H20" s="2697"/>
      <c r="I20" s="2697"/>
      <c r="J20" s="2697"/>
      <c r="K20" s="269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97"/>
      <c r="C23" s="2697"/>
      <c r="D23" s="2697"/>
      <c r="E23" s="2697"/>
      <c r="F23" s="2697"/>
      <c r="G23" s="2697"/>
      <c r="H23" s="2697"/>
      <c r="I23" s="2697"/>
      <c r="J23" s="2697"/>
      <c r="K23" s="269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97"/>
      <c r="C26" s="2697"/>
      <c r="D26" s="2697"/>
      <c r="E26" s="2697"/>
      <c r="F26" s="2697"/>
      <c r="G26" s="2697"/>
      <c r="H26" s="2697"/>
      <c r="I26" s="2697"/>
      <c r="J26" s="2697"/>
      <c r="K26" s="269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96"/>
      <c r="C29" s="2696"/>
      <c r="D29" s="2697"/>
      <c r="E29" s="2697"/>
      <c r="F29" s="2697"/>
      <c r="G29" s="2697"/>
      <c r="H29" s="2697"/>
      <c r="I29" s="2697"/>
      <c r="J29" s="2697"/>
      <c r="K29" s="269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1719</v>
      </c>
      <c r="C31" s="1172"/>
      <c r="D31" s="1148"/>
      <c r="E31" s="1149"/>
      <c r="F31" s="1149"/>
      <c r="G31" s="1150"/>
      <c r="H31" s="1149"/>
      <c r="I31" s="1150"/>
      <c r="J31" s="1149"/>
      <c r="K31" s="1149"/>
      <c r="L31" s="1151"/>
    </row>
    <row r="32" spans="2:12" s="300" customFormat="1" ht="44.25" customHeight="1" x14ac:dyDescent="0.2">
      <c r="B32" s="2696"/>
      <c r="C32" s="2696"/>
      <c r="D32" s="2697"/>
      <c r="E32" s="2697"/>
      <c r="F32" s="2697"/>
      <c r="G32" s="2697"/>
      <c r="H32" s="2697"/>
      <c r="I32" s="2697"/>
      <c r="J32" s="2697"/>
      <c r="K32" s="269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1720</v>
      </c>
      <c r="C35" s="1175"/>
      <c r="D35" s="300"/>
      <c r="E35" s="300"/>
      <c r="F35" s="300"/>
      <c r="L35" s="1151"/>
    </row>
    <row r="36" spans="1:13" ht="9.6" customHeight="1" x14ac:dyDescent="0.2">
      <c r="B36" s="1076" t="s">
        <v>1811</v>
      </c>
      <c r="C36" s="1076"/>
      <c r="L36" s="1151"/>
    </row>
    <row r="37" spans="1:13" ht="9.6" customHeight="1" x14ac:dyDescent="0.2">
      <c r="B37" s="1076" t="s">
        <v>1812</v>
      </c>
      <c r="C37" s="1076"/>
    </row>
    <row r="38" spans="1:13" ht="11.85" customHeight="1" x14ac:dyDescent="0.2">
      <c r="B38" s="1176" t="s">
        <v>1721</v>
      </c>
      <c r="C38" s="1176"/>
    </row>
    <row r="39" spans="1:13" ht="9.6" customHeight="1" x14ac:dyDescent="0.2">
      <c r="B39" s="1076" t="s">
        <v>1275</v>
      </c>
      <c r="C39" s="1076"/>
      <c r="M39" s="1177"/>
    </row>
    <row r="40" spans="1:13" ht="12.6" customHeight="1" x14ac:dyDescent="0.2">
      <c r="B40" s="1176" t="s">
        <v>1722</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02" t="str">
        <f>'Single Audit Cover'!A7</f>
        <v xml:space="preserve">  Henry-Stark County Spec Ed Dist</v>
      </c>
      <c r="C1" s="2702"/>
      <c r="D1" s="2702"/>
      <c r="E1" s="2702"/>
      <c r="F1" s="2702"/>
      <c r="G1" s="2702"/>
      <c r="H1" s="2702"/>
      <c r="I1" s="2702"/>
      <c r="J1" s="2702"/>
      <c r="K1" s="2702"/>
      <c r="L1" s="1221"/>
    </row>
    <row r="2" spans="1:12" ht="12.75" customHeight="1" x14ac:dyDescent="0.2">
      <c r="B2" s="2703">
        <f>'Single Audit Cover'!E7</f>
        <v>28037801060</v>
      </c>
      <c r="C2" s="2703"/>
      <c r="D2" s="2703"/>
      <c r="E2" s="2703"/>
      <c r="F2" s="2703"/>
      <c r="G2" s="2703"/>
      <c r="H2" s="2703"/>
      <c r="I2" s="2703"/>
      <c r="J2" s="2703"/>
      <c r="K2" s="2703"/>
      <c r="L2" s="1222"/>
    </row>
    <row r="3" spans="1:12" ht="12.75" customHeight="1" x14ac:dyDescent="0.2">
      <c r="B3" s="2698" t="s">
        <v>1274</v>
      </c>
      <c r="C3" s="2698"/>
      <c r="D3" s="2698"/>
      <c r="E3" s="2698"/>
      <c r="F3" s="2698"/>
      <c r="G3" s="2698"/>
      <c r="H3" s="2698"/>
      <c r="I3" s="2698"/>
      <c r="J3" s="2698"/>
      <c r="K3" s="2698"/>
      <c r="L3" s="1147"/>
    </row>
    <row r="4" spans="1:12" ht="12.75" customHeight="1" x14ac:dyDescent="0.2">
      <c r="B4" s="2698" t="str">
        <f>'Single Audit Cover'!A4</f>
        <v>Year Ending June 30, 2020</v>
      </c>
      <c r="C4" s="2698"/>
      <c r="D4" s="2698"/>
      <c r="E4" s="2698"/>
      <c r="F4" s="2698"/>
      <c r="G4" s="2698"/>
      <c r="H4" s="2698"/>
      <c r="I4" s="2698"/>
      <c r="J4" s="2698"/>
      <c r="K4" s="2698"/>
      <c r="L4" s="1147"/>
    </row>
    <row r="5" spans="1:12" ht="5.25" customHeight="1" x14ac:dyDescent="0.2">
      <c r="B5" s="1036" t="s">
        <v>1159</v>
      </c>
      <c r="C5" s="1036"/>
      <c r="L5" s="300"/>
    </row>
    <row r="6" spans="1:12" ht="30.75" customHeight="1" x14ac:dyDescent="0.2">
      <c r="A6" s="300"/>
      <c r="B6" s="2704" t="s">
        <v>1297</v>
      </c>
      <c r="C6" s="2704"/>
      <c r="D6" s="2704"/>
      <c r="E6" s="2704"/>
      <c r="F6" s="2704"/>
      <c r="G6" s="2704"/>
      <c r="H6" s="2704"/>
      <c r="I6" s="2704"/>
      <c r="J6" s="2704"/>
      <c r="K6" s="2704"/>
      <c r="L6" s="300"/>
    </row>
    <row r="7" spans="1:12" ht="4.5" customHeight="1" x14ac:dyDescent="0.2">
      <c r="B7" s="1149"/>
      <c r="C7" s="1149"/>
      <c r="D7" s="1149"/>
      <c r="E7" s="1149"/>
      <c r="F7" s="1149"/>
      <c r="G7" s="1150"/>
      <c r="H7" s="1149"/>
      <c r="I7" s="1150"/>
      <c r="J7" s="1149"/>
      <c r="K7" s="1149"/>
      <c r="L7" s="300"/>
    </row>
    <row r="8" spans="1:12" ht="13.5" customHeight="1" x14ac:dyDescent="0.2">
      <c r="B8" s="1156" t="s">
        <v>1731</v>
      </c>
      <c r="C8" s="1919" t="str">
        <f>'AFR20'!$E$2&amp;"-"</f>
        <v>2020-</v>
      </c>
      <c r="D8" s="1223" t="s">
        <v>2071</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82"/>
      <c r="G12" s="2682"/>
      <c r="H12" s="2682"/>
      <c r="I12" s="2682"/>
      <c r="J12" s="2682"/>
      <c r="K12" s="268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705"/>
      <c r="E14" s="2705"/>
      <c r="F14" s="2705"/>
      <c r="H14" s="1230" t="s">
        <v>1292</v>
      </c>
      <c r="I14" s="2706"/>
      <c r="J14" s="2706"/>
      <c r="K14" s="270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706"/>
      <c r="E16" s="2706"/>
      <c r="F16" s="2706"/>
      <c r="G16" s="2706"/>
      <c r="H16" s="2706"/>
      <c r="I16" s="2706"/>
      <c r="J16" s="2706"/>
      <c r="K16" s="2706"/>
      <c r="L16" s="300"/>
    </row>
    <row r="17" spans="2:12" ht="13.5" customHeight="1" x14ac:dyDescent="0.2">
      <c r="B17" s="1156" t="s">
        <v>1290</v>
      </c>
      <c r="C17" s="1156"/>
      <c r="D17" s="2707"/>
      <c r="E17" s="2707"/>
      <c r="F17" s="2707"/>
      <c r="G17" s="2707"/>
      <c r="H17" s="2707"/>
      <c r="I17" s="2707"/>
      <c r="J17" s="2707"/>
      <c r="K17" s="270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97"/>
      <c r="C20" s="2697"/>
      <c r="D20" s="2697"/>
      <c r="E20" s="2697"/>
      <c r="F20" s="2697"/>
      <c r="G20" s="2697"/>
      <c r="H20" s="2697"/>
      <c r="I20" s="2697"/>
      <c r="J20" s="2697"/>
      <c r="K20" s="269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1732</v>
      </c>
      <c r="C22" s="1232"/>
      <c r="D22" s="300"/>
      <c r="E22" s="300"/>
      <c r="F22" s="300"/>
      <c r="G22" s="1153"/>
      <c r="H22" s="300"/>
      <c r="I22" s="1153"/>
      <c r="J22" s="300"/>
      <c r="K22" s="300"/>
      <c r="L22" s="300"/>
    </row>
    <row r="23" spans="2:12" ht="37.5" customHeight="1" x14ac:dyDescent="0.2">
      <c r="B23" s="2697"/>
      <c r="C23" s="2697"/>
      <c r="D23" s="2697"/>
      <c r="E23" s="2697"/>
      <c r="F23" s="2697"/>
      <c r="G23" s="2697"/>
      <c r="H23" s="2697"/>
      <c r="I23" s="2697"/>
      <c r="J23" s="2697"/>
      <c r="K23" s="269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1733</v>
      </c>
      <c r="C25" s="1232"/>
      <c r="D25" s="300"/>
      <c r="E25" s="300"/>
      <c r="F25" s="300"/>
      <c r="G25" s="1153"/>
      <c r="H25" s="300"/>
      <c r="I25" s="1153"/>
      <c r="J25" s="300"/>
      <c r="K25" s="300"/>
      <c r="L25" s="300"/>
    </row>
    <row r="26" spans="2:12" ht="37.5" customHeight="1" x14ac:dyDescent="0.2">
      <c r="B26" s="2697"/>
      <c r="C26" s="2697"/>
      <c r="D26" s="2697"/>
      <c r="E26" s="2697"/>
      <c r="F26" s="2697"/>
      <c r="G26" s="2697"/>
      <c r="H26" s="2697"/>
      <c r="I26" s="2697"/>
      <c r="J26" s="2697"/>
      <c r="K26" s="269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1734</v>
      </c>
      <c r="C28" s="1232"/>
      <c r="D28" s="300"/>
      <c r="E28" s="300"/>
      <c r="F28" s="300"/>
      <c r="G28" s="1153"/>
      <c r="H28" s="300"/>
      <c r="I28" s="1153"/>
      <c r="J28" s="300"/>
      <c r="K28" s="300"/>
      <c r="L28" s="300"/>
    </row>
    <row r="29" spans="2:12" ht="37.5" customHeight="1" x14ac:dyDescent="0.2">
      <c r="B29" s="2697"/>
      <c r="C29" s="2697"/>
      <c r="D29" s="2697"/>
      <c r="E29" s="2697"/>
      <c r="F29" s="2697"/>
      <c r="G29" s="2697"/>
      <c r="H29" s="2697"/>
      <c r="I29" s="2697"/>
      <c r="J29" s="2697"/>
      <c r="K29" s="269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97"/>
      <c r="C32" s="2697"/>
      <c r="D32" s="2697"/>
      <c r="E32" s="2697"/>
      <c r="F32" s="2697"/>
      <c r="G32" s="2697"/>
      <c r="H32" s="2697"/>
      <c r="I32" s="2697"/>
      <c r="J32" s="2697"/>
      <c r="K32" s="269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97"/>
      <c r="C35" s="2697"/>
      <c r="D35" s="2697"/>
      <c r="E35" s="2697"/>
      <c r="F35" s="2697"/>
      <c r="G35" s="2697"/>
      <c r="H35" s="2697"/>
      <c r="I35" s="2697"/>
      <c r="J35" s="2697"/>
      <c r="K35" s="269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97"/>
      <c r="C38" s="2697"/>
      <c r="D38" s="2697"/>
      <c r="E38" s="2697"/>
      <c r="F38" s="2697"/>
      <c r="G38" s="2697"/>
      <c r="H38" s="2697"/>
      <c r="I38" s="2697"/>
      <c r="J38" s="2697"/>
      <c r="K38" s="269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1735</v>
      </c>
      <c r="C40" s="1172"/>
      <c r="D40" s="1148"/>
      <c r="E40" s="1149"/>
      <c r="F40" s="1149"/>
      <c r="G40" s="1150"/>
      <c r="H40" s="1149"/>
      <c r="I40" s="1150"/>
      <c r="J40" s="1149"/>
      <c r="K40" s="1149"/>
    </row>
    <row r="41" spans="2:12" s="300" customFormat="1" ht="33.75" customHeight="1" x14ac:dyDescent="0.2">
      <c r="B41" s="2697"/>
      <c r="C41" s="2697"/>
      <c r="D41" s="2697"/>
      <c r="E41" s="2697"/>
      <c r="F41" s="2697"/>
      <c r="G41" s="2697"/>
      <c r="H41" s="2697"/>
      <c r="I41" s="2697"/>
      <c r="J41" s="2697"/>
      <c r="K41" s="269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1736</v>
      </c>
      <c r="C44" s="1175"/>
      <c r="D44" s="300"/>
      <c r="E44" s="300"/>
      <c r="F44" s="300"/>
    </row>
    <row r="45" spans="2:12" ht="10.5" customHeight="1" x14ac:dyDescent="0.2">
      <c r="B45" s="1176" t="s">
        <v>1737</v>
      </c>
      <c r="C45" s="1176"/>
      <c r="G45" s="295"/>
      <c r="I45" s="295"/>
    </row>
    <row r="46" spans="2:12" ht="11.1" customHeight="1" x14ac:dyDescent="0.2">
      <c r="B46" s="1176" t="s">
        <v>1738</v>
      </c>
      <c r="C46" s="1176"/>
      <c r="G46" s="295"/>
      <c r="I46" s="295"/>
    </row>
    <row r="47" spans="2:12" ht="11.1" customHeight="1" x14ac:dyDescent="0.2">
      <c r="B47" s="1176" t="s">
        <v>1739</v>
      </c>
      <c r="C47" s="1176"/>
      <c r="G47" s="295"/>
      <c r="I47" s="295"/>
    </row>
    <row r="48" spans="2:12" ht="11.1" customHeight="1" x14ac:dyDescent="0.2">
      <c r="B48" s="1176" t="s">
        <v>1740</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75" t="str">
        <f>'Single Audit Cover'!A7</f>
        <v xml:space="preserve">  Henry-Stark County Spec Ed Dist</v>
      </c>
      <c r="C1" s="2675"/>
      <c r="D1" s="2675"/>
      <c r="E1" s="1240"/>
    </row>
    <row r="2" spans="2:5" s="1058" customFormat="1" ht="12.75" customHeight="1" x14ac:dyDescent="0.2">
      <c r="B2" s="2677">
        <f>'Single Audit Cover'!E7</f>
        <v>28037801060</v>
      </c>
      <c r="C2" s="2677"/>
      <c r="D2" s="2677"/>
      <c r="E2" s="1241"/>
    </row>
    <row r="3" spans="2:5" ht="12.75" customHeight="1" x14ac:dyDescent="0.2">
      <c r="B3" s="2698" t="s">
        <v>1741</v>
      </c>
      <c r="C3" s="2698"/>
      <c r="D3" s="2698"/>
      <c r="E3" s="1050"/>
    </row>
    <row r="4" spans="2:5" s="1058" customFormat="1" ht="12.75" customHeight="1" x14ac:dyDescent="0.2">
      <c r="B4" s="2708" t="str">
        <f>'Single Audit Cover'!A4</f>
        <v>Year Ending June 30, 2020</v>
      </c>
      <c r="C4" s="2708"/>
      <c r="D4" s="2708"/>
      <c r="E4" s="1242"/>
    </row>
    <row r="5" spans="2:5" s="1058" customFormat="1" ht="40.15" customHeight="1" x14ac:dyDescent="0.2">
      <c r="B5" s="1243" t="s">
        <v>1742</v>
      </c>
      <c r="C5" s="306"/>
      <c r="D5" s="306"/>
      <c r="E5" s="306"/>
    </row>
    <row r="6" spans="2:5" s="1058" customFormat="1" ht="13.5" customHeight="1" x14ac:dyDescent="0.2">
      <c r="B6" s="1244" t="s">
        <v>1304</v>
      </c>
      <c r="C6" s="1244" t="s">
        <v>1303</v>
      </c>
      <c r="D6" s="1244" t="s">
        <v>1743</v>
      </c>
    </row>
    <row r="7" spans="2:5" ht="13.5" customHeight="1" x14ac:dyDescent="0.2">
      <c r="B7" s="1245" t="s">
        <v>2058</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1744</v>
      </c>
    </row>
    <row r="46" spans="2:5" ht="12.2" customHeight="1" x14ac:dyDescent="0.2">
      <c r="B46" s="1254" t="s">
        <v>1745</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71" t="s">
        <v>383</v>
      </c>
      <c r="B1" s="2271"/>
      <c r="C1" s="2271"/>
      <c r="D1" s="2271"/>
      <c r="E1" s="2271"/>
      <c r="F1" s="2271"/>
      <c r="G1" s="2271"/>
      <c r="H1" s="2271"/>
      <c r="I1" s="2271"/>
      <c r="J1" s="2271"/>
      <c r="K1" s="2271"/>
      <c r="L1" s="2271"/>
      <c r="M1" s="227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81" t="str">
        <f>IF(SUM(J10)&lt;=0.0999999,"","Enter the Tax Rates by moving the decimal two places to the left.")</f>
        <v/>
      </c>
      <c r="E11" s="2282"/>
      <c r="F11" s="2282"/>
      <c r="G11" s="2282"/>
      <c r="H11" s="2282"/>
      <c r="I11" s="2282"/>
      <c r="J11" s="228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10471339</v>
      </c>
      <c r="E16" s="1547"/>
      <c r="F16" s="1546">
        <f>SUM('Acct Summary 7-8'!C17,'Acct Summary 7-8'!D17,'Acct Summary 7-8'!F17)</f>
        <v>8492230</v>
      </c>
      <c r="G16" s="1547"/>
      <c r="H16" s="1546">
        <f>SUM(D16-F16)</f>
        <v>1979109</v>
      </c>
      <c r="I16" s="1548"/>
      <c r="J16" s="1546">
        <f>SUM('Acct Summary 7-8'!C81,'Acct Summary 7-8'!D81,'Acct Summary 7-8'!F81,'Acct Summary 7-8'!I81)</f>
        <v>2035145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2003</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72"/>
      <c r="C54" s="2273"/>
      <c r="D54" s="2273"/>
      <c r="E54" s="2273"/>
      <c r="F54" s="2273"/>
      <c r="G54" s="2273"/>
      <c r="H54" s="2273"/>
      <c r="I54" s="2273"/>
      <c r="J54" s="2273"/>
      <c r="K54" s="2273"/>
      <c r="L54" s="2274"/>
      <c r="M54" s="357"/>
    </row>
    <row r="55" spans="1:13" ht="12.75" customHeight="1" x14ac:dyDescent="0.2">
      <c r="B55" s="2275"/>
      <c r="C55" s="2276"/>
      <c r="D55" s="2276"/>
      <c r="E55" s="2276"/>
      <c r="F55" s="2276"/>
      <c r="G55" s="2276"/>
      <c r="H55" s="2276"/>
      <c r="I55" s="2276"/>
      <c r="J55" s="2276"/>
      <c r="K55" s="2276"/>
      <c r="L55" s="2277"/>
      <c r="M55" s="357"/>
    </row>
    <row r="56" spans="1:13" ht="12.75" customHeight="1" x14ac:dyDescent="0.2">
      <c r="B56" s="2275"/>
      <c r="C56" s="2276"/>
      <c r="D56" s="2276"/>
      <c r="E56" s="2276"/>
      <c r="F56" s="2276"/>
      <c r="G56" s="2276"/>
      <c r="H56" s="2276"/>
      <c r="I56" s="2276"/>
      <c r="J56" s="2276"/>
      <c r="K56" s="2276"/>
      <c r="L56" s="2277"/>
      <c r="M56" s="217"/>
    </row>
    <row r="57" spans="1:13" ht="12.75" customHeight="1" x14ac:dyDescent="0.2">
      <c r="B57" s="2275"/>
      <c r="C57" s="2276"/>
      <c r="D57" s="2276"/>
      <c r="E57" s="2276"/>
      <c r="F57" s="2276"/>
      <c r="G57" s="2276"/>
      <c r="H57" s="2276"/>
      <c r="I57" s="2276"/>
      <c r="J57" s="2276"/>
      <c r="K57" s="2276"/>
      <c r="L57" s="2277"/>
      <c r="M57" s="217"/>
    </row>
    <row r="58" spans="1:13" x14ac:dyDescent="0.2">
      <c r="B58" s="2278"/>
      <c r="C58" s="2279"/>
      <c r="D58" s="2279"/>
      <c r="E58" s="2279"/>
      <c r="F58" s="2279"/>
      <c r="G58" s="2279"/>
      <c r="H58" s="2279"/>
      <c r="I58" s="2279"/>
      <c r="J58" s="2279"/>
      <c r="K58" s="2279"/>
      <c r="L58" s="228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83"/>
      <c r="D61" s="228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86"/>
      <c r="B1" s="2287"/>
      <c r="C1" s="2287"/>
      <c r="D1" s="361"/>
      <c r="E1" s="361"/>
      <c r="F1" s="361"/>
      <c r="G1" s="361"/>
      <c r="H1" s="361"/>
      <c r="I1" s="361"/>
      <c r="J1" s="361"/>
      <c r="K1" s="361"/>
      <c r="L1" s="361"/>
      <c r="M1" s="361"/>
      <c r="N1" s="361"/>
      <c r="O1" s="2286"/>
      <c r="P1" s="2287"/>
      <c r="Q1" s="2287"/>
    </row>
    <row r="2" spans="1:18" ht="15" x14ac:dyDescent="0.2">
      <c r="A2" s="2290" t="s">
        <v>552</v>
      </c>
      <c r="B2" s="2290"/>
      <c r="C2" s="2290"/>
      <c r="D2" s="2290"/>
      <c r="E2" s="2290"/>
      <c r="F2" s="2290"/>
      <c r="G2" s="2290"/>
      <c r="H2" s="2290"/>
      <c r="I2" s="2290"/>
      <c r="J2" s="2290"/>
      <c r="K2" s="2290"/>
      <c r="L2" s="2290"/>
      <c r="M2" s="2290"/>
      <c r="N2" s="2290"/>
      <c r="O2" s="2290"/>
      <c r="P2" s="2290"/>
      <c r="Q2" s="2290"/>
      <c r="R2" s="2290"/>
    </row>
    <row r="3" spans="1:18" ht="12.75" x14ac:dyDescent="0.2">
      <c r="A3" s="2291" t="s">
        <v>1396</v>
      </c>
      <c r="B3" s="2291"/>
      <c r="C3" s="2291"/>
      <c r="D3" s="2291"/>
      <c r="E3" s="2291"/>
      <c r="F3" s="2291"/>
      <c r="G3" s="2291"/>
      <c r="H3" s="2291"/>
      <c r="I3" s="2291"/>
      <c r="J3" s="2291"/>
      <c r="K3" s="2291"/>
      <c r="L3" s="2291"/>
      <c r="M3" s="2291"/>
      <c r="N3" s="2291"/>
      <c r="O3" s="2291"/>
      <c r="P3" s="2291"/>
      <c r="Q3" s="2291"/>
      <c r="R3" s="2291"/>
    </row>
    <row r="4" spans="1:18" x14ac:dyDescent="0.2">
      <c r="A4" s="2292" t="s">
        <v>1537</v>
      </c>
      <c r="B4" s="2292"/>
      <c r="C4" s="2292"/>
      <c r="D4" s="2292"/>
      <c r="E4" s="2292"/>
      <c r="F4" s="2292"/>
      <c r="G4" s="2292"/>
      <c r="H4" s="2292"/>
      <c r="I4" s="2292"/>
      <c r="J4" s="2292"/>
      <c r="K4" s="2292"/>
      <c r="L4" s="2292"/>
      <c r="M4" s="2292"/>
      <c r="N4" s="2292"/>
      <c r="O4" s="2292"/>
      <c r="P4" s="2292"/>
      <c r="Q4" s="2292"/>
      <c r="R4" s="229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Henry-Stark County Spec Ed Dist</v>
      </c>
      <c r="E7" s="368"/>
      <c r="G7" s="247"/>
      <c r="H7" s="364"/>
      <c r="I7" s="364"/>
      <c r="J7" s="364"/>
      <c r="K7" s="364"/>
      <c r="L7" s="307"/>
      <c r="M7" s="307"/>
      <c r="N7" s="307"/>
      <c r="O7" s="307"/>
      <c r="P7" s="307"/>
    </row>
    <row r="8" spans="1:18" ht="12.75" x14ac:dyDescent="0.2">
      <c r="A8" s="307"/>
      <c r="B8" s="307"/>
      <c r="C8" s="366" t="s">
        <v>1115</v>
      </c>
      <c r="D8" s="369">
        <f>COVER!A13</f>
        <v>28037801060</v>
      </c>
      <c r="E8" s="370"/>
      <c r="G8" s="307"/>
      <c r="H8" s="307"/>
      <c r="I8" s="307"/>
      <c r="J8" s="307"/>
      <c r="K8" s="307"/>
      <c r="L8" s="307"/>
      <c r="M8" s="307"/>
      <c r="N8" s="307"/>
      <c r="O8" s="307"/>
      <c r="P8" s="307"/>
    </row>
    <row r="9" spans="1:18" ht="12.75" x14ac:dyDescent="0.2">
      <c r="A9" s="307"/>
      <c r="B9" s="307"/>
      <c r="C9" s="366" t="s">
        <v>708</v>
      </c>
      <c r="D9" s="371" t="str">
        <f>COVER!A15</f>
        <v>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2035145</v>
      </c>
      <c r="I12" s="380"/>
      <c r="J12" s="380"/>
      <c r="K12" s="1559">
        <f>TRUNC((H12/H13*100000),5)/100000</f>
        <v>0.19435384519999999</v>
      </c>
      <c r="L12" s="381"/>
      <c r="M12" s="337" t="s">
        <v>1134</v>
      </c>
      <c r="N12" s="337"/>
      <c r="O12" s="1562">
        <v>0.35</v>
      </c>
      <c r="P12" s="213"/>
      <c r="Q12" s="213"/>
    </row>
    <row r="13" spans="1:18" s="382" customFormat="1" ht="12.75" x14ac:dyDescent="0.2">
      <c r="A13" s="213"/>
      <c r="B13" s="377"/>
      <c r="C13" s="2288" t="s">
        <v>1313</v>
      </c>
      <c r="D13" s="2289"/>
      <c r="E13" s="213"/>
      <c r="F13" s="383" t="s">
        <v>788</v>
      </c>
      <c r="G13" s="378"/>
      <c r="H13" s="1551">
        <f>SUM('Acct Summary 7-8'!C8+'Acct Summary 7-8'!D8+'Acct Summary 7-8'!F8+'Acct Summary 7-8'!I8)+H14</f>
        <v>10471339</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8492230</v>
      </c>
      <c r="I17" s="380"/>
      <c r="J17" s="389"/>
      <c r="K17" s="1559">
        <f>TRUNC((H17/H18*100000),5)/100000</f>
        <v>0.81099752380000001</v>
      </c>
      <c r="L17" s="381"/>
      <c r="M17" s="390" t="s">
        <v>1161</v>
      </c>
      <c r="O17" s="1565" t="str">
        <f>IF(AND(O16="2", J20 &gt; 2),"1",IF(AND(O16 = "1", J20 &gt; 2),"2",IF(AND(O16="1", J20 &gt;1),"1","0")))</f>
        <v>0</v>
      </c>
      <c r="P17" s="213"/>
    </row>
    <row r="18" spans="1:18" s="382" customFormat="1" ht="11.25" x14ac:dyDescent="0.2">
      <c r="A18" s="213"/>
      <c r="B18" s="377"/>
      <c r="C18" s="2288" t="s">
        <v>1306</v>
      </c>
      <c r="D18" s="2289"/>
      <c r="E18" s="213"/>
      <c r="F18" s="391" t="s">
        <v>789</v>
      </c>
      <c r="G18" s="378"/>
      <c r="H18" s="1551">
        <f>SUM('Acct Summary 7-8'!C8+'Acct Summary 7-8'!D8+'Acct Summary 7-8'!F8+'Acct Summary 7-8'!I8)+H19</f>
        <v>10471339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2</v>
      </c>
      <c r="P23" s="211"/>
      <c r="R23" s="361"/>
    </row>
    <row r="24" spans="1:18" s="382" customFormat="1" ht="11.25" x14ac:dyDescent="0.2">
      <c r="A24" s="213"/>
      <c r="B24" s="377"/>
      <c r="C24" s="2285" t="s">
        <v>1395</v>
      </c>
      <c r="D24" s="2285"/>
      <c r="E24" s="213"/>
      <c r="F24" s="213" t="s">
        <v>442</v>
      </c>
      <c r="G24" s="378"/>
      <c r="H24" s="1551">
        <f>SUM('Assets-Liab 5-6'!C4+'Assets-Liab 5-6'!D4+'Assets-Liab 5-6'!F4+'Assets-Liab 5-6'!I4+'Assets-Liab 5-6'!C5+'Assets-Liab 5-6'!D5+'Assets-Liab 5-6'!F5+'Assets-Liab 5-6'!I5)</f>
        <v>1949752</v>
      </c>
      <c r="I24" s="394"/>
      <c r="J24" s="394"/>
      <c r="K24" s="1555">
        <f>TRUNC(((H24/H25*100000)/100000),2)</f>
        <v>82.65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23589.52778</v>
      </c>
      <c r="I25" s="396"/>
      <c r="J25" s="396"/>
      <c r="K25" s="1558"/>
      <c r="L25" s="213"/>
      <c r="M25" s="337" t="s">
        <v>1135</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1891</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3" activePane="bottomLeft" state="frozen"/>
      <selection activeCell="E30" sqref="E30"/>
      <selection pane="bottomLeft" activeCell="C39" sqref="C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9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9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95" t="s">
        <v>967</v>
      </c>
      <c r="B3" s="2296"/>
      <c r="C3" s="1306"/>
      <c r="D3" s="1307"/>
      <c r="E3" s="1307"/>
      <c r="F3" s="1307"/>
      <c r="G3" s="1307"/>
      <c r="H3" s="1307"/>
      <c r="I3" s="1307"/>
      <c r="J3" s="1307"/>
      <c r="K3" s="1307"/>
      <c r="L3" s="1307"/>
      <c r="M3" s="1308"/>
      <c r="N3" s="1309"/>
    </row>
    <row r="4" spans="1:14" ht="13.5" customHeight="1" x14ac:dyDescent="0.2">
      <c r="A4" s="427" t="s">
        <v>1632</v>
      </c>
      <c r="B4" s="428"/>
      <c r="C4" s="1572">
        <v>1949752</v>
      </c>
      <c r="D4" s="1573">
        <v>0</v>
      </c>
      <c r="E4" s="1573">
        <v>0</v>
      </c>
      <c r="F4" s="1573">
        <v>0</v>
      </c>
      <c r="G4" s="1573">
        <v>0</v>
      </c>
      <c r="H4" s="1573">
        <v>0</v>
      </c>
      <c r="I4" s="1573">
        <v>0</v>
      </c>
      <c r="J4" s="1574">
        <v>107617</v>
      </c>
      <c r="K4" s="1573">
        <v>0</v>
      </c>
      <c r="L4" s="1573">
        <v>42951</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85393</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2035145</v>
      </c>
      <c r="D13" s="1587">
        <f t="shared" ref="D13:L13" si="0">SUM(D4:D12)</f>
        <v>0</v>
      </c>
      <c r="E13" s="1587">
        <f t="shared" si="0"/>
        <v>0</v>
      </c>
      <c r="F13" s="1587">
        <f t="shared" si="0"/>
        <v>0</v>
      </c>
      <c r="G13" s="1587">
        <f t="shared" si="0"/>
        <v>0</v>
      </c>
      <c r="H13" s="1587">
        <f t="shared" si="0"/>
        <v>0</v>
      </c>
      <c r="I13" s="1587">
        <f t="shared" si="0"/>
        <v>0</v>
      </c>
      <c r="J13" s="1587">
        <f t="shared" si="0"/>
        <v>107617</v>
      </c>
      <c r="K13" s="1587">
        <f t="shared" si="0"/>
        <v>0</v>
      </c>
      <c r="L13" s="1587">
        <f t="shared" si="0"/>
        <v>42951</v>
      </c>
      <c r="M13" s="1575"/>
      <c r="N13" s="1576"/>
    </row>
    <row r="14" spans="1:14" ht="18" customHeight="1" thickTop="1" x14ac:dyDescent="0.2">
      <c r="A14" s="2297" t="s">
        <v>146</v>
      </c>
      <c r="B14" s="229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515570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60666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576236</v>
      </c>
      <c r="N23" s="1594">
        <f>SUM(N21:N22)</f>
        <v>0</v>
      </c>
    </row>
    <row r="24" spans="1:14" ht="18" customHeight="1" thickTop="1" x14ac:dyDescent="0.2">
      <c r="A24" s="2299" t="s">
        <v>594</v>
      </c>
      <c r="B24" s="2300"/>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5463</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5463</v>
      </c>
      <c r="M34" s="1575"/>
      <c r="N34" s="1585"/>
    </row>
    <row r="35" spans="1:14" ht="18" customHeight="1" thickTop="1" x14ac:dyDescent="0.2">
      <c r="A35" s="2301" t="s">
        <v>526</v>
      </c>
      <c r="B35" s="230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39328</v>
      </c>
      <c r="D38" s="1573">
        <v>0</v>
      </c>
      <c r="E38" s="1573">
        <v>0</v>
      </c>
      <c r="F38" s="1573">
        <v>0</v>
      </c>
      <c r="G38" s="1573">
        <v>0</v>
      </c>
      <c r="H38" s="1573">
        <v>0</v>
      </c>
      <c r="I38" s="1573">
        <v>0</v>
      </c>
      <c r="J38" s="1574">
        <v>0</v>
      </c>
      <c r="K38" s="1573">
        <v>0</v>
      </c>
      <c r="L38" s="1586">
        <v>37488</v>
      </c>
      <c r="M38" s="1604"/>
      <c r="N38" s="1604"/>
    </row>
    <row r="39" spans="1:14" s="307" customFormat="1" ht="13.5" customHeight="1" x14ac:dyDescent="0.2">
      <c r="A39" s="438" t="s">
        <v>339</v>
      </c>
      <c r="B39" s="432">
        <v>730</v>
      </c>
      <c r="C39" s="1573">
        <v>1995817</v>
      </c>
      <c r="D39" s="1573">
        <v>0</v>
      </c>
      <c r="E39" s="1573">
        <v>0</v>
      </c>
      <c r="F39" s="1573">
        <v>0</v>
      </c>
      <c r="G39" s="1573">
        <v>0</v>
      </c>
      <c r="H39" s="1573">
        <v>0</v>
      </c>
      <c r="I39" s="1573">
        <v>0</v>
      </c>
      <c r="J39" s="1574">
        <v>107617</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576236</v>
      </c>
      <c r="N40" s="1604"/>
    </row>
    <row r="41" spans="1:14" ht="13.5" customHeight="1" thickBot="1" x14ac:dyDescent="0.25">
      <c r="A41" s="1426" t="s">
        <v>650</v>
      </c>
      <c r="B41" s="1405"/>
      <c r="C41" s="1594">
        <f>(SUM(C34,C37,C38,C39))</f>
        <v>2035145</v>
      </c>
      <c r="D41" s="1594">
        <f t="shared" ref="D41:L41" si="2">SUM(D34,D37,D38:D39)</f>
        <v>0</v>
      </c>
      <c r="E41" s="1594">
        <f t="shared" si="2"/>
        <v>0</v>
      </c>
      <c r="F41" s="1594">
        <f t="shared" si="2"/>
        <v>0</v>
      </c>
      <c r="G41" s="1594">
        <f t="shared" si="2"/>
        <v>0</v>
      </c>
      <c r="H41" s="1594">
        <f t="shared" si="2"/>
        <v>0</v>
      </c>
      <c r="I41" s="1594">
        <f t="shared" si="2"/>
        <v>0</v>
      </c>
      <c r="J41" s="1594">
        <f t="shared" si="2"/>
        <v>107617</v>
      </c>
      <c r="K41" s="1594">
        <f t="shared" si="2"/>
        <v>0</v>
      </c>
      <c r="L41" s="1594">
        <f t="shared" si="2"/>
        <v>42951</v>
      </c>
      <c r="M41" s="1594">
        <f>SUM(M40)</f>
        <v>576236</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70" workbookViewId="0">
      <pane ySplit="2" topLeftCell="A3" activePane="bottomLeft" state="frozen"/>
      <selection activeCell="E30" sqref="E30"/>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1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1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323" t="s">
        <v>1165</v>
      </c>
      <c r="B3" s="2324"/>
      <c r="C3" s="1311"/>
      <c r="D3" s="1312"/>
      <c r="E3" s="1312"/>
      <c r="F3" s="1312"/>
      <c r="G3" s="1312"/>
      <c r="H3" s="1312"/>
      <c r="I3" s="1312"/>
      <c r="J3" s="1312"/>
      <c r="K3" s="1313"/>
      <c r="L3" s="446"/>
    </row>
    <row r="4" spans="1:13" ht="15.75" customHeight="1" x14ac:dyDescent="0.2">
      <c r="A4" s="1537" t="s">
        <v>1482</v>
      </c>
      <c r="B4" s="1538">
        <v>1000</v>
      </c>
      <c r="C4" s="1606">
        <f>'Revenues 9-14'!C109</f>
        <v>7394556</v>
      </c>
      <c r="D4" s="1606">
        <f>'Revenues 9-14'!D109</f>
        <v>0</v>
      </c>
      <c r="E4" s="1606">
        <f>'Revenues 9-14'!E109</f>
        <v>0</v>
      </c>
      <c r="F4" s="1606">
        <f>'Revenues 9-14'!F109</f>
        <v>0</v>
      </c>
      <c r="G4" s="1606">
        <f>'Revenues 9-14'!G109</f>
        <v>0</v>
      </c>
      <c r="H4" s="1606">
        <f>'Revenues 9-14'!H109</f>
        <v>0</v>
      </c>
      <c r="I4" s="1606">
        <f>'Revenues 9-14'!I109</f>
        <v>0</v>
      </c>
      <c r="J4" s="1606">
        <f>'Revenues 9-14'!J109</f>
        <v>67739</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928099</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2148684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10471339</v>
      </c>
      <c r="D8" s="1594">
        <f t="shared" ref="D8:K8" si="0">SUM(D4:D7)</f>
        <v>0</v>
      </c>
      <c r="E8" s="1594">
        <f t="shared" si="0"/>
        <v>0</v>
      </c>
      <c r="F8" s="1594">
        <f t="shared" si="0"/>
        <v>0</v>
      </c>
      <c r="G8" s="1594">
        <f t="shared" si="0"/>
        <v>0</v>
      </c>
      <c r="H8" s="1594">
        <f t="shared" si="0"/>
        <v>0</v>
      </c>
      <c r="I8" s="1594">
        <f t="shared" si="0"/>
        <v>0</v>
      </c>
      <c r="J8" s="1594">
        <f t="shared" si="0"/>
        <v>67739</v>
      </c>
      <c r="K8" s="1594">
        <f t="shared" si="0"/>
        <v>0</v>
      </c>
      <c r="L8" s="325"/>
    </row>
    <row r="9" spans="1:13" ht="15.75" thickTop="1" x14ac:dyDescent="0.2">
      <c r="A9" s="449" t="s">
        <v>1634</v>
      </c>
      <c r="B9" s="450">
        <v>3998</v>
      </c>
      <c r="C9" s="1586">
        <v>3850234</v>
      </c>
      <c r="D9" s="1613"/>
      <c r="E9" s="1586"/>
      <c r="F9" s="1586"/>
      <c r="G9" s="1614"/>
      <c r="H9" s="1586"/>
      <c r="I9" s="1609" t="s">
        <v>1159</v>
      </c>
      <c r="J9" s="1583"/>
      <c r="K9" s="1586"/>
      <c r="L9" s="325"/>
    </row>
    <row r="10" spans="1:13" s="452" customFormat="1" ht="13.5" thickBot="1" x14ac:dyDescent="0.25">
      <c r="A10" s="1426" t="s">
        <v>1163</v>
      </c>
      <c r="B10" s="1407"/>
      <c r="C10" s="1594">
        <f>SUM(C8:C9)</f>
        <v>14321573</v>
      </c>
      <c r="D10" s="1594">
        <f t="shared" ref="D10:K10" si="1">SUM(D8:D9)</f>
        <v>0</v>
      </c>
      <c r="E10" s="1594">
        <f t="shared" si="1"/>
        <v>0</v>
      </c>
      <c r="F10" s="1594">
        <f t="shared" si="1"/>
        <v>0</v>
      </c>
      <c r="G10" s="1594">
        <f t="shared" si="1"/>
        <v>0</v>
      </c>
      <c r="H10" s="1594">
        <f t="shared" si="1"/>
        <v>0</v>
      </c>
      <c r="I10" s="1594">
        <f t="shared" si="1"/>
        <v>0</v>
      </c>
      <c r="J10" s="1594">
        <f t="shared" si="1"/>
        <v>67739</v>
      </c>
      <c r="K10" s="1594">
        <f t="shared" si="1"/>
        <v>0</v>
      </c>
      <c r="L10" s="451"/>
    </row>
    <row r="11" spans="1:13" s="452" customFormat="1" ht="16.7" customHeight="1" thickTop="1" x14ac:dyDescent="0.2">
      <c r="A11" s="2297" t="s">
        <v>1166</v>
      </c>
      <c r="B11" s="2298"/>
      <c r="C11" s="1602"/>
      <c r="D11" s="1603"/>
      <c r="E11" s="1603"/>
      <c r="F11" s="1603"/>
      <c r="G11" s="1603"/>
      <c r="H11" s="1603"/>
      <c r="I11" s="1603"/>
      <c r="J11" s="1603"/>
      <c r="K11" s="1615"/>
      <c r="L11" s="451"/>
    </row>
    <row r="12" spans="1:13" ht="15.75" customHeight="1" x14ac:dyDescent="0.2">
      <c r="A12" s="1314" t="s">
        <v>453</v>
      </c>
      <c r="B12" s="1316">
        <v>1000</v>
      </c>
      <c r="C12" s="1606">
        <f>'Expenditures 15-22'!K33</f>
        <v>4658631</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3689199</v>
      </c>
      <c r="D13" s="1607">
        <f>'Expenditures 15-22'!K129</f>
        <v>0</v>
      </c>
      <c r="E13" s="1576" t="s">
        <v>1159</v>
      </c>
      <c r="F13" s="1607">
        <f>'Expenditures 15-22'!K184</f>
        <v>0</v>
      </c>
      <c r="G13" s="1607">
        <f>'Expenditures 15-22'!K279</f>
        <v>0</v>
      </c>
      <c r="H13" s="1607">
        <f>'Expenditures 15-22'!K303</f>
        <v>0</v>
      </c>
      <c r="I13" s="1575" t="s">
        <v>1159</v>
      </c>
      <c r="J13" s="1607">
        <f>'Expenditures 15-22'!K330</f>
        <v>56259</v>
      </c>
      <c r="K13" s="1618">
        <f>'Expenditures 15-22'!K352</f>
        <v>0</v>
      </c>
      <c r="L13" s="325"/>
    </row>
    <row r="14" spans="1:13" ht="15.75" customHeight="1" x14ac:dyDescent="0.2">
      <c r="A14" s="1314" t="s">
        <v>446</v>
      </c>
      <c r="B14" s="1316">
        <v>3000</v>
      </c>
      <c r="C14" s="1607">
        <f>'Expenditures 15-22'!K75</f>
        <v>5699</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138701</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8492230</v>
      </c>
      <c r="D17" s="1594">
        <f t="shared" si="2"/>
        <v>0</v>
      </c>
      <c r="E17" s="1594">
        <f t="shared" si="2"/>
        <v>0</v>
      </c>
      <c r="F17" s="1594">
        <f t="shared" si="2"/>
        <v>0</v>
      </c>
      <c r="G17" s="1594">
        <f t="shared" si="2"/>
        <v>0</v>
      </c>
      <c r="H17" s="1594">
        <f t="shared" si="2"/>
        <v>0</v>
      </c>
      <c r="I17" s="1575"/>
      <c r="J17" s="1594">
        <f>SUM(J12:J16)</f>
        <v>56259</v>
      </c>
      <c r="K17" s="1594">
        <f>SUM(K12:K16)</f>
        <v>0</v>
      </c>
      <c r="L17" s="325"/>
    </row>
    <row r="18" spans="1:12" ht="15" customHeight="1" thickTop="1" x14ac:dyDescent="0.2">
      <c r="A18" s="1430" t="s">
        <v>1635</v>
      </c>
      <c r="B18" s="1431">
        <v>4180</v>
      </c>
      <c r="C18" s="1606">
        <f t="shared" ref="C18:H18" si="3">C9</f>
        <v>3850234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12342464</v>
      </c>
      <c r="D19" s="1594">
        <f t="shared" si="4"/>
        <v>0</v>
      </c>
      <c r="E19" s="1594">
        <f t="shared" si="4"/>
        <v>0</v>
      </c>
      <c r="F19" s="1594">
        <f t="shared" si="4"/>
        <v>0</v>
      </c>
      <c r="G19" s="1594">
        <f t="shared" si="4"/>
        <v>0</v>
      </c>
      <c r="H19" s="1594">
        <f t="shared" si="4"/>
        <v>0</v>
      </c>
      <c r="I19" s="1575"/>
      <c r="J19" s="1594">
        <f>SUM(J17:J18)</f>
        <v>56259</v>
      </c>
      <c r="K19" s="1594">
        <f>SUM(K17:K18)</f>
        <v>0</v>
      </c>
      <c r="L19" s="325"/>
    </row>
    <row r="20" spans="1:12" ht="16.5" thickTop="1" thickBot="1" x14ac:dyDescent="0.25">
      <c r="A20" s="2313" t="s">
        <v>1636</v>
      </c>
      <c r="B20" s="2314"/>
      <c r="C20" s="1622">
        <f>C8-C17</f>
        <v>1979109</v>
      </c>
      <c r="D20" s="1622">
        <f t="shared" ref="D20:K20" si="5">D8-D17</f>
        <v>0</v>
      </c>
      <c r="E20" s="1622">
        <f t="shared" si="5"/>
        <v>0</v>
      </c>
      <c r="F20" s="1622">
        <f t="shared" si="5"/>
        <v>0</v>
      </c>
      <c r="G20" s="1622">
        <f t="shared" si="5"/>
        <v>0</v>
      </c>
      <c r="H20" s="1622">
        <f t="shared" si="5"/>
        <v>0</v>
      </c>
      <c r="I20" s="1622">
        <f t="shared" si="5"/>
        <v>0</v>
      </c>
      <c r="J20" s="1622">
        <f t="shared" si="5"/>
        <v>11480</v>
      </c>
      <c r="K20" s="1622">
        <f t="shared" si="5"/>
        <v>0</v>
      </c>
      <c r="L20" s="325"/>
    </row>
    <row r="21" spans="1:12" ht="16.7" customHeight="1" thickTop="1" x14ac:dyDescent="0.2">
      <c r="A21" s="2325" t="s">
        <v>591</v>
      </c>
      <c r="B21" s="2326"/>
      <c r="C21" s="1602"/>
      <c r="D21" s="1603"/>
      <c r="E21" s="1603"/>
      <c r="F21" s="1603"/>
      <c r="G21" s="1603"/>
      <c r="H21" s="1603"/>
      <c r="I21" s="1603"/>
      <c r="J21" s="1603"/>
      <c r="K21" s="1615"/>
      <c r="L21" s="453"/>
    </row>
    <row r="22" spans="1:12" ht="15.75" customHeight="1" collapsed="1" x14ac:dyDescent="0.2">
      <c r="A22" s="2321" t="s">
        <v>592</v>
      </c>
      <c r="B22" s="2322"/>
      <c r="C22" s="1582"/>
      <c r="D22" s="1582"/>
      <c r="E22" s="1582"/>
      <c r="F22" s="1582"/>
      <c r="G22" s="1582"/>
      <c r="H22" s="1582"/>
      <c r="I22" s="1582"/>
      <c r="J22" s="1582"/>
      <c r="K22" s="1582"/>
      <c r="L22" s="325"/>
    </row>
    <row r="23" spans="1:12" s="433" customFormat="1" ht="15.75" customHeight="1" x14ac:dyDescent="0.2">
      <c r="A23" s="2317" t="s">
        <v>290</v>
      </c>
      <c r="B23" s="2318"/>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1769</v>
      </c>
      <c r="B30" s="455">
        <v>7160</v>
      </c>
      <c r="C30" s="1582"/>
      <c r="D30" s="1574">
        <v>0</v>
      </c>
      <c r="E30" s="1582"/>
      <c r="F30" s="1582"/>
      <c r="G30" s="1582"/>
      <c r="H30" s="1582"/>
      <c r="I30" s="1582"/>
      <c r="J30" s="1582"/>
      <c r="K30" s="1582"/>
      <c r="L30" s="453"/>
    </row>
    <row r="31" spans="1:12" s="433" customFormat="1" ht="26.25" x14ac:dyDescent="0.2">
      <c r="A31" s="1260" t="s">
        <v>1773</v>
      </c>
      <c r="B31" s="455">
        <v>7170</v>
      </c>
      <c r="C31" s="1582"/>
      <c r="D31" s="1582"/>
      <c r="E31" s="1579">
        <v>0</v>
      </c>
      <c r="F31" s="1582"/>
      <c r="G31" s="1582"/>
      <c r="H31" s="1582"/>
      <c r="I31" s="1582"/>
      <c r="J31" s="1582"/>
      <c r="K31" s="1582"/>
      <c r="L31" s="453"/>
    </row>
    <row r="32" spans="1:12" s="433" customFormat="1" ht="15.75" customHeight="1" x14ac:dyDescent="0.2">
      <c r="A32" s="2319" t="s">
        <v>974</v>
      </c>
      <c r="B32" s="2320"/>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327" t="s">
        <v>371</v>
      </c>
      <c r="B44" s="2328"/>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321" t="s">
        <v>108</v>
      </c>
      <c r="B45" s="2322"/>
      <c r="C45" s="1625"/>
      <c r="D45" s="1625"/>
      <c r="E45" s="1625"/>
      <c r="F45" s="1625"/>
      <c r="G45" s="1625"/>
      <c r="H45" s="1625"/>
      <c r="I45" s="1625"/>
      <c r="J45" s="1625"/>
      <c r="K45" s="1625"/>
      <c r="L45" s="325"/>
    </row>
    <row r="46" spans="1:12" s="433" customFormat="1" ht="15.75" customHeight="1" x14ac:dyDescent="0.2">
      <c r="A46" s="2329" t="s">
        <v>109</v>
      </c>
      <c r="B46" s="233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1772</v>
      </c>
      <c r="B52" s="432">
        <v>8160</v>
      </c>
      <c r="C52" s="1582"/>
      <c r="D52" s="1582"/>
      <c r="E52" s="1582"/>
      <c r="F52" s="1582"/>
      <c r="G52" s="1582"/>
      <c r="H52" s="1582"/>
      <c r="I52" s="1582"/>
      <c r="J52" s="1582"/>
      <c r="K52" s="1607">
        <f>D30</f>
        <v>0</v>
      </c>
      <c r="L52" s="453"/>
    </row>
    <row r="53" spans="1:12" s="433" customFormat="1" ht="26.25" x14ac:dyDescent="0.2">
      <c r="A53" s="1261" t="s">
        <v>1771</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303" t="s">
        <v>437</v>
      </c>
      <c r="B76" s="2304"/>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305" t="s">
        <v>1167</v>
      </c>
      <c r="B77" s="2306"/>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309" t="s">
        <v>593</v>
      </c>
      <c r="B78" s="2310"/>
      <c r="C78" s="1629">
        <f t="shared" ref="C78:K78" si="9">C20+C77</f>
        <v>1979109</v>
      </c>
      <c r="D78" s="1629">
        <f t="shared" si="9"/>
        <v>0</v>
      </c>
      <c r="E78" s="1629">
        <f t="shared" si="9"/>
        <v>0</v>
      </c>
      <c r="F78" s="1629">
        <f t="shared" si="9"/>
        <v>0</v>
      </c>
      <c r="G78" s="1629">
        <f t="shared" si="9"/>
        <v>0</v>
      </c>
      <c r="H78" s="1629">
        <f t="shared" si="9"/>
        <v>0</v>
      </c>
      <c r="I78" s="1629">
        <f t="shared" si="9"/>
        <v>0</v>
      </c>
      <c r="J78" s="1629">
        <f t="shared" si="9"/>
        <v>11480</v>
      </c>
      <c r="K78" s="1629">
        <f t="shared" si="9"/>
        <v>0</v>
      </c>
      <c r="L78" s="457"/>
    </row>
    <row r="79" spans="1:12" ht="13.5" thickTop="1" x14ac:dyDescent="0.2">
      <c r="A79" s="1844" t="str">
        <f>"Fund Balances - July 1, "&amp;'AFR20'!E2-1</f>
        <v>Fund Balances - July 1, 2019</v>
      </c>
      <c r="B79" s="458"/>
      <c r="C79" s="1583">
        <v>56036</v>
      </c>
      <c r="D79" s="1583">
        <v>0</v>
      </c>
      <c r="E79" s="1630">
        <v>0</v>
      </c>
      <c r="F79" s="1630">
        <v>0</v>
      </c>
      <c r="G79" s="1630">
        <v>0</v>
      </c>
      <c r="H79" s="1630">
        <v>0</v>
      </c>
      <c r="I79" s="1630">
        <v>0</v>
      </c>
      <c r="J79" s="1630">
        <v>96137</v>
      </c>
      <c r="K79" s="1630">
        <v>0</v>
      </c>
      <c r="L79" s="325"/>
    </row>
    <row r="80" spans="1:12" x14ac:dyDescent="0.2">
      <c r="A80" s="2315" t="s">
        <v>1770</v>
      </c>
      <c r="B80" s="2316"/>
      <c r="C80" s="1574">
        <v>0</v>
      </c>
      <c r="D80" s="1574">
        <v>0</v>
      </c>
      <c r="E80" s="1574">
        <v>0</v>
      </c>
      <c r="F80" s="1574">
        <v>0</v>
      </c>
      <c r="G80" s="1574">
        <v>0</v>
      </c>
      <c r="H80" s="1574">
        <v>0</v>
      </c>
      <c r="I80" s="1574">
        <v>0</v>
      </c>
      <c r="J80" s="1574">
        <v>0</v>
      </c>
      <c r="K80" s="1574">
        <v>0</v>
      </c>
      <c r="L80" s="325"/>
    </row>
    <row r="81" spans="1:12" ht="13.5" thickBot="1" x14ac:dyDescent="0.25">
      <c r="A81" s="2307" t="str">
        <f>"Fund Balances - June 30, "&amp;'AFR20'!E2</f>
        <v>Fund Balances - June 30, 2020</v>
      </c>
      <c r="B81" s="2308"/>
      <c r="C81" s="1594">
        <f>(SUM(C78:C80))</f>
        <v>2035145</v>
      </c>
      <c r="D81" s="1594">
        <f>SUM(D78:D80)</f>
        <v>0</v>
      </c>
      <c r="E81" s="1594">
        <f t="shared" ref="E81:K81" si="10">SUM(E78:E80)</f>
        <v>0</v>
      </c>
      <c r="F81" s="1594">
        <f t="shared" si="10"/>
        <v>0</v>
      </c>
      <c r="G81" s="1594">
        <f t="shared" si="10"/>
        <v>0</v>
      </c>
      <c r="H81" s="1594">
        <f t="shared" si="10"/>
        <v>0</v>
      </c>
      <c r="I81" s="1594">
        <f t="shared" si="10"/>
        <v>0</v>
      </c>
      <c r="J81" s="1594">
        <f t="shared" si="10"/>
        <v>107617</v>
      </c>
      <c r="K81" s="1594">
        <f t="shared" si="10"/>
        <v>0</v>
      </c>
      <c r="L81" s="325"/>
    </row>
    <row r="82" spans="1:12" ht="0.75" customHeight="1" thickTop="1" thickBot="1" x14ac:dyDescent="0.25">
      <c r="A82" s="459" t="s">
        <v>340</v>
      </c>
      <c r="B82" s="460"/>
      <c r="C82" s="461">
        <f>(C81-C79)</f>
        <v>1979109</v>
      </c>
      <c r="D82" s="461">
        <f t="shared" ref="D82:K82" si="11">(D81-D79)</f>
        <v>0</v>
      </c>
      <c r="E82" s="461">
        <f t="shared" si="11"/>
        <v>0</v>
      </c>
      <c r="F82" s="461">
        <f t="shared" si="11"/>
        <v>0</v>
      </c>
      <c r="G82" s="461">
        <f t="shared" si="11"/>
        <v>0</v>
      </c>
      <c r="H82" s="461">
        <f t="shared" si="11"/>
        <v>0</v>
      </c>
      <c r="I82" s="461">
        <f t="shared" si="11"/>
        <v>0</v>
      </c>
      <c r="J82" s="461">
        <f t="shared" si="11"/>
        <v>11480</v>
      </c>
      <c r="K82" s="461">
        <f t="shared" si="11"/>
        <v>0</v>
      </c>
    </row>
    <row r="83" spans="1:12" ht="14.25" hidden="1" thickTop="1" thickBot="1" x14ac:dyDescent="0.25">
      <c r="A83" s="462" t="s">
        <v>341</v>
      </c>
      <c r="B83" s="428"/>
      <c r="C83" s="463">
        <f>C82/C81</f>
        <v>0.97246584395706448</v>
      </c>
      <c r="D83" s="463" t="e">
        <f t="shared" ref="D83:K83" si="12">D82/D81</f>
        <v>#DIV/0!</v>
      </c>
      <c r="E83" s="463" t="e">
        <f t="shared" si="12"/>
        <v>#DIV/0!</v>
      </c>
      <c r="F83" s="463" t="e">
        <f t="shared" si="12"/>
        <v>#DIV/0!</v>
      </c>
      <c r="G83" s="463" t="e">
        <f t="shared" si="12"/>
        <v>#DIV/0!</v>
      </c>
      <c r="H83" s="463" t="e">
        <f t="shared" si="12"/>
        <v>#DIV/0!</v>
      </c>
      <c r="I83" s="463" t="e">
        <f t="shared" si="12"/>
        <v>#DIV/0!</v>
      </c>
      <c r="J83" s="463">
        <f t="shared" si="12"/>
        <v>0.10667459602107474</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80" zoomScaleNormal="80" zoomScaleSheetLayoutView="75" workbookViewId="0">
      <pane ySplit="2" topLeftCell="A3" activePane="bottomLeft" state="frozen"/>
      <selection activeCell="E30" sqref="E30"/>
      <selection pane="bottomLeft" activeCell="C33" sqref="C3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11" t="s">
        <v>1777</v>
      </c>
      <c r="B1" s="416"/>
      <c r="C1" s="417" t="s">
        <v>422</v>
      </c>
      <c r="D1" s="417" t="s">
        <v>423</v>
      </c>
      <c r="E1" s="417" t="s">
        <v>424</v>
      </c>
      <c r="F1" s="417" t="s">
        <v>425</v>
      </c>
      <c r="G1" s="417" t="s">
        <v>426</v>
      </c>
      <c r="H1" s="417" t="s">
        <v>427</v>
      </c>
      <c r="I1" s="417" t="s">
        <v>428</v>
      </c>
      <c r="J1" s="417" t="s">
        <v>429</v>
      </c>
      <c r="K1" s="417" t="s">
        <v>751</v>
      </c>
    </row>
    <row r="2" spans="1:12" ht="36" x14ac:dyDescent="0.2">
      <c r="A2" s="231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0</v>
      </c>
      <c r="D5" s="1586">
        <v>0</v>
      </c>
      <c r="E5" s="1573">
        <v>0</v>
      </c>
      <c r="F5" s="1631">
        <v>0</v>
      </c>
      <c r="G5" s="1573">
        <v>0</v>
      </c>
      <c r="H5" s="1573">
        <v>0</v>
      </c>
      <c r="I5" s="1573">
        <v>0</v>
      </c>
      <c r="J5" s="1574">
        <v>0</v>
      </c>
      <c r="K5" s="1573">
        <v>0</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0</v>
      </c>
      <c r="D7" s="1573">
        <v>0</v>
      </c>
      <c r="E7" s="1575"/>
      <c r="F7" s="1574">
        <v>0</v>
      </c>
      <c r="G7" s="1574">
        <v>0</v>
      </c>
      <c r="H7" s="1574">
        <v>0</v>
      </c>
      <c r="I7" s="1575"/>
      <c r="J7" s="1575"/>
      <c r="K7" s="1575"/>
    </row>
    <row r="8" spans="1:12" x14ac:dyDescent="0.2">
      <c r="A8" s="427" t="s">
        <v>410</v>
      </c>
      <c r="B8" s="429">
        <v>1150</v>
      </c>
      <c r="C8" s="1580"/>
      <c r="D8" s="1580"/>
      <c r="E8" s="1582"/>
      <c r="F8" s="1582"/>
      <c r="G8" s="1586">
        <v>0</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0</v>
      </c>
      <c r="D16" s="1573">
        <v>0</v>
      </c>
      <c r="E16" s="1573">
        <v>0</v>
      </c>
      <c r="F16" s="1573">
        <v>0</v>
      </c>
      <c r="G16" s="1573">
        <v>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7379594</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7379594</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11611</v>
      </c>
      <c r="D65" s="1573">
        <v>0</v>
      </c>
      <c r="E65" s="1573">
        <v>0</v>
      </c>
      <c r="F65" s="1574">
        <v>0</v>
      </c>
      <c r="G65" s="1573">
        <v>0</v>
      </c>
      <c r="H65" s="1573">
        <v>0</v>
      </c>
      <c r="I65" s="1573">
        <v>0</v>
      </c>
      <c r="J65" s="1574">
        <v>963</v>
      </c>
      <c r="K65" s="1573">
        <v>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11611</v>
      </c>
      <c r="D67" s="1594">
        <f t="shared" ref="D67:K67" si="2">SUM(D65:D66)</f>
        <v>0</v>
      </c>
      <c r="E67" s="1594">
        <f t="shared" si="2"/>
        <v>0</v>
      </c>
      <c r="F67" s="1594">
        <f t="shared" si="2"/>
        <v>0</v>
      </c>
      <c r="G67" s="1594">
        <f t="shared" si="2"/>
        <v>0</v>
      </c>
      <c r="H67" s="1594">
        <f t="shared" si="2"/>
        <v>0</v>
      </c>
      <c r="I67" s="1594">
        <f t="shared" si="2"/>
        <v>0</v>
      </c>
      <c r="J67" s="1594">
        <f t="shared" si="2"/>
        <v>963</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0</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0</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3351</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0</v>
      </c>
      <c r="D107" s="1573">
        <v>0</v>
      </c>
      <c r="E107" s="1573">
        <v>0</v>
      </c>
      <c r="F107" s="1573">
        <v>0</v>
      </c>
      <c r="G107" s="1573">
        <v>0</v>
      </c>
      <c r="H107" s="1573">
        <v>0</v>
      </c>
      <c r="I107" s="1573">
        <v>0</v>
      </c>
      <c r="J107" s="1574">
        <v>66776</v>
      </c>
      <c r="K107" s="1573">
        <v>0</v>
      </c>
    </row>
    <row r="108" spans="1:12" ht="12.75" customHeight="1" thickBot="1" x14ac:dyDescent="0.25">
      <c r="A108" s="1406" t="s">
        <v>484</v>
      </c>
      <c r="B108" s="1408"/>
      <c r="C108" s="1633">
        <f>SUM(C95:C107)</f>
        <v>3351</v>
      </c>
      <c r="D108" s="1633">
        <f t="shared" ref="D108:K108" si="3">SUM(D95:D107)</f>
        <v>0</v>
      </c>
      <c r="E108" s="1633">
        <f t="shared" si="3"/>
        <v>0</v>
      </c>
      <c r="F108" s="1633">
        <f t="shared" si="3"/>
        <v>0</v>
      </c>
      <c r="G108" s="1633">
        <f t="shared" si="3"/>
        <v>0</v>
      </c>
      <c r="H108" s="1633">
        <f t="shared" si="3"/>
        <v>0</v>
      </c>
      <c r="I108" s="1633">
        <f t="shared" si="3"/>
        <v>0</v>
      </c>
      <c r="J108" s="1633">
        <f t="shared" si="3"/>
        <v>66776</v>
      </c>
      <c r="K108" s="1594">
        <f t="shared" si="3"/>
        <v>0</v>
      </c>
    </row>
    <row r="109" spans="1:12" ht="14.25" thickTop="1" thickBot="1" x14ac:dyDescent="0.25">
      <c r="A109" s="1409" t="s">
        <v>246</v>
      </c>
      <c r="B109" s="1410" t="s">
        <v>566</v>
      </c>
      <c r="C109" s="1641">
        <f t="shared" ref="C109:K109" si="4">SUM(C12,C18,C40,C63,C67,C75,C82,C93,C108,)</f>
        <v>7394556</v>
      </c>
      <c r="D109" s="1641">
        <f t="shared" si="4"/>
        <v>0</v>
      </c>
      <c r="E109" s="1641">
        <f t="shared" si="4"/>
        <v>0</v>
      </c>
      <c r="F109" s="1641">
        <f t="shared" si="4"/>
        <v>0</v>
      </c>
      <c r="G109" s="1641">
        <f t="shared" si="4"/>
        <v>0</v>
      </c>
      <c r="H109" s="1641">
        <f t="shared" si="4"/>
        <v>0</v>
      </c>
      <c r="I109" s="1641">
        <f t="shared" si="4"/>
        <v>0</v>
      </c>
      <c r="J109" s="1641">
        <f t="shared" si="4"/>
        <v>67739</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927521</v>
      </c>
      <c r="D117" s="1586">
        <v>0</v>
      </c>
      <c r="E117" s="1573">
        <v>0</v>
      </c>
      <c r="F117" s="1586">
        <v>0</v>
      </c>
      <c r="G117" s="1586">
        <v>0</v>
      </c>
      <c r="H117" s="1573">
        <v>0</v>
      </c>
      <c r="I117" s="1575"/>
      <c r="J117" s="1574">
        <v>0</v>
      </c>
      <c r="K117" s="1573">
        <v>0</v>
      </c>
    </row>
    <row r="118" spans="1:11" ht="12.75" customHeight="1" x14ac:dyDescent="0.2">
      <c r="A118" s="427" t="s">
        <v>1774</v>
      </c>
      <c r="B118" s="478">
        <v>3002</v>
      </c>
      <c r="C118" s="1632"/>
      <c r="D118" s="1573"/>
      <c r="E118" s="1573"/>
      <c r="F118" s="1573"/>
      <c r="G118" s="1573"/>
      <c r="H118" s="1573"/>
      <c r="I118" s="1575"/>
      <c r="J118" s="1574"/>
      <c r="K118" s="1573"/>
    </row>
    <row r="119" spans="1:11" ht="12.75" customHeight="1" x14ac:dyDescent="0.2">
      <c r="A119" s="427" t="s">
        <v>1775</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1893</v>
      </c>
      <c r="B120" s="478">
        <v>3030</v>
      </c>
      <c r="C120" s="1632">
        <v>0</v>
      </c>
      <c r="D120" s="1573">
        <v>0</v>
      </c>
      <c r="E120" s="1573">
        <v>0</v>
      </c>
      <c r="F120" s="1573">
        <v>0</v>
      </c>
      <c r="G120" s="1573">
        <v>0</v>
      </c>
      <c r="H120" s="1573">
        <v>0</v>
      </c>
      <c r="I120" s="1575"/>
      <c r="J120" s="1574">
        <v>0</v>
      </c>
      <c r="K120" s="1573">
        <v>0</v>
      </c>
    </row>
    <row r="121" spans="1:11" x14ac:dyDescent="0.2">
      <c r="A121" s="1266" t="s">
        <v>1776</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927521</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578</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0</v>
      </c>
      <c r="G152" s="1574">
        <v>0</v>
      </c>
      <c r="H152" s="1575"/>
      <c r="I152" s="1575"/>
      <c r="J152" s="1575"/>
      <c r="K152" s="1575"/>
    </row>
    <row r="153" spans="1:11" ht="12.75" customHeight="1" x14ac:dyDescent="0.2">
      <c r="A153" s="427" t="s">
        <v>1048</v>
      </c>
      <c r="B153" s="478">
        <v>3510</v>
      </c>
      <c r="C153" s="1632">
        <v>0</v>
      </c>
      <c r="D153" s="1573">
        <v>0</v>
      </c>
      <c r="E153" s="1640"/>
      <c r="F153" s="1573">
        <v>0</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331" t="s">
        <v>395</v>
      </c>
      <c r="B169" s="2332"/>
      <c r="C169" s="1658">
        <f t="shared" ref="C169:K169" si="6">SUM(C132,C141,C145,C146:C150,C155,C156:C167,C168)</f>
        <v>578</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928099</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333" t="s">
        <v>1475</v>
      </c>
      <c r="B172" s="2334"/>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37" t="s">
        <v>1646</v>
      </c>
      <c r="B175" s="233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41" t="s">
        <v>1645</v>
      </c>
      <c r="B176" s="2342"/>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339" t="s">
        <v>780</v>
      </c>
      <c r="B181" s="234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35" t="s">
        <v>1778</v>
      </c>
      <c r="B182" s="233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19210</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11250</v>
      </c>
      <c r="D193" s="1575"/>
      <c r="E193" s="1640"/>
      <c r="F193" s="1575"/>
      <c r="G193" s="1664">
        <v>0</v>
      </c>
      <c r="H193" s="1575"/>
      <c r="I193" s="1575"/>
      <c r="J193" s="1575"/>
      <c r="K193" s="1575"/>
    </row>
    <row r="194" spans="1:11" ht="12.75" customHeight="1" x14ac:dyDescent="0.2">
      <c r="A194" s="427" t="s">
        <v>1434</v>
      </c>
      <c r="B194" s="429">
        <v>4225</v>
      </c>
      <c r="C194" s="1632">
        <v>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30460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0</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57746</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1858527</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1916273</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1894</v>
      </c>
      <c r="B261" s="429">
        <v>4981</v>
      </c>
      <c r="C261" s="1650">
        <v>0</v>
      </c>
      <c r="D261" s="1651">
        <v>0</v>
      </c>
      <c r="E261" s="1575"/>
      <c r="F261" s="1651">
        <v>0</v>
      </c>
      <c r="G261" s="1651">
        <v>0</v>
      </c>
      <c r="H261" s="1575"/>
      <c r="I261" s="1575"/>
      <c r="J261" s="1575"/>
      <c r="K261" s="1575"/>
    </row>
    <row r="262" spans="1:11" ht="12.75" customHeight="1" thickTop="1" thickBot="1" x14ac:dyDescent="0.25">
      <c r="A262" s="1540" t="s">
        <v>1895</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81391</v>
      </c>
      <c r="D263" s="1651">
        <v>0</v>
      </c>
      <c r="E263" s="1575"/>
      <c r="F263" s="1651">
        <v>0</v>
      </c>
      <c r="G263" s="1651">
        <v>0</v>
      </c>
      <c r="H263" s="1575"/>
      <c r="I263" s="1575"/>
      <c r="J263" s="1575"/>
      <c r="K263" s="1575"/>
    </row>
    <row r="264" spans="1:11" ht="12.75" customHeight="1" thickTop="1" thickBot="1" x14ac:dyDescent="0.25">
      <c r="A264" s="427" t="s">
        <v>374</v>
      </c>
      <c r="B264" s="429">
        <v>4992</v>
      </c>
      <c r="C264" s="1650">
        <v>120560</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2148684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2148684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10471339</v>
      </c>
      <c r="D268" s="1641">
        <f t="shared" si="12"/>
        <v>0</v>
      </c>
      <c r="E268" s="1641">
        <f t="shared" si="12"/>
        <v>0</v>
      </c>
      <c r="F268" s="1641">
        <f t="shared" si="12"/>
        <v>0</v>
      </c>
      <c r="G268" s="1641">
        <f t="shared" si="12"/>
        <v>0</v>
      </c>
      <c r="H268" s="1641">
        <f t="shared" si="12"/>
        <v>0</v>
      </c>
      <c r="I268" s="1641">
        <f t="shared" si="12"/>
        <v>0</v>
      </c>
      <c r="J268" s="1641">
        <f t="shared" si="12"/>
        <v>67739</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 activePane="bottomLeft" state="frozen"/>
      <selection activeCell="E30" sqref="E30"/>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11" t="s">
        <v>1777</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4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51" t="s">
        <v>294</v>
      </c>
      <c r="B3" s="2352"/>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0</v>
      </c>
      <c r="D5" s="1573">
        <v>0</v>
      </c>
      <c r="E5" s="1573">
        <v>0</v>
      </c>
      <c r="F5" s="1573">
        <v>0</v>
      </c>
      <c r="G5" s="1573">
        <v>0</v>
      </c>
      <c r="H5" s="1573">
        <v>0</v>
      </c>
      <c r="I5" s="1574">
        <v>0</v>
      </c>
      <c r="J5" s="1574">
        <v>0</v>
      </c>
      <c r="K5" s="1672">
        <f>SUM(C5:J5)</f>
        <v>0</v>
      </c>
      <c r="L5" s="1573">
        <v>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3211447</v>
      </c>
      <c r="D8" s="1573">
        <v>791913</v>
      </c>
      <c r="E8" s="1573">
        <v>106937</v>
      </c>
      <c r="F8" s="1573">
        <v>83236</v>
      </c>
      <c r="G8" s="1573">
        <v>0</v>
      </c>
      <c r="H8" s="1573">
        <v>1925</v>
      </c>
      <c r="I8" s="1574">
        <v>62650</v>
      </c>
      <c r="J8" s="1574">
        <v>0</v>
      </c>
      <c r="K8" s="1672">
        <f t="shared" si="0"/>
        <v>4258108</v>
      </c>
      <c r="L8" s="1573">
        <v>4678112</v>
      </c>
    </row>
    <row r="9" spans="1:14" x14ac:dyDescent="0.2">
      <c r="A9" s="1274" t="s">
        <v>716</v>
      </c>
      <c r="B9" s="503" t="s">
        <v>962</v>
      </c>
      <c r="C9" s="1574">
        <v>320846</v>
      </c>
      <c r="D9" s="1574">
        <v>78133</v>
      </c>
      <c r="E9" s="1574">
        <v>0</v>
      </c>
      <c r="F9" s="1574">
        <v>1544</v>
      </c>
      <c r="G9" s="1574">
        <v>0</v>
      </c>
      <c r="H9" s="1574">
        <v>0</v>
      </c>
      <c r="I9" s="1574">
        <v>0</v>
      </c>
      <c r="J9" s="1574">
        <v>0</v>
      </c>
      <c r="K9" s="1672">
        <f t="shared" si="0"/>
        <v>400523</v>
      </c>
      <c r="L9" s="1573">
        <v>0</v>
      </c>
    </row>
    <row r="10" spans="1:14" x14ac:dyDescent="0.2">
      <c r="A10" s="1274" t="s">
        <v>717</v>
      </c>
      <c r="B10" s="503">
        <v>1250</v>
      </c>
      <c r="C10" s="1573">
        <v>0</v>
      </c>
      <c r="D10" s="1573">
        <v>0</v>
      </c>
      <c r="E10" s="1573">
        <v>0</v>
      </c>
      <c r="F10" s="1573">
        <v>0</v>
      </c>
      <c r="G10" s="1573">
        <v>0</v>
      </c>
      <c r="H10" s="1573">
        <v>0</v>
      </c>
      <c r="I10" s="1574">
        <v>0</v>
      </c>
      <c r="J10" s="1574">
        <v>0</v>
      </c>
      <c r="K10" s="1672">
        <f t="shared" si="0"/>
        <v>0</v>
      </c>
      <c r="L10" s="1573">
        <v>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0</v>
      </c>
      <c r="D14" s="1573">
        <v>0</v>
      </c>
      <c r="E14" s="1573">
        <v>0</v>
      </c>
      <c r="F14" s="1573">
        <v>0</v>
      </c>
      <c r="G14" s="1573">
        <v>0</v>
      </c>
      <c r="H14" s="1573">
        <v>0</v>
      </c>
      <c r="I14" s="1574">
        <v>0</v>
      </c>
      <c r="J14" s="1574">
        <v>0</v>
      </c>
      <c r="K14" s="1672">
        <f t="shared" si="0"/>
        <v>0</v>
      </c>
      <c r="L14" s="1573">
        <v>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3532293</v>
      </c>
      <c r="D33" s="1674">
        <f t="shared" ref="D33:L33" si="1">SUM(D5:D32)</f>
        <v>870046</v>
      </c>
      <c r="E33" s="1674">
        <f t="shared" si="1"/>
        <v>106937</v>
      </c>
      <c r="F33" s="1674">
        <f t="shared" si="1"/>
        <v>84780</v>
      </c>
      <c r="G33" s="1674">
        <f t="shared" si="1"/>
        <v>0</v>
      </c>
      <c r="H33" s="1674">
        <f t="shared" si="1"/>
        <v>1925</v>
      </c>
      <c r="I33" s="1674">
        <f t="shared" si="1"/>
        <v>62650</v>
      </c>
      <c r="J33" s="1674">
        <f t="shared" si="1"/>
        <v>0</v>
      </c>
      <c r="K33" s="1674">
        <f t="shared" si="1"/>
        <v>4658631</v>
      </c>
      <c r="L33" s="1674">
        <f t="shared" si="1"/>
        <v>4678112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646149</v>
      </c>
      <c r="D36" s="1586">
        <v>92694</v>
      </c>
      <c r="E36" s="1586">
        <v>436</v>
      </c>
      <c r="F36" s="1586">
        <v>637</v>
      </c>
      <c r="G36" s="1586">
        <v>0</v>
      </c>
      <c r="H36" s="1586">
        <v>0</v>
      </c>
      <c r="I36" s="1574">
        <v>2487</v>
      </c>
      <c r="J36" s="1574">
        <v>0</v>
      </c>
      <c r="K36" s="1672">
        <f t="shared" ref="K36:K41" si="2">SUM(C36:J36)</f>
        <v>742403</v>
      </c>
      <c r="L36" s="1573">
        <v>737757</v>
      </c>
    </row>
    <row r="37" spans="1:14" x14ac:dyDescent="0.2">
      <c r="A37" s="1274" t="s">
        <v>1081</v>
      </c>
      <c r="B37" s="503">
        <v>2120</v>
      </c>
      <c r="C37" s="1573">
        <v>0</v>
      </c>
      <c r="D37" s="1573">
        <v>0</v>
      </c>
      <c r="E37" s="1573">
        <v>0</v>
      </c>
      <c r="F37" s="1573">
        <v>0</v>
      </c>
      <c r="G37" s="1573">
        <v>0</v>
      </c>
      <c r="H37" s="1573">
        <v>0</v>
      </c>
      <c r="I37" s="1574">
        <v>0</v>
      </c>
      <c r="J37" s="1574">
        <v>0</v>
      </c>
      <c r="K37" s="1672">
        <f t="shared" si="2"/>
        <v>0</v>
      </c>
      <c r="L37" s="1573">
        <v>0</v>
      </c>
    </row>
    <row r="38" spans="1:14" x14ac:dyDescent="0.2">
      <c r="A38" s="1274" t="s">
        <v>196</v>
      </c>
      <c r="B38" s="503">
        <v>2130</v>
      </c>
      <c r="C38" s="1573">
        <v>0</v>
      </c>
      <c r="D38" s="1573">
        <v>0</v>
      </c>
      <c r="E38" s="1573">
        <v>163975</v>
      </c>
      <c r="F38" s="1573">
        <v>128</v>
      </c>
      <c r="G38" s="1573">
        <v>0</v>
      </c>
      <c r="H38" s="1573">
        <v>0</v>
      </c>
      <c r="I38" s="1573">
        <v>0</v>
      </c>
      <c r="J38" s="1573">
        <v>0</v>
      </c>
      <c r="K38" s="1672">
        <f t="shared" si="2"/>
        <v>164103</v>
      </c>
      <c r="L38" s="1573">
        <v>159350</v>
      </c>
    </row>
    <row r="39" spans="1:14" x14ac:dyDescent="0.2">
      <c r="A39" s="1274" t="s">
        <v>197</v>
      </c>
      <c r="B39" s="503">
        <v>2140</v>
      </c>
      <c r="C39" s="1573">
        <v>548225</v>
      </c>
      <c r="D39" s="1573">
        <v>69902</v>
      </c>
      <c r="E39" s="1573">
        <v>11608</v>
      </c>
      <c r="F39" s="1573">
        <v>13</v>
      </c>
      <c r="G39" s="1573">
        <v>0</v>
      </c>
      <c r="H39" s="1573">
        <v>0</v>
      </c>
      <c r="I39" s="1574">
        <v>0</v>
      </c>
      <c r="J39" s="1574">
        <v>0</v>
      </c>
      <c r="K39" s="1672">
        <f t="shared" si="2"/>
        <v>629748</v>
      </c>
      <c r="L39" s="1573">
        <v>637228</v>
      </c>
    </row>
    <row r="40" spans="1:14" x14ac:dyDescent="0.2">
      <c r="A40" s="1274" t="s">
        <v>198</v>
      </c>
      <c r="B40" s="503">
        <v>2150</v>
      </c>
      <c r="C40" s="1573">
        <v>546790</v>
      </c>
      <c r="D40" s="1573">
        <v>102428</v>
      </c>
      <c r="E40" s="1573">
        <v>542</v>
      </c>
      <c r="F40" s="1573">
        <v>3676</v>
      </c>
      <c r="G40" s="1573">
        <v>0</v>
      </c>
      <c r="H40" s="1573">
        <v>1800</v>
      </c>
      <c r="I40" s="1574">
        <v>0</v>
      </c>
      <c r="J40" s="1574">
        <v>0</v>
      </c>
      <c r="K40" s="1672">
        <f t="shared" si="2"/>
        <v>655236</v>
      </c>
      <c r="L40" s="1573">
        <v>656377</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1741164</v>
      </c>
      <c r="D42" s="1674">
        <f t="shared" ref="D42:L42" si="3">SUM(D36:D41)</f>
        <v>265024</v>
      </c>
      <c r="E42" s="1674">
        <f t="shared" si="3"/>
        <v>176561</v>
      </c>
      <c r="F42" s="1674">
        <f t="shared" si="3"/>
        <v>4454</v>
      </c>
      <c r="G42" s="1674">
        <f t="shared" si="3"/>
        <v>0</v>
      </c>
      <c r="H42" s="1674">
        <f t="shared" si="3"/>
        <v>1800</v>
      </c>
      <c r="I42" s="1674">
        <f t="shared" si="3"/>
        <v>2487</v>
      </c>
      <c r="J42" s="1674">
        <f t="shared" si="3"/>
        <v>0</v>
      </c>
      <c r="K42" s="1674">
        <f t="shared" si="3"/>
        <v>2191490</v>
      </c>
      <c r="L42" s="1674">
        <f t="shared" si="3"/>
        <v>2190712</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520563</v>
      </c>
      <c r="D44" s="1586">
        <v>241533</v>
      </c>
      <c r="E44" s="1586">
        <v>52061</v>
      </c>
      <c r="F44" s="1586">
        <v>2601</v>
      </c>
      <c r="G44" s="1586">
        <v>0</v>
      </c>
      <c r="H44" s="1586">
        <v>0</v>
      </c>
      <c r="I44" s="1574">
        <v>959</v>
      </c>
      <c r="J44" s="1574">
        <v>0</v>
      </c>
      <c r="K44" s="1678">
        <f>SUM(C44:J44)</f>
        <v>817717</v>
      </c>
      <c r="L44" s="1586">
        <v>819334</v>
      </c>
    </row>
    <row r="45" spans="1:14" x14ac:dyDescent="0.2">
      <c r="A45" s="1274" t="s">
        <v>810</v>
      </c>
      <c r="B45" s="503">
        <v>2220</v>
      </c>
      <c r="C45" s="1573">
        <v>0</v>
      </c>
      <c r="D45" s="1573">
        <v>0</v>
      </c>
      <c r="E45" s="1573">
        <v>0</v>
      </c>
      <c r="F45" s="1573">
        <v>0</v>
      </c>
      <c r="G45" s="1573">
        <v>0</v>
      </c>
      <c r="H45" s="1573">
        <v>0</v>
      </c>
      <c r="I45" s="1574">
        <v>0</v>
      </c>
      <c r="J45" s="1574">
        <v>0</v>
      </c>
      <c r="K45" s="1678">
        <f>SUM(C45:J45)</f>
        <v>0</v>
      </c>
      <c r="L45" s="1573">
        <v>0</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520563</v>
      </c>
      <c r="D47" s="1674">
        <f t="shared" ref="D47:K47" si="4">SUM(D44:D46)</f>
        <v>241533</v>
      </c>
      <c r="E47" s="1674">
        <f t="shared" si="4"/>
        <v>52061</v>
      </c>
      <c r="F47" s="1674">
        <f t="shared" si="4"/>
        <v>2601</v>
      </c>
      <c r="G47" s="1674">
        <f t="shared" si="4"/>
        <v>0</v>
      </c>
      <c r="H47" s="1674">
        <f t="shared" si="4"/>
        <v>0</v>
      </c>
      <c r="I47" s="1674">
        <f t="shared" si="4"/>
        <v>959</v>
      </c>
      <c r="J47" s="1674">
        <f t="shared" si="4"/>
        <v>0</v>
      </c>
      <c r="K47" s="1674">
        <f t="shared" si="4"/>
        <v>817717</v>
      </c>
      <c r="L47" s="1674">
        <f>SUM(L44:L46)</f>
        <v>819334</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0</v>
      </c>
      <c r="F49" s="1586">
        <v>0</v>
      </c>
      <c r="G49" s="1586">
        <v>0</v>
      </c>
      <c r="H49" s="1586">
        <v>0</v>
      </c>
      <c r="I49" s="1574">
        <v>0</v>
      </c>
      <c r="J49" s="1574">
        <v>0</v>
      </c>
      <c r="K49" s="1678">
        <f>SUM(C49:J49)</f>
        <v>0</v>
      </c>
      <c r="L49" s="1586">
        <v>0</v>
      </c>
    </row>
    <row r="50" spans="1:14" x14ac:dyDescent="0.2">
      <c r="A50" s="1274" t="s">
        <v>813</v>
      </c>
      <c r="B50" s="503">
        <v>2320</v>
      </c>
      <c r="C50" s="1574">
        <v>0</v>
      </c>
      <c r="D50" s="1573">
        <v>0</v>
      </c>
      <c r="E50" s="1573">
        <v>0</v>
      </c>
      <c r="F50" s="1573">
        <v>0</v>
      </c>
      <c r="G50" s="1573">
        <v>0</v>
      </c>
      <c r="H50" s="1573">
        <v>0</v>
      </c>
      <c r="I50" s="1574">
        <v>0</v>
      </c>
      <c r="J50" s="1574">
        <v>0</v>
      </c>
      <c r="K50" s="1678">
        <f>SUM(C50:J50)</f>
        <v>0</v>
      </c>
      <c r="L50" s="1573">
        <v>0</v>
      </c>
    </row>
    <row r="51" spans="1:14" x14ac:dyDescent="0.2">
      <c r="A51" s="1274" t="s">
        <v>42</v>
      </c>
      <c r="B51" s="503">
        <v>2330</v>
      </c>
      <c r="C51" s="1573">
        <v>176141</v>
      </c>
      <c r="D51" s="1573">
        <v>52508</v>
      </c>
      <c r="E51" s="1573">
        <v>49897</v>
      </c>
      <c r="F51" s="1573">
        <v>11359</v>
      </c>
      <c r="G51" s="1573">
        <v>0</v>
      </c>
      <c r="H51" s="1573">
        <v>26919</v>
      </c>
      <c r="I51" s="1574">
        <v>3845</v>
      </c>
      <c r="J51" s="1574">
        <v>0</v>
      </c>
      <c r="K51" s="1678">
        <f>SUM(C51:J51)</f>
        <v>320669</v>
      </c>
      <c r="L51" s="1573">
        <v>322410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176141</v>
      </c>
      <c r="D53" s="1674">
        <f t="shared" ref="D53:L53" si="5">SUM(D49:D52)</f>
        <v>52508</v>
      </c>
      <c r="E53" s="1674">
        <f t="shared" si="5"/>
        <v>49897</v>
      </c>
      <c r="F53" s="1674">
        <f t="shared" si="5"/>
        <v>11359</v>
      </c>
      <c r="G53" s="1674">
        <f t="shared" si="5"/>
        <v>0</v>
      </c>
      <c r="H53" s="1674">
        <f t="shared" si="5"/>
        <v>26919</v>
      </c>
      <c r="I53" s="1674">
        <f t="shared" si="5"/>
        <v>3845</v>
      </c>
      <c r="J53" s="1674">
        <f t="shared" si="5"/>
        <v>0</v>
      </c>
      <c r="K53" s="1674">
        <f t="shared" si="5"/>
        <v>320669</v>
      </c>
      <c r="L53" s="1674">
        <f t="shared" si="5"/>
        <v>322410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84326</v>
      </c>
      <c r="D55" s="1586">
        <v>26051</v>
      </c>
      <c r="E55" s="1586">
        <v>0</v>
      </c>
      <c r="F55" s="1586">
        <v>18031</v>
      </c>
      <c r="G55" s="1586">
        <v>0</v>
      </c>
      <c r="H55" s="1586">
        <v>0</v>
      </c>
      <c r="I55" s="1574">
        <v>0</v>
      </c>
      <c r="J55" s="1574">
        <v>0</v>
      </c>
      <c r="K55" s="1678">
        <f>SUM(C55:J55)</f>
        <v>128408</v>
      </c>
      <c r="L55" s="1586">
        <v>129455</v>
      </c>
    </row>
    <row r="56" spans="1:14" ht="12.75" customHeight="1" x14ac:dyDescent="0.2">
      <c r="A56" s="1278" t="s">
        <v>373</v>
      </c>
      <c r="B56" s="512">
        <v>2490</v>
      </c>
      <c r="C56" s="1573">
        <v>0</v>
      </c>
      <c r="D56" s="1573">
        <v>0</v>
      </c>
      <c r="E56" s="1573">
        <v>1500</v>
      </c>
      <c r="F56" s="1573">
        <v>0</v>
      </c>
      <c r="G56" s="1573">
        <v>0</v>
      </c>
      <c r="H56" s="1573">
        <v>0</v>
      </c>
      <c r="I56" s="1574">
        <v>0</v>
      </c>
      <c r="J56" s="1574">
        <v>0</v>
      </c>
      <c r="K56" s="1678">
        <f>SUM(C56:J56)</f>
        <v>1500</v>
      </c>
      <c r="L56" s="1573">
        <v>1500</v>
      </c>
    </row>
    <row r="57" spans="1:14" s="321" customFormat="1" ht="12.75" customHeight="1" thickBot="1" x14ac:dyDescent="0.25">
      <c r="A57" s="1380" t="s">
        <v>261</v>
      </c>
      <c r="B57" s="1382" t="s">
        <v>34</v>
      </c>
      <c r="C57" s="1679">
        <f>SUM(C55:C56)</f>
        <v>84326</v>
      </c>
      <c r="D57" s="1679">
        <f t="shared" ref="D57:K57" si="6">SUM(D55:D56)</f>
        <v>26051</v>
      </c>
      <c r="E57" s="1679">
        <f t="shared" si="6"/>
        <v>1500</v>
      </c>
      <c r="F57" s="1679">
        <f t="shared" si="6"/>
        <v>18031</v>
      </c>
      <c r="G57" s="1679">
        <f t="shared" si="6"/>
        <v>0</v>
      </c>
      <c r="H57" s="1679">
        <f t="shared" si="6"/>
        <v>0</v>
      </c>
      <c r="I57" s="1679">
        <f t="shared" si="6"/>
        <v>0</v>
      </c>
      <c r="J57" s="1679">
        <f t="shared" si="6"/>
        <v>0</v>
      </c>
      <c r="K57" s="1679">
        <f t="shared" si="6"/>
        <v>129908</v>
      </c>
      <c r="L57" s="1674">
        <f>SUM(L55:L56)</f>
        <v>130955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39333</v>
      </c>
      <c r="D60" s="1573">
        <v>11065</v>
      </c>
      <c r="E60" s="1573">
        <v>11348</v>
      </c>
      <c r="F60" s="1573">
        <v>807</v>
      </c>
      <c r="G60" s="1573">
        <v>0</v>
      </c>
      <c r="H60" s="1573">
        <v>9815</v>
      </c>
      <c r="I60" s="1574">
        <v>0</v>
      </c>
      <c r="J60" s="1574">
        <v>0</v>
      </c>
      <c r="K60" s="1678">
        <f t="shared" si="7"/>
        <v>72368</v>
      </c>
      <c r="L60" s="1573">
        <v>76474</v>
      </c>
      <c r="M60" s="501"/>
      <c r="N60" s="501"/>
    </row>
    <row r="61" spans="1:14" s="321" customFormat="1" x14ac:dyDescent="0.2">
      <c r="A61" s="1274" t="s">
        <v>195</v>
      </c>
      <c r="B61" s="503">
        <v>2540</v>
      </c>
      <c r="C61" s="1573">
        <v>16620</v>
      </c>
      <c r="D61" s="1573">
        <v>1375</v>
      </c>
      <c r="E61" s="1573">
        <v>71897</v>
      </c>
      <c r="F61" s="1573">
        <v>6132</v>
      </c>
      <c r="G61" s="1573">
        <v>0</v>
      </c>
      <c r="H61" s="1573">
        <v>0</v>
      </c>
      <c r="I61" s="1574">
        <v>0</v>
      </c>
      <c r="J61" s="1574">
        <v>0</v>
      </c>
      <c r="K61" s="1678">
        <f t="shared" si="7"/>
        <v>96024</v>
      </c>
      <c r="L61" s="1573">
        <v>99550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0</v>
      </c>
      <c r="D63" s="1573">
        <v>0</v>
      </c>
      <c r="E63" s="1573">
        <v>45278</v>
      </c>
      <c r="F63" s="1573">
        <v>0</v>
      </c>
      <c r="G63" s="1573">
        <v>0</v>
      </c>
      <c r="H63" s="1573">
        <v>0</v>
      </c>
      <c r="I63" s="1574">
        <v>0</v>
      </c>
      <c r="J63" s="1574">
        <v>0</v>
      </c>
      <c r="K63" s="1678">
        <f t="shared" si="7"/>
        <v>45278</v>
      </c>
      <c r="L63" s="1573">
        <v>51000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55953</v>
      </c>
      <c r="D65" s="1674">
        <f t="shared" ref="D65:L65" si="8">SUM(D59:D64)</f>
        <v>12440</v>
      </c>
      <c r="E65" s="1674">
        <f t="shared" si="8"/>
        <v>128523</v>
      </c>
      <c r="F65" s="1674">
        <f t="shared" si="8"/>
        <v>6939</v>
      </c>
      <c r="G65" s="1674">
        <f t="shared" si="8"/>
        <v>0</v>
      </c>
      <c r="H65" s="1674">
        <f t="shared" si="8"/>
        <v>9815</v>
      </c>
      <c r="I65" s="1674">
        <f t="shared" si="8"/>
        <v>0</v>
      </c>
      <c r="J65" s="1674">
        <f t="shared" si="8"/>
        <v>0</v>
      </c>
      <c r="K65" s="1674">
        <f t="shared" si="8"/>
        <v>213670</v>
      </c>
      <c r="L65" s="1674">
        <f t="shared" si="8"/>
        <v>227024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14972</v>
      </c>
      <c r="F67" s="1573">
        <v>0</v>
      </c>
      <c r="G67" s="1573">
        <v>0</v>
      </c>
      <c r="H67" s="1573">
        <v>0</v>
      </c>
      <c r="I67" s="1574">
        <v>0</v>
      </c>
      <c r="J67" s="1574">
        <v>0</v>
      </c>
      <c r="K67" s="1678">
        <f>SUM(C67:J67)</f>
        <v>14972</v>
      </c>
      <c r="L67" s="1586">
        <v>17000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225</v>
      </c>
      <c r="F69" s="1573">
        <v>548</v>
      </c>
      <c r="G69" s="1573">
        <v>0</v>
      </c>
      <c r="H69" s="1573">
        <v>0</v>
      </c>
      <c r="I69" s="1574">
        <v>0</v>
      </c>
      <c r="J69" s="1574">
        <v>0</v>
      </c>
      <c r="K69" s="1678">
        <f>SUM(C69:J69)</f>
        <v>773</v>
      </c>
      <c r="L69" s="1573">
        <v>800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15197</v>
      </c>
      <c r="F72" s="1674">
        <f t="shared" si="9"/>
        <v>548</v>
      </c>
      <c r="G72" s="1674">
        <f t="shared" si="9"/>
        <v>0</v>
      </c>
      <c r="H72" s="1674">
        <f t="shared" si="9"/>
        <v>0</v>
      </c>
      <c r="I72" s="1674">
        <f t="shared" si="9"/>
        <v>0</v>
      </c>
      <c r="J72" s="1674">
        <f t="shared" si="9"/>
        <v>0</v>
      </c>
      <c r="K72" s="1674">
        <f t="shared" si="9"/>
        <v>15745</v>
      </c>
      <c r="L72" s="1674">
        <f>SUM(L67:L71)</f>
        <v>17800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2578147</v>
      </c>
      <c r="D74" s="1681">
        <f t="shared" ref="D74:K74" si="10">SUM(D42,D47,D53,D57,D65,D72,D73)</f>
        <v>597556</v>
      </c>
      <c r="E74" s="1681">
        <f t="shared" si="10"/>
        <v>423739</v>
      </c>
      <c r="F74" s="1681">
        <f t="shared" si="10"/>
        <v>43932</v>
      </c>
      <c r="G74" s="1681">
        <f t="shared" si="10"/>
        <v>0</v>
      </c>
      <c r="H74" s="1681">
        <f t="shared" si="10"/>
        <v>38534</v>
      </c>
      <c r="I74" s="1681">
        <f t="shared" si="10"/>
        <v>7291</v>
      </c>
      <c r="J74" s="1681">
        <f t="shared" si="10"/>
        <v>0</v>
      </c>
      <c r="K74" s="1681">
        <f t="shared" si="10"/>
        <v>3689199</v>
      </c>
      <c r="L74" s="1681">
        <f>SUM(L42,L47,L53,L57,L65,L72,L73)</f>
        <v>3708235</v>
      </c>
    </row>
    <row r="75" spans="1:14" s="254" customFormat="1" ht="15.75" customHeight="1" thickTop="1" thickBot="1" x14ac:dyDescent="0.25">
      <c r="A75" s="1348" t="s">
        <v>47</v>
      </c>
      <c r="B75" s="1349" t="s">
        <v>571</v>
      </c>
      <c r="C75" s="1649">
        <v>5621</v>
      </c>
      <c r="D75" s="1649">
        <v>78</v>
      </c>
      <c r="E75" s="1649">
        <v>0</v>
      </c>
      <c r="F75" s="1649">
        <v>0</v>
      </c>
      <c r="G75" s="1649">
        <v>0</v>
      </c>
      <c r="H75" s="1649">
        <v>0</v>
      </c>
      <c r="I75" s="1627">
        <v>0</v>
      </c>
      <c r="J75" s="1627">
        <v>0</v>
      </c>
      <c r="K75" s="1674">
        <f>SUM(C75:J75)</f>
        <v>5699</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0</v>
      </c>
      <c r="F79" s="1673"/>
      <c r="G79" s="1673"/>
      <c r="H79" s="1573">
        <v>138701</v>
      </c>
      <c r="I79" s="1582"/>
      <c r="J79" s="1582"/>
      <c r="K79" s="1672">
        <f t="shared" si="11"/>
        <v>138701</v>
      </c>
      <c r="L79" s="1573">
        <v>65000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0</v>
      </c>
      <c r="F84" s="1673"/>
      <c r="G84" s="1673"/>
      <c r="H84" s="1674">
        <f>SUM(H78:H83)</f>
        <v>138701</v>
      </c>
      <c r="I84" s="1582"/>
      <c r="J84" s="1582"/>
      <c r="K84" s="1674">
        <f>SUM(K78:K83)</f>
        <v>138701</v>
      </c>
      <c r="L84" s="1674">
        <f>SUM(L78:L83)</f>
        <v>65000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0</v>
      </c>
      <c r="F102" s="1673"/>
      <c r="G102" s="1673"/>
      <c r="H102" s="1681">
        <f>SUM(H84,H92,H100,H101)</f>
        <v>138701</v>
      </c>
      <c r="I102" s="1582"/>
      <c r="J102" s="1582"/>
      <c r="K102" s="1681">
        <f>SUM(K84,K92,K100,K101)</f>
        <v>138701</v>
      </c>
      <c r="L102" s="1681">
        <f>SUM(L84,L92,L100,L101)</f>
        <v>65000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6116061</v>
      </c>
      <c r="D114" s="1674">
        <f t="shared" ref="D114:K114" si="13">SUM(D33,D74,D75,D102,D112,D113)</f>
        <v>1467680</v>
      </c>
      <c r="E114" s="1674">
        <f t="shared" si="13"/>
        <v>530676</v>
      </c>
      <c r="F114" s="1674">
        <f t="shared" si="13"/>
        <v>128712</v>
      </c>
      <c r="G114" s="1674">
        <f t="shared" si="13"/>
        <v>0</v>
      </c>
      <c r="H114" s="1674">
        <f>SUM(H33,H74,H75,H102,H112,H113)</f>
        <v>179160</v>
      </c>
      <c r="I114" s="1674">
        <f t="shared" si="13"/>
        <v>69941</v>
      </c>
      <c r="J114" s="1674">
        <f t="shared" si="13"/>
        <v>0</v>
      </c>
      <c r="K114" s="1674">
        <f t="shared" si="13"/>
        <v>8492230</v>
      </c>
      <c r="L114" s="1674">
        <f>SUM(L33,L74,L75,L102,L112,L113)</f>
        <v>8451347</v>
      </c>
    </row>
    <row r="115" spans="1:14" ht="13.5" thickTop="1" x14ac:dyDescent="0.2">
      <c r="A115" s="2343" t="s">
        <v>989</v>
      </c>
      <c r="B115" s="2344"/>
      <c r="C115" s="1675"/>
      <c r="D115" s="1675"/>
      <c r="E115" s="1675"/>
      <c r="F115" s="1675"/>
      <c r="G115" s="1675"/>
      <c r="H115" s="1675"/>
      <c r="I115" s="1675"/>
      <c r="J115" s="1675"/>
      <c r="K115" s="1689">
        <f>'Revenues 9-14'!C268-'Expenditures 15-22'!K114</f>
        <v>1979109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48" t="s">
        <v>293</v>
      </c>
      <c r="B117" s="2349"/>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1961</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0</v>
      </c>
      <c r="D124" s="1573">
        <v>0</v>
      </c>
      <c r="E124" s="1573">
        <v>0</v>
      </c>
      <c r="F124" s="1573">
        <v>0</v>
      </c>
      <c r="G124" s="1573">
        <v>0</v>
      </c>
      <c r="H124" s="1573">
        <v>0</v>
      </c>
      <c r="I124" s="1574">
        <v>0</v>
      </c>
      <c r="J124" s="1574">
        <v>0</v>
      </c>
      <c r="K124" s="1674">
        <f>SUM(C124:J124)</f>
        <v>0</v>
      </c>
      <c r="L124" s="1573">
        <v>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1814</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60" t="s">
        <v>616</v>
      </c>
      <c r="B151" s="2340"/>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363" t="s">
        <v>1168</v>
      </c>
      <c r="B152" s="2364"/>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48" t="s">
        <v>617</v>
      </c>
      <c r="B154" s="235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1815</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1814</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1816</v>
      </c>
      <c r="C158" s="1673"/>
      <c r="D158" s="1673"/>
      <c r="E158" s="1673"/>
      <c r="F158" s="1673"/>
      <c r="G158" s="1673"/>
      <c r="H158" s="1574">
        <v>0</v>
      </c>
      <c r="I158" s="1673"/>
      <c r="J158" s="1673"/>
      <c r="K158" s="1672">
        <f>H158</f>
        <v>0</v>
      </c>
      <c r="L158" s="1574">
        <v>0</v>
      </c>
      <c r="M158" s="505"/>
      <c r="N158" s="505"/>
    </row>
    <row r="159" spans="1:14" s="506" customFormat="1" ht="12" x14ac:dyDescent="0.2">
      <c r="A159" s="1462" t="s">
        <v>1817</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1818</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0</v>
      </c>
      <c r="I169" s="1673"/>
      <c r="J169" s="1673"/>
      <c r="K169" s="1672">
        <f>SUM(C169:H169)</f>
        <v>0</v>
      </c>
      <c r="L169" s="1695">
        <v>0</v>
      </c>
    </row>
    <row r="170" spans="1:14" ht="33.75" customHeight="1" x14ac:dyDescent="0.2">
      <c r="A170" s="543" t="s">
        <v>1651</v>
      </c>
      <c r="B170" s="545" t="s">
        <v>31</v>
      </c>
      <c r="C170" s="1673"/>
      <c r="D170" s="1673"/>
      <c r="E170" s="1673"/>
      <c r="F170" s="1673"/>
      <c r="G170" s="1673"/>
      <c r="H170" s="1646">
        <v>0</v>
      </c>
      <c r="I170" s="1673"/>
      <c r="J170" s="1673"/>
      <c r="K170" s="1672">
        <f>SUM(C170:J170)</f>
        <v>0</v>
      </c>
      <c r="L170" s="1646">
        <v>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343" t="s">
        <v>989</v>
      </c>
      <c r="B175" s="2344"/>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1961</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0</v>
      </c>
      <c r="F182" s="1573">
        <v>0</v>
      </c>
      <c r="G182" s="1573">
        <v>0</v>
      </c>
      <c r="H182" s="1573">
        <v>0</v>
      </c>
      <c r="I182" s="1574">
        <v>0</v>
      </c>
      <c r="J182" s="1574">
        <v>0</v>
      </c>
      <c r="K182" s="1672">
        <f>SUM(C182:J182)</f>
        <v>0</v>
      </c>
      <c r="L182" s="1573">
        <v>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343" t="s">
        <v>989</v>
      </c>
      <c r="B211" s="2344"/>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65" t="s">
        <v>959</v>
      </c>
      <c r="B213" s="2366"/>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0</v>
      </c>
      <c r="E215" s="1673"/>
      <c r="F215" s="1673"/>
      <c r="G215" s="1673"/>
      <c r="H215" s="1673"/>
      <c r="I215" s="1673"/>
      <c r="J215" s="1673"/>
      <c r="K215" s="1672">
        <f>D215</f>
        <v>0</v>
      </c>
      <c r="L215" s="1573">
        <v>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0</v>
      </c>
      <c r="E217" s="1673"/>
      <c r="F217" s="1673"/>
      <c r="G217" s="1673"/>
      <c r="H217" s="1673"/>
      <c r="I217" s="1673"/>
      <c r="J217" s="1673"/>
      <c r="K217" s="1672">
        <f t="shared" si="19"/>
        <v>0</v>
      </c>
      <c r="L217" s="1573">
        <v>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0</v>
      </c>
      <c r="E219" s="1673"/>
      <c r="F219" s="1673"/>
      <c r="G219" s="1673"/>
      <c r="H219" s="1673"/>
      <c r="I219" s="1673"/>
      <c r="J219" s="1673"/>
      <c r="K219" s="1672">
        <f t="shared" si="19"/>
        <v>0</v>
      </c>
      <c r="L219" s="1573">
        <v>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0</v>
      </c>
      <c r="E223" s="1673"/>
      <c r="F223" s="1673"/>
      <c r="G223" s="1673"/>
      <c r="H223" s="1673"/>
      <c r="I223" s="1673"/>
      <c r="J223" s="1673"/>
      <c r="K223" s="1672">
        <f t="shared" si="19"/>
        <v>0</v>
      </c>
      <c r="L223" s="1573">
        <v>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0</v>
      </c>
      <c r="E241" s="1673"/>
      <c r="F241" s="1673"/>
      <c r="G241" s="1673"/>
      <c r="H241" s="1673"/>
      <c r="I241" s="1673"/>
      <c r="J241" s="1673"/>
      <c r="K241" s="1678">
        <f>D241</f>
        <v>0</v>
      </c>
      <c r="L241" s="1573">
        <v>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0</v>
      </c>
      <c r="E246" s="1673"/>
      <c r="F246" s="1673"/>
      <c r="G246" s="1673"/>
      <c r="H246" s="1673"/>
      <c r="I246" s="1673"/>
      <c r="J246" s="1673"/>
      <c r="K246" s="1678">
        <f t="shared" ref="K246:K256" si="21">D246</f>
        <v>0</v>
      </c>
      <c r="L246" s="1573">
        <v>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1780</v>
      </c>
      <c r="B249" s="557" t="s">
        <v>280</v>
      </c>
      <c r="C249" s="1673"/>
      <c r="D249" s="1579">
        <v>0</v>
      </c>
      <c r="E249" s="1673"/>
      <c r="F249" s="1673"/>
      <c r="G249" s="1673"/>
      <c r="H249" s="1673"/>
      <c r="I249" s="1673"/>
      <c r="J249" s="1673"/>
      <c r="K249" s="1678">
        <f t="shared" si="21"/>
        <v>0</v>
      </c>
      <c r="L249" s="1573">
        <v>0</v>
      </c>
    </row>
    <row r="250" spans="1:12" x14ac:dyDescent="0.2">
      <c r="A250" s="1275" t="s">
        <v>1781</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0</v>
      </c>
      <c r="E259" s="1673"/>
      <c r="F259" s="1673"/>
      <c r="G259" s="1673"/>
      <c r="H259" s="1673"/>
      <c r="I259" s="1673"/>
      <c r="J259" s="1673"/>
      <c r="K259" s="1678">
        <f>D259</f>
        <v>0</v>
      </c>
      <c r="L259" s="1586">
        <v>0</v>
      </c>
    </row>
    <row r="260" spans="1:14" s="493" customFormat="1" x14ac:dyDescent="0.2">
      <c r="A260" s="1292" t="s">
        <v>1779</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0</v>
      </c>
      <c r="E264" s="1673"/>
      <c r="F264" s="1673"/>
      <c r="G264" s="1673"/>
      <c r="H264" s="1673"/>
      <c r="I264" s="1673"/>
      <c r="J264" s="1673"/>
      <c r="K264" s="1678">
        <f t="shared" ref="K264:K269" si="22">D264</f>
        <v>0</v>
      </c>
      <c r="L264" s="1573">
        <v>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0</v>
      </c>
      <c r="E266" s="1673"/>
      <c r="F266" s="1673"/>
      <c r="G266" s="1673"/>
      <c r="H266" s="1673"/>
      <c r="I266" s="1673"/>
      <c r="J266" s="1673"/>
      <c r="K266" s="1678">
        <f t="shared" si="22"/>
        <v>0</v>
      </c>
      <c r="L266" s="1573">
        <v>0</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0</v>
      </c>
      <c r="E268" s="1673"/>
      <c r="F268" s="1673"/>
      <c r="G268" s="1673"/>
      <c r="H268" s="1673"/>
      <c r="I268" s="1673"/>
      <c r="J268" s="1673"/>
      <c r="K268" s="1678">
        <f t="shared" si="22"/>
        <v>0</v>
      </c>
      <c r="L268" s="1573">
        <v>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1814</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61" t="s">
        <v>502</v>
      </c>
      <c r="B295" s="2362"/>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343" t="s">
        <v>989</v>
      </c>
      <c r="B296" s="2344"/>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53" t="s">
        <v>142</v>
      </c>
      <c r="B298" s="2347"/>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1819</v>
      </c>
      <c r="B306" s="562" t="s">
        <v>1814</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58" t="s">
        <v>275</v>
      </c>
      <c r="B312" s="2359"/>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354" t="s">
        <v>989</v>
      </c>
      <c r="B313" s="2355"/>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67" t="s">
        <v>148</v>
      </c>
      <c r="B315" s="236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69" t="s">
        <v>892</v>
      </c>
      <c r="B317" s="2368"/>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1780</v>
      </c>
      <c r="B320" s="568" t="s">
        <v>280</v>
      </c>
      <c r="C320" s="1574">
        <v>0</v>
      </c>
      <c r="D320" s="1574">
        <v>0</v>
      </c>
      <c r="E320" s="1574">
        <v>19839</v>
      </c>
      <c r="F320" s="1574">
        <v>0</v>
      </c>
      <c r="G320" s="1574">
        <v>0</v>
      </c>
      <c r="H320" s="1574">
        <v>0</v>
      </c>
      <c r="I320" s="1574">
        <v>0</v>
      </c>
      <c r="J320" s="1574">
        <v>0</v>
      </c>
      <c r="K320" s="1672">
        <f t="shared" ref="K320:K327" si="24">SUM(C320:J320)</f>
        <v>19839</v>
      </c>
      <c r="L320" s="1574">
        <v>19900</v>
      </c>
      <c r="M320" s="539"/>
      <c r="N320" s="539"/>
    </row>
    <row r="321" spans="1:14" s="548" customFormat="1" x14ac:dyDescent="0.2">
      <c r="A321" s="1289" t="s">
        <v>297</v>
      </c>
      <c r="B321" s="567" t="s">
        <v>281</v>
      </c>
      <c r="C321" s="1574">
        <v>0</v>
      </c>
      <c r="D321" s="1574">
        <v>0</v>
      </c>
      <c r="E321" s="1574">
        <v>1168</v>
      </c>
      <c r="F321" s="1574">
        <v>0</v>
      </c>
      <c r="G321" s="1574">
        <v>0</v>
      </c>
      <c r="H321" s="1574">
        <v>0</v>
      </c>
      <c r="I321" s="1574">
        <v>0</v>
      </c>
      <c r="J321" s="1574">
        <v>0</v>
      </c>
      <c r="K321" s="1672">
        <f t="shared" si="24"/>
        <v>1168</v>
      </c>
      <c r="L321" s="1574">
        <v>1100</v>
      </c>
      <c r="M321" s="539"/>
      <c r="N321" s="539"/>
    </row>
    <row r="322" spans="1:14" s="548" customFormat="1" x14ac:dyDescent="0.2">
      <c r="A322" s="1289" t="s">
        <v>236</v>
      </c>
      <c r="B322" s="567" t="s">
        <v>282</v>
      </c>
      <c r="C322" s="1574">
        <v>0</v>
      </c>
      <c r="D322" s="1574">
        <v>0</v>
      </c>
      <c r="E322" s="1574">
        <v>15015</v>
      </c>
      <c r="F322" s="1574">
        <v>0</v>
      </c>
      <c r="G322" s="1574">
        <v>0</v>
      </c>
      <c r="H322" s="1574">
        <v>0</v>
      </c>
      <c r="I322" s="1574">
        <v>0</v>
      </c>
      <c r="J322" s="1574">
        <v>0</v>
      </c>
      <c r="K322" s="1672">
        <f t="shared" si="24"/>
        <v>15015</v>
      </c>
      <c r="L322" s="1574">
        <v>15100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14051</v>
      </c>
      <c r="F325" s="1574">
        <v>0</v>
      </c>
      <c r="G325" s="1574">
        <v>0</v>
      </c>
      <c r="H325" s="1574">
        <v>0</v>
      </c>
      <c r="I325" s="1574">
        <v>0</v>
      </c>
      <c r="J325" s="1574">
        <v>0</v>
      </c>
      <c r="K325" s="1672">
        <f t="shared" si="24"/>
        <v>14051</v>
      </c>
      <c r="L325" s="1574">
        <v>14051</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6186</v>
      </c>
      <c r="F327" s="1574">
        <v>0</v>
      </c>
      <c r="G327" s="1574">
        <v>0</v>
      </c>
      <c r="H327" s="1574">
        <v>0</v>
      </c>
      <c r="I327" s="1574">
        <v>0</v>
      </c>
      <c r="J327" s="1574">
        <v>0</v>
      </c>
      <c r="K327" s="1672">
        <f t="shared" si="24"/>
        <v>6186</v>
      </c>
      <c r="L327" s="1574">
        <v>5000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56259</v>
      </c>
      <c r="F330" s="1674">
        <f t="shared" si="25"/>
        <v>0</v>
      </c>
      <c r="G330" s="1674">
        <f t="shared" si="25"/>
        <v>0</v>
      </c>
      <c r="H330" s="1674">
        <f t="shared" si="25"/>
        <v>0</v>
      </c>
      <c r="I330" s="1674">
        <f t="shared" si="25"/>
        <v>0</v>
      </c>
      <c r="J330" s="1674">
        <f t="shared" si="25"/>
        <v>0</v>
      </c>
      <c r="K330" s="1674">
        <f>SUM(K319:K329)</f>
        <v>56259</v>
      </c>
      <c r="L330" s="1674">
        <f>SUM(L319:L329)</f>
        <v>55151</v>
      </c>
      <c r="M330" s="539"/>
      <c r="N330" s="539"/>
    </row>
    <row r="331" spans="1:14" s="548" customFormat="1" ht="12.75" customHeight="1" thickTop="1" x14ac:dyDescent="0.2">
      <c r="A331" s="1467" t="s">
        <v>1820</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1814</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1816</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1821</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56259</v>
      </c>
      <c r="F342" s="1674">
        <f>SUM(F330)</f>
        <v>0</v>
      </c>
      <c r="G342" s="1674">
        <f>SUM(G330)</f>
        <v>0</v>
      </c>
      <c r="H342" s="1674">
        <f>SUM(H330,H334,H340)</f>
        <v>0</v>
      </c>
      <c r="I342" s="1674">
        <f>SUM(I330)</f>
        <v>0</v>
      </c>
      <c r="J342" s="1674">
        <f>SUM(J330)</f>
        <v>0</v>
      </c>
      <c r="K342" s="1674">
        <f>SUM(K330,K334,K340)</f>
        <v>56259</v>
      </c>
      <c r="L342" s="1681">
        <f>SUM(L330,L334,L340,L341)</f>
        <v>55151</v>
      </c>
    </row>
    <row r="343" spans="1:14" ht="12.75" customHeight="1" thickTop="1" x14ac:dyDescent="0.2">
      <c r="A343" s="2356" t="s">
        <v>989</v>
      </c>
      <c r="B343" s="2357"/>
      <c r="C343" s="1673"/>
      <c r="D343" s="1673"/>
      <c r="E343" s="1673"/>
      <c r="F343" s="1673"/>
      <c r="G343" s="1673"/>
      <c r="H343" s="1673"/>
      <c r="I343" s="1673"/>
      <c r="J343" s="1673"/>
      <c r="K343" s="1689">
        <f>'Revenues 9-14'!J268-'Expenditures 15-22'!K342</f>
        <v>11480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46" t="s">
        <v>960</v>
      </c>
      <c r="B345" s="2347"/>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1822</v>
      </c>
      <c r="B354" s="557" t="s">
        <v>1814</v>
      </c>
      <c r="C354" s="1673"/>
      <c r="D354" s="1673"/>
      <c r="E354" s="1673"/>
      <c r="F354" s="1673"/>
      <c r="G354" s="1673"/>
      <c r="H354" s="1579">
        <v>0</v>
      </c>
      <c r="I354" s="1716"/>
      <c r="J354" s="1673"/>
      <c r="K354" s="1713">
        <f>H354</f>
        <v>0</v>
      </c>
      <c r="L354" s="1577">
        <v>0</v>
      </c>
    </row>
    <row r="355" spans="1:14" ht="12.75" customHeight="1" x14ac:dyDescent="0.2">
      <c r="A355" s="1283" t="s">
        <v>1823</v>
      </c>
      <c r="B355" s="562" t="s">
        <v>1816</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343" t="s">
        <v>989</v>
      </c>
      <c r="B368" s="2344"/>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d21dc803-237d-4c68-8692-8d731fd29118"/>
    <ds:schemaRef ds:uri="http://purl.org/dc/dcmitype/"/>
    <ds:schemaRef ds:uri="http://www.w3.org/XML/1998/namespac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4d435f69-8686-490b-bd6d-b153bf22ab50"/>
    <ds:schemaRef ds:uri="6ce3111e-7420-4802-b50a-75d4e9a0b980"/>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20</vt:lpstr>
      <vt:lpstr>SEFA NOTES</vt:lpstr>
      <vt:lpstr>SF&amp;QC Sec-1</vt:lpstr>
      <vt:lpstr>SF&amp;QC Sec-2</vt:lpstr>
      <vt:lpstr>SF&amp;QC Sec-3</vt:lpstr>
      <vt:lpstr>SSPAF</vt:lpstr>
      <vt:lpstr>' SEFA'!Print_Area</vt:lpstr>
      <vt:lpstr>'SEFA 20'!Print_Area</vt:lpstr>
      <vt:lpstr>'SEFA NOTES'!Print_Area</vt:lpstr>
      <vt:lpstr>'SEFA Reconcile'!Print_Area</vt:lpstr>
      <vt:lpstr>'SF&amp;QC Sec-1'!Print_Area</vt:lpstr>
      <vt:lpstr>'SF&amp;QC Sec-3'!Print_Area</vt:lpstr>
      <vt:lpstr>'Single Audit Checklist'!Print_Area</vt:lpstr>
      <vt:lpstr>'Single Audit Cover'!Print_Area</vt:lpstr>
      <vt:lpstr>'SEFA 20'!Print_Area_MI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2020-11-03T22:33:25Z</cp:lastPrinted>
  <dcterms:created xsi:type="dcterms:W3CDTF">2003-10-29T19:06:34Z</dcterms:created>
  <dcterms:modified xsi:type="dcterms:W3CDTF">2021-01-15T13:20:24Z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