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18B13783-7708-4E34-B424-00EFD1ED14CB}" xr6:coauthVersionLast="36" xr6:coauthVersionMax="36" xr10:uidLastSave="{00000000-0000-0000-0000-000000000000}"/>
  <bookViews>
    <workbookView xWindow="-120" yWindow="-120"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I13" i="11"/>
  <c r="C5" i="3"/>
  <c r="E61" i="29"/>
  <c r="D61" i="29"/>
  <c r="D55" i="29"/>
  <c r="C55" i="29"/>
  <c r="E52" i="29"/>
  <c r="E8" i="29"/>
  <c r="D8" i="29"/>
  <c r="C8" i="29"/>
  <c r="C98" i="5"/>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H19" i="184" s="1"/>
  <c r="L20" i="184" s="1"/>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F41" i="108" s="1"/>
  <c r="G43" i="108" s="1"/>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14" i="29" l="1"/>
  <c r="L16" i="11"/>
  <c r="B2061" i="106" s="1"/>
  <c r="D2061" i="106" s="1"/>
  <c r="K342" i="29"/>
  <c r="F13" i="34" s="1"/>
  <c r="G170" i="5"/>
  <c r="B5778" i="106" s="1"/>
  <c r="D5778" i="106" s="1"/>
  <c r="N57" i="184"/>
  <c r="N68" i="184" s="1"/>
  <c r="E68" i="184"/>
  <c r="E19" i="184"/>
  <c r="E367" i="29"/>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B6227" i="106" l="1"/>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<sst xmlns="http://schemas.openxmlformats.org/spreadsheetml/2006/main" count="5138" uniqueCount="2075">
  <si>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</si>
  <si>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</si>
  <si>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</si>
  <si>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</si>
  <si>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</si>
  <si>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</si>
  <si>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</si>
  <si>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</si>
  <si>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</si>
  <si>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</si>
  <si>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</si>
  <si>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</si>
  <si>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</si>
  <si>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</si>
  <si>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</si>
  <si>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</si>
  <si>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</si>
  <si>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</si>
  <si>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</si>
  <si>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</si>
  <si>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</si>
  <si>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</si>
  <si>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</si>
  <si>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</si>
  <si>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</si>
  <si>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</si>
  <si>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</si>
  <si>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</si>
  <si>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</si>
  <si>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</si>
  <si>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</si>
  <si>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</si>
  <si>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</si>
  <si>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</si>
  <si>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</si>
  <si>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</si>
  <si>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</si>
  <si>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</si>
  <si>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</si>
  <si>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</si>
  <si>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</si>
  <si>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</si>
  <si>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</si>
  <si>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</si>
  <si>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</si>
  <si>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</si>
  <si>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</si>
  <si>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</si>
  <si>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</si>
  <si>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</si>
  <si>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</si>
  <si>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</si>
  <si>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</si>
  <si>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</si>
  <si>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</si>
  <si>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</si>
  <si>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</si>
  <si>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</si>
  <si>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</si>
  <si>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</si>
  <si>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</si>
  <si>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</si>
  <si>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</si>
  <si>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</si>
  <si>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</si>
  <si>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</si>
  <si>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</si>
  <si>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</si>
  <si>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</si>
  <si>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</si>
  <si>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</si>
  <si>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</si>
  <si>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</si>
  <si>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</si>
  <si>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</si>
  <si>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</si>
  <si>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</si>
  <si>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</si>
  <si>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</si>
  <si>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</si>
  <si>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</si>
  <si>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</si>
  <si>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</si>
  <si>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</si>
  <si>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</si>
  <si>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</si>
  <si>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</si>
  <si>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</si>
  <si>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</si>
  <si>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</si>
  <si>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</si>
  <si>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</si>
  <si>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</si>
  <si>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</si>
  <si>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</si>
  <si>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</si>
  <si>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</si>
  <si>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</si>
  <si>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</si>
  <si>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</si>
  <si>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</si>
  <si>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</si>
  <si>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</si>
  <si>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</si>
  <si>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</si>
  <si>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</si>
  <si>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</si>
  <si>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</si>
  <si>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</si>
  <si>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</si>
  <si>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</si>
  <si>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</si>
  <si>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</si>
  <si>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</si>
  <si>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</si>
  <si>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</si>
  <si>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</si>
  <si>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</si>
  <si>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</si>
  <si>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</si>
  <si>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</si>
  <si>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</si>
  <si>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</si>
  <si>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</si>
  <si>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</si>
  <si>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</si>
  <si>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</si>
  <si>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</si>
  <si>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</si>
  <si>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</si>
  <si>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</si>
  <si>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</si>
  <si>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</si>
  <si>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</si>
  <si>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</si>
  <si>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</si>
  <si>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</si>
  <si>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</si>
  <si>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</si>
  <si>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</si>
  <si>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</si>
  <si>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</si>
  <si>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</si>
  <si>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</si>
  <si>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</si>
  <si>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</si>
  <si>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</si>
  <si>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</si>
  <si>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</si>
  <si>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</si>
  <si>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</si>
  <si>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</si>
  <si>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</si>
  <si>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</si>
  <si>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</si>
  <si>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</si>
  <si>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</si>
  <si>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</si>
  <si>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</si>
  <si>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</si>
  <si>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</si>
  <si>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</si>
  <si>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</si>
  <si>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</si>
  <si>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</si>
  <si>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</si>
  <si>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</si>
  <si>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</si>
  <si>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</si>
  <si>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</si>
  <si>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</si>
  <si>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</si>
  <si>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</si>
  <si>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</si>
  <si>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</si>
  <si>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</si>
  <si>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</si>
  <si>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</si>
  <si>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</si>
  <si>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</si>
  <si>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</si>
  <si>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</si>
  <si>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</si>
  <si>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</si>
  <si>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</si>
  <si>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</si>
  <si>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</si>
  <si>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</si>
  <si>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</si>
  <si>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</si>
  <si>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</si>
  <si>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</si>
  <si>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</si>
  <si>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</si>
  <si>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</si>
  <si>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</si>
  <si>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</si>
  <si>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</si>
  <si>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</si>
  <si>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</si>
  <si>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</si>
  <si>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</si>
  <si>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</si>
  <si>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</si>
  <si>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</si>
  <si>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</si>
  <si>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</si>
  <si>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</si>
  <si>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</si>
  <si>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</si>
  <si>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</si>
  <si>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</si>
  <si>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</si>
  <si>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</si>
  <si>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</si>
  <si>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</si>
  <si>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</si>
  <si>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</si>
  <si>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</si>
  <si>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</si>
  <si>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</si>
  <si>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</si>
  <si>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</si>
  <si>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</si>
  <si>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</si>
  <si>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</si>
  <si>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</si>
  <si>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</si>
  <si>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</si>
  <si>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</si>
  <si>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</si>
  <si>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</si>
  <si>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</si>
  <si>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</si>
  <si>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</si>
  <si>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</si>
  <si>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</si>
  <si>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</si>
  <si>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</si>
  <si>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</si>
  <si>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</si>
  <si>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</si>
  <si>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</si>
  <si>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</si>
  <si>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</si>
  <si>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</si>
  <si>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</si>
  <si>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</si>
  <si>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</si>
  <si>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</si>
  <si>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</si>
  <si>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</si>
  <si>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</si>
  <si>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</si>
  <si>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</si>
  <si>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</si>
  <si>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</si>
  <si>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</si>
  <si>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</si>
  <si>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</si>
  <si>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</si>
  <si>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</si>
  <si>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</si>
  <si>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</si>
  <si>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</si>
  <si>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</si>
  <si>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</si>
  <si>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</si>
  <si>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</si>
  <si>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</si>
  <si>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</si>
  <si>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</si>
  <si>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</si>
  <si>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</si>
  <si>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</si>
  <si>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</si>
  <si>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</si>
  <si>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</si>
  <si>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</si>
  <si>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</si>
  <si>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</si>
  <si>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</si>
  <si>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</si>
  <si>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</si>
  <si>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</si>
  <si>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</si>
  <si>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</si>
  <si>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</si>
  <si>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</si>
  <si>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</si>
  <si>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</si>
  <si>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</si>
  <si>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</si>
  <si>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</si>
  <si>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</si>
  <si>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</si>
  <si>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</si>
  <si>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</si>
  <si>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</si>
  <si>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</si>
  <si>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</si>
  <si>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</si>
  <si>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</si>
  <si>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</si>
  <si>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</si>
  <si>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</si>
  <si>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</si>
  <si>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</si>
  <si>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</si>
  <si>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</si>
  <si>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</si>
  <si>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</si>
  <si>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</si>
  <si>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</si>
  <si>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</si>
  <si>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</si>
  <si>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</si>
  <si>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</si>
  <si>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</si>
  <si>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</si>
  <si>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</si>
  <si>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</si>
  <si>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</si>
  <si>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</si>
  <si>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</si>
  <si>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</si>
  <si>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</si>
  <si>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</si>
  <si>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</si>
  <si>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</si>
  <si>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</si>
  <si>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</si>
  <si>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</si>
  <si>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</si>
  <si>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</si>
  <si>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</si>
  <si>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</si>
  <si>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</si>
  <si>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</si>
  <si>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</si>
  <si>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</si>
  <si>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</si>
  <si>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</si>
  <si>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</si>
  <si>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</si>
  <si>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</si>
  <si>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</si>
  <si>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</si>
  <si>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</si>
  <si>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</si>
  <si>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</si>
  <si>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</si>
  <si>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</si>
  <si>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</si>
  <si>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</si>
  <si>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</si>
  <si>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</si>
  <si>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</si>
  <si>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</si>
  <si>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</si>
  <si>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</si>
  <si>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</si>
  <si>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</si>
  <si>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</si>
  <si>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</si>
  <si>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</si>
  <si>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</si>
  <si>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</si>
  <si>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</si>
  <si>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</si>
  <si>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</si>
  <si>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</si>
  <si>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</si>
  <si>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</si>
  <si>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</si>
  <si>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</si>
  <si>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</si>
  <si>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</si>
  <si>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</si>
  <si>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</si>
  <si>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</si>
  <si>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</si>
  <si>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</si>
  <si>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</si>
  <si>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</si>
  <si>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</si>
  <si>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</si>
  <si>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</si>
  <si>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</si>
  <si>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</si>
  <si>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</si>
  <si>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</si>
  <si>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</si>
  <si>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</si>
  <si>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</si>
  <si>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</si>
  <si>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</si>
  <si>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</si>
  <si>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</si>
  <si>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</si>
  <si>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</si>
  <si>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</si>
  <si>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</si>
  <si>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</si>
  <si>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</si>
  <si>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</si>
  <si>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</si>
  <si>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</si>
  <si>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</si>
  <si>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</si>
  <si>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</si>
  <si>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</si>
  <si>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</si>
  <si>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</si>
  <si>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</si>
  <si>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</si>
  <si>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</si>
  <si>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</si>
  <si>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</si>
  <si>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</si>
  <si>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</si>
  <si>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</si>
  <si>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</si>
  <si>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</si>
  <si>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</si>
  <si>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</si>
  <si>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</si>
  <si>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</si>
  <si>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</si>
  <si>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</si>
  <si>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</si>
  <si>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</si>
  <si>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</si>
  <si>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</si>
  <si>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</si>
  <si>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</si>
  <si>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</si>
  <si>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</si>
  <si>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</si>
  <si>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</si>
  <si>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</si>
  <si>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</si>
  <si>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</si>
  <si>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</si>
  <si>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</si>
  <si>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</si>
  <si>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</si>
  <si>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</si>
  <si>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</si>
  <si>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</si>
  <si>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</si>
  <si>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</si>
  <si>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</si>
  <si>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</si>
  <si>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</si>
  <si>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</si>
  <si>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</si>
  <si>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</si>
  <si>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</si>
  <si>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</si>
  <si>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</si>
  <si>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</si>
  <si>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</si>
  <si>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</si>
  <si>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</si>
  <si>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</si>
  <si>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</si>
  <si>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</si>
  <si>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</si>
  <si>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</si>
  <si>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</si>
  <si>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</si>
  <si>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</si>
  <si>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</si>
  <si>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</si>
  <si>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</si>
  <si>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</si>
  <si>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</si>
  <si>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</si>
  <si>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</si>
  <si>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</si>
  <si>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</si>
  <si>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</si>
  <si>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</si>
  <si>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</si>
  <si>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</si>
  <si>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</si>
  <si>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</si>
  <si>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</si>
  <si>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</si>
  <si>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</si>
  <si>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</si>
  <si>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</si>
  <si>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</si>
  <si>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</si>
  <si>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</si>
  <si>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</si>
  <si>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</si>
  <si>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</si>
  <si>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</si>
  <si>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</si>
  <si>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</si>
  <si>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</si>
  <si>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</si>
  <si>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</si>
  <si>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</si>
  <si>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</si>
  <si>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</si>
  <si>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</si>
  <si>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</si>
  <si>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</si>
  <si>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</si>
  <si>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</si>
  <si>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</si>
  <si>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</si>
  <si>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</si>
  <si>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</si>
  <si>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</si>
  <si>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</si>
  <si>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</si>
  <si>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</si>
  <si>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</si>
  <si>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</si>
  <si>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</si>
  <si>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</si>
  <si>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</si>
  <si>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</si>
  <si>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</si>
  <si>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</si>
  <si>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</si>
  <si>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</si>
  <si>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</si>
  <si>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</si>
  <si>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</si>
  <si>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</si>
  <si>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</si>
  <si>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</si>
  <si>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</si>
  <si>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</si>
  <si>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</si>
  <si>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</si>
  <si>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</si>
  <si>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</si>
  <si>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</si>
  <si>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</si>
  <si>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</si>
  <si>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</si>
  <si>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</si>
  <si>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</si>
  <si>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</si>
  <si>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</si>
  <si>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</si>
  <si>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</si>
  <si>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</si>
  <si>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</si>
  <si>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</si>
  <si>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</si>
  <si>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</si>
  <si>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</si>
  <si>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</si>
  <si>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</si>
  <si>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</si>
  <si>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</si>
  <si>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</si>
  <si>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</si>
  <si>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</si>
  <si>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</si>
  <si>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</si>
  <si>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</si>
  <si>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</si>
  <si>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</si>
  <si>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</si>
  <si>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</si>
  <si>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</si>
  <si>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</si>
  <si>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</si>
  <si>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</si>
  <si>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</si>
  <si>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</si>
  <si>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</si>
  <si>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</si>
  <si>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</si>
  <si>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</si>
  <si>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</si>
  <si>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</si>
  <si>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</si>
  <si>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</si>
  <si>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</si>
  <si>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</si>
  <si>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</si>
  <si>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</si>
  <si>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</si>
  <si>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</si>
  <si>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</si>
  <si>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</si>
  <si>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</si>
  <si>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</si>
  <si>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</si>
  <si>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</si>
  <si>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</si>
  <si>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</si>
  <si>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</si>
  <si>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</si>
  <si>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</si>
  <si>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</si>
  <si>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</si>
  <si>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</si>
  <si>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</si>
  <si>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</si>
  <si>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</si>
  <si>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</si>
  <si>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</si>
  <si>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</si>
  <si>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</si>
  <si>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</si>
  <si>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</si>
  <si>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</si>
  <si>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</si>
  <si>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</si>
  <si>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</si>
  <si>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</si>
  <si>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</si>
  <si>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</si>
  <si>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</si>
  <si>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</si>
  <si>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</si>
  <si>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</si>
  <si>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</si>
  <si>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</si>
  <si>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</si>
  <si>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</si>
  <si>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</si>
  <si>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</si>
  <si>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</si>
  <si>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</si>
  <si>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</si>
  <si>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</si>
  <si>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</si>
  <si>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</si>
  <si>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</si>
  <si>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</si>
  <si>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</si>
  <si>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</si>
  <si>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</si>
  <si>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</si>
  <si>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</si>
  <si>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</si>
  <si>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</si>
  <si>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</si>
  <si>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</si>
  <si>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</si>
  <si>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</si>
  <si>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</si>
  <si>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</si>
  <si>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</si>
  <si>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</si>
  <si>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</si>
  <si>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</si>
  <si>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</si>
  <si>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</si>
  <si>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</si>
  <si>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</si>
  <si>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</si>
  <si>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</si>
  <si>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</si>
  <si>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</si>
  <si>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</si>
  <si>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</si>
  <si>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</si>
  <si>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</si>
  <si>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</si>
  <si>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</si>
  <si>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</si>
  <si>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</si>
  <si>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</si>
  <si>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</si>
  <si>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</si>
  <si>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</si>
  <si>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</si>
  <si>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</si>
  <si>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</si>
  <si>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</si>
  <si>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</si>
  <si>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</si>
  <si>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</si>
  <si>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</si>
  <si>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</si>
  <si>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</si>
  <si>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</si>
  <si>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</si>
  <si>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</si>
  <si>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</si>
  <si>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</si>
  <si>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</si>
  <si>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</si>
  <si>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</si>
  <si>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</si>
  <si>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</si>
  <si>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</si>
  <si>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</si>
  <si>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</si>
  <si>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</si>
  <si>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</si>
  <si>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</si>
  <si>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</si>
  <si>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</si>
  <si>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</si>
  <si>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</si>
  <si>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</si>
  <si>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</si>
  <si>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</si>
  <si>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</si>
  <si>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</si>
  <si>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</si>
  <si>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</si>
  <si>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</si>
  <si>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</si>
  <si>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</si>
  <si>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</si>
  <si>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</si>
  <si>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</si>
  <si>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</si>
  <si>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</si>
  <si>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</si>
  <si>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</si>
  <si>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</si>
  <si>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</si>
  <si>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</si>
  <si>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</si>
  <si>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</si>
  <si>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</si>
  <si>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</si>
  <si>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</si>
  <si>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</si>
  <si>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</si>
  <si>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</si>
  <si>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</si>
  <si>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</si>
  <si>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</si>
  <si>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</si>
  <si>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</si>
  <si>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</si>
  <si>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</si>
  <si>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</si>
  <si>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</si>
  <si>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</si>
  <si>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</si>
  <si>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</si>
  <si>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</si>
  <si>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</si>
  <si>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</si>
  <si>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</si>
  <si>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</si>
  <si>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</si>
  <si>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</si>
  <si>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</si>
  <si>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</si>
  <si>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</si>
  <si>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</si>
  <si>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</si>
  <si>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</si>
  <si>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</si>
  <si>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</si>
  <si>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</si>
  <si>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</si>
  <si>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</si>
  <si>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</si>
  <si>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</si>
  <si>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</si>
  <si>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</si>
  <si>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</si>
  <si>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</si>
  <si>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</si>
  <si>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</si>
  <si>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</si>
  <si>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</si>
  <si>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</si>
  <si>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</si>
  <si>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</si>
  <si>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</si>
  <si>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</si>
  <si>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</si>
  <si>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</si>
  <si>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</si>
  <si>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</si>
  <si>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</si>
  <si>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</si>
  <si>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</si>
  <si>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</si>
  <si>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</si>
  <si>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</si>
  <si>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</si>
  <si>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</si>
  <si>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</si>
  <si>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</si>
  <si>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</si>
  <si>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</si>
  <si>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</si>
  <si>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</si>
  <si>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</si>
  <si>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</si>
  <si>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</si>
  <si>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</si>
  <si>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</si>
  <si>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</si>
  <si>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</si>
  <si>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</si>
  <si>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</si>
  <si>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</si>
  <si>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</si>
  <si>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</si>
  <si>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</si>
  <si>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</si>
  <si>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</si>
  <si>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</si>
  <si>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</si>
  <si>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</si>
  <si>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</si>
  <si>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</si>
  <si>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</si>
  <si>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</si>
  <si>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</si>
  <si>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</si>
  <si>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</si>
  <si>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</si>
  <si>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</si>
  <si>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</si>
  <si>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</si>
  <si>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</si>
  <si>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</si>
  <si>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</si>
  <si>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</si>
  <si>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</si>
  <si>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</si>
  <si>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</si>
  <si>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</si>
  <si>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</si>
  <si>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</si>
  <si>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</si>
  <si>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</si>
  <si>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</si>
  <si>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</si>
  <si>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</si>
  <si>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</si>
  <si>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</si>
  <si>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</si>
  <si>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</si>
  <si>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</si>
  <si>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</si>
  <si>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</si>
  <si>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</si>
  <si>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</si>
  <si>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</si>
  <si>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</si>
  <si>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</si>
  <si>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</si>
  <si>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</si>
  <si>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</si>
  <si>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</si>
  <si>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</si>
  <si>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</si>
  <si>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</si>
  <si>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</si>
  <si>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</si>
  <si>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</si>
  <si>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</si>
  <si>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</si>
  <si>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</si>
  <si>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</si>
  <si>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</si>
  <si>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</si>
  <si>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</si>
  <si>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</si>
  <si>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</si>
  <si>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</si>
  <si>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</si>
  <si>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</si>
  <si>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</si>
  <si>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</si>
  <si>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</si>
  <si>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</si>
  <si>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</si>
  <si>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</si>
  <si>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</si>
  <si>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</si>
  <si>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</si>
  <si>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</si>
  <si>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</si>
  <si>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</si>
  <si>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</si>
  <si>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</si>
  <si>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</si>
  <si>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</si>
  <si>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</si>
  <si>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</si>
  <si>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</si>
  <si>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</si>
  <si>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</si>
  <si>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</si>
  <si>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</si>
  <si>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</si>
  <si>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</si>
  <si>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</si>
  <si>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</si>
  <si>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</si>
  <si>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</si>
  <si>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</si>
  <si>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</si>
  <si>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</si>
  <si>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</si>
  <si>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</si>
  <si>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</si>
  <si>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</si>
  <si>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</si>
  <si>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</si>
  <si>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</si>
  <si>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</si>
  <si>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</si>
  <si>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</si>
  <si>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</si>
  <si>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</si>
  <si>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</si>
  <si>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</si>
  <si>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</si>
  <si>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</si>
  <si>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</si>
  <si>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</si>
  <si>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</si>
  <si>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</si>
  <si>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</si>
  <si>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</si>
  <si>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</si>
  <si>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</si>
  <si>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</si>
  <si>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</si>
  <si>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</si>
  <si>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</si>
  <si>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</si>
  <si>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</si>
  <si>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</si>
  <si>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</si>
  <si>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</si>
  <si>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</si>
  <si>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</si>
  <si>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</si>
  <si>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</si>
  <si>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</si>
  <si>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</si>
  <si>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</si>
  <si>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</si>
  <si>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</si>
  <si>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</si>
  <si>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</si>
  <si>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</si>
  <si>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</si>
  <si>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</si>
  <si>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</si>
  <si>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</si>
  <si>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</si>
  <si>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</si>
  <si>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</si>
  <si>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</si>
  <si>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</si>
  <si>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</si>
  <si>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</si>
  <si>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</si>
  <si>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</si>
  <si>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</si>
  <si>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</si>
  <si>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</si>
  <si>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</si>
  <si>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</si>
  <si>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</si>
  <si>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</si>
  <si>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</si>
  <si>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</si>
  <si>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</si>
  <si>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</si>
  <si>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</si>
  <si>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</si>
  <si>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</si>
  <si>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</si>
  <si>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</si>
  <si>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</si>
  <si>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</si>
  <si>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</si>
  <si>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</si>
  <si>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</si>
  <si>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</si>
  <si>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</si>
  <si>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</si>
  <si>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</si>
  <si>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</si>
  <si>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</si>
  <si>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</si>
  <si>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</si>
  <si>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</si>
  <si>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</si>
  <si>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</si>
  <si>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</si>
  <si>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</si>
  <si>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</si>
  <si>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</si>
  <si>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</si>
  <si>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</si>
  <si>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</si>
  <si>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</si>
  <si>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</si>
  <si>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</si>
  <si>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</si>
  <si>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</si>
  <si>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</si>
  <si>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</si>
  <si>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</si>
  <si>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</si>
  <si>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</si>
  <si>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</si>
  <si>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</si>
  <si>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</si>
  <si>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</si>
  <si>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</si>
  <si>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</si>
  <si>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</si>
  <si>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</si>
  <si>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</si>
  <si>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</si>
  <si>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</si>
  <si>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</si>
  <si>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</si>
  <si>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</si>
  <si>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</si>
  <si>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</si>
  <si>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</si>
  <si>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</si>
  <si>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</si>
  <si>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</si>
  <si>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</si>
  <si>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</si>
  <si>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</si>
  <si>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</si>
  <si>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</si>
  <si>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</si>
  <si>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</si>
  <si>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</si>
  <si>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</si>
  <si>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</si>
  <si>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</si>
  <si>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</si>
  <si>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</si>
  <si>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</si>
  <si>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</si>
  <si>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</si>
  <si>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</si>
  <si>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</si>
  <si>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</si>
  <si>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</si>
  <si>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</si>
  <si>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</si>
  <si>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</si>
  <si>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</si>
  <si>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</si>
  <si>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</si>
  <si>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</si>
  <si>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</si>
  <si>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</si>
  <si>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</si>
  <si>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</si>
  <si>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</si>
  <si>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</si>
  <si>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</si>
  <si>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</si>
  <si>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</si>
  <si>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</si>
  <si>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</si>
  <si>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</si>
  <si>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</si>
  <si>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</si>
  <si>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</si>
  <si>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</si>
  <si>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</si>
  <si>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</si>
  <si>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</si>
  <si>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</si>
  <si>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</si>
  <si>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</si>
  <si>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</si>
  <si>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</si>
  <si>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</si>
  <si>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</si>
  <si>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</si>
  <si>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</si>
  <si>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</si>
  <si>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</si>
  <si>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</si>
  <si>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</si>
  <si>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</si>
  <si>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</si>
  <si>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</si>
  <si>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</si>
  <si>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</si>
  <si>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</si>
  <si>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</si>
  <si>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</si>
  <si>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</si>
  <si>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</si>
  <si>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</si>
  <si>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</si>
  <si>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</si>
  <si>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</si>
  <si>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</si>
  <si>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</si>
  <si>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</si>
  <si>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</si>
  <si>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</si>
  <si>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</si>
  <si>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</si>
  <si>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</si>
  <si>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</si>
  <si>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</si>
  <si>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</si>
  <si>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</si>
  <si>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</si>
  <si>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</si>
  <si>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</si>
  <si>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</si>
  <si>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</si>
  <si>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</si>
  <si>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</si>
  <si>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</si>
  <si>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</si>
  <si>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</si>
  <si>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</si>
  <si>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</si>
  <si>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</si>
  <si>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</si>
  <si>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</si>
  <si>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</si>
  <si>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</si>
  <si>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</si>
  <si>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</si>
  <si>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</si>
  <si>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</si>
  <si>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</si>
  <si>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</si>
  <si>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</si>
  <si>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</si>
  <si>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</si>
  <si>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</si>
  <si>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</si>
  <si>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</si>
  <si>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</si>
  <si>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</si>
  <si>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</si>
  <si>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</si>
  <si>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</si>
  <si>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</si>
  <si>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</si>
  <si>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</si>
  <si>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</si>
  <si>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</si>
  <si>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</si>
  <si>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</si>
  <si>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</si>
  <si>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</si>
  <si>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</si>
  <si>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</si>
  <si>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</si>
  <si>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</si>
  <si>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</si>
  <si>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</si>
  <si>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</si>
  <si>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</si>
  <si>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</si>
  <si>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</si>
  <si>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</si>
  <si>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</si>
  <si>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</si>
  <si>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</si>
  <si>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</si>
  <si>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</si>
  <si>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</si>
  <si>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</si>
  <si>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</si>
  <si>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</si>
  <si>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</si>
  <si>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</si>
  <si>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</si>
  <si>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</si>
  <si>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</si>
  <si>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</si>
  <si>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</si>
  <si>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</si>
  <si>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</si>
  <si>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</si>
  <si>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</si>
  <si>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</si>
  <si>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</si>
  <si>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</si>
  <si>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</si>
  <si>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</si>
  <si>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</si>
  <si>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</si>
  <si>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</si>
  <si>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</si>
  <si>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</si>
  <si>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</si>
  <si>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</si>
  <si>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</si>
  <si>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</si>
  <si>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</si>
  <si>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</si>
  <si>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</si>
  <si>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</si>
  <si>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</si>
  <si>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</si>
  <si>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</si>
  <si>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</si>
  <si>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</si>
  <si>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</si>
  <si>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</si>
  <si>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</si>
  <si>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</si>
  <si>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</si>
  <si>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</si>
  <si>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</si>
  <si>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</si>
  <si>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</si>
  <si>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</si>
  <si>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</si>
  <si>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</si>
  <si>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</si>
  <si>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</si>
  <si>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</si>
  <si>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</si>
  <si>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</si>
  <si>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</si>
  <si>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</si>
  <si>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</si>
  <si>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</si>
  <si>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</si>
  <si>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</si>
  <si>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</si>
  <si>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</si>
  <si>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</si>
  <si>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</si>
  <si>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</si>
  <si>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</si>
  <si>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</si>
  <si>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</si>
  <si>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</si>
  <si>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</si>
  <si>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</si>
  <si>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</si>
  <si>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</si>
  <si>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</si>
  <si>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</si>
  <si>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</si>
  <si>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</si>
  <si>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</si>
  <si>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</si>
  <si>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</si>
  <si>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</si>
  <si>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</si>
  <si>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</si>
  <si>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</si>
  <si>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</si>
  <si>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</si>
  <si>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</si>
  <si>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</si>
  <si>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</si>
  <si>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</si>
  <si>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</si>
  <si>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</si>
  <si>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</si>
  <si>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</si>
  <si>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</si>
  <si>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</si>
  <si>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</si>
  <si>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</si>
  <si>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</si>
  <si>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</si>
  <si>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</si>
  <si>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</si>
  <si>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</si>
  <si>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</si>
  <si>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</si>
  <si>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</si>
  <si>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</si>
  <si>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</si>
  <si>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</si>
  <si>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</si>
  <si>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</si>
  <si>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</si>
  <si>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</si>
  <si>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</si>
  <si>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</si>
  <si>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</si>
  <si>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</si>
  <si>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</si>
  <si>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</si>
  <si>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</si>
  <si>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</si>
  <si>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</si>
  <si>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</si>
  <si>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</si>
  <si>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</si>
  <si>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</si>
  <si>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</si>
  <si>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</si>
  <si>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</si>
  <si>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</si>
  <si>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</si>
  <si>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</si>
  <si>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</si>
  <si>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</si>
  <si>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</si>
  <si>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</si>
  <si>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</si>
  <si>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</si>
  <si>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</si>
  <si>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</si>
  <si>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</si>
  <si>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</si>
  <si>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</si>
  <si>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</si>
  <si>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</si>
  <si>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</si>
  <si>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</si>
  <si>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</si>
  <si>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</si>
  <si>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</si>
  <si>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</si>
  <si>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</si>
  <si>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</si>
  <si>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</si>
  <si>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</si>
  <si>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</si>
  <si>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</si>
  <si>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</si>
  <si>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</si>
  <si>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</si>
  <si>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</si>
  <si>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</si>
  <si>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</si>
  <si>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</si>
  <si>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</si>
  <si>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</si>
  <si>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</si>
  <si>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</si>
  <si>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</si>
  <si>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</si>
  <si>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</si>
  <si>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</si>
  <si>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</si>
  <si>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</si>
  <si>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</si>
  <si>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</si>
  <si>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</si>
  <si>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</si>
  <si>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</si>
  <si>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</si>
  <si>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</si>
  <si>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</si>
  <si>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</si>
  <si>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</si>
  <si>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</si>
  <si>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</si>
  <si>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</si>
  <si>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</si>
  <si>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</si>
  <si>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</si>
  <si>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</si>
  <si>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</si>
  <si>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</si>
  <si>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</si>
  <si>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</si>
  <si>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</si>
  <si>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</si>
  <si>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</si>
  <si>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</si>
  <si>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</si>
  <si>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</si>
  <si>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</si>
  <si>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</si>
  <si>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</si>
  <si>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</si>
  <si>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</si>
  <si>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</si>
  <si>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</si>
  <si>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</si>
  <si>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</si>
  <si>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</si>
  <si>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</si>
  <si>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</si>
  <si>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</si>
  <si>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</si>
  <si>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</si>
  <si>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</si>
  <si>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</si>
  <si>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</si>
  <si>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</si>
  <si>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</si>
  <si>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</si>
  <si>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</si>
  <si>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</si>
  <si>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</si>
  <si>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</si>
  <si>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</si>
  <si>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</si>
  <si>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</si>
  <si>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</si>
  <si>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</si>
  <si>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</si>
  <si>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</si>
  <si>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</si>
  <si>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</si>
  <si>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</si>
  <si>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</si>
  <si>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</si>
  <si>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</si>
  <si>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</si>
  <si>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</si>
  <si>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</si>
  <si>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</si>
  <si>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</si>
  <si>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</si>
  <si>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</si>
  <si>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</si>
  <si>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</si>
  <si>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</si>
  <si>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</si>
  <si>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</si>
  <si>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</si>
  <si>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</si>
  <si>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</si>
  <si>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</si>
  <si>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</si>
  <si>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</si>
  <si>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</si>
  <si>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</si>
  <si>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</si>
  <si>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</si>
  <si>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</si>
  <si>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</si>
  <si>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</si>
  <si>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</si>
  <si>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</si>
  <si>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</si>
  <si>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</si>
  <si>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</si>
  <si>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</si>
  <si>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</si>
  <si>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</si>
  <si>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</si>
  <si>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</si>
  <si>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</si>
  <si>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</si>
  <si>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</si>
  <si>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</si>
  <si>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</si>
  <si>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</si>
  <si>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</si>
  <si>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</si>
  <si>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</si>
  <si>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</si>
  <si>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</si>
  <si>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</si>
  <si>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</si>
  <si>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</si>
  <si>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</si>
  <si>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</si>
  <si>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</si>
  <si>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</si>
  <si>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</si>
  <si>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</si>
  <si>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</si>
  <si>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</si>
  <si>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</si>
  <si>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</si>
  <si>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</si>
  <si>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</si>
  <si>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</si>
  <si>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</si>
  <si>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</si>
  <si>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</si>
  <si>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</si>
  <si>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</si>
  <si>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</si>
  <si>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</si>
  <si>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</si>
  <si>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</si>
  <si>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</si>
  <si>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</si>
  <si>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</si>
  <si>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</si>
  <si>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</si>
  <si>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</si>
  <si>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</si>
  <si>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</si>
  <si>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</si>
  <si>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</si>
  <si>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</si>
  <si>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</si>
  <si>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</si>
  <si>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</si>
  <si>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</si>
  <si>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</si>
  <si>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</si>
  <si>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</si>
  <si>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</si>
  <si>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</si>
  <si>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</si>
  <si>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</si>
  <si>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</si>
  <si>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</si>
  <si>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</si>
  <si>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</si>
  <si>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</si>
  <si>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</si>
  <si>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</si>
  <si>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</si>
  <si>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</si>
  <si>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</si>
  <si>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</si>
  <si>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</si>
  <si>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</si>
  <si>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</si>
  <si>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</si>
  <si>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</si>
  <si>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</si>
  <si>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</si>
  <si>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</si>
  <si>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</si>
  <si>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</si>
  <si>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</si>
  <si>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</si>
  <si>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</si>
  <si>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</si>
  <si>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</si>
  <si>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</si>
  <si>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</si>
  <si>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</si>
  <si>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</si>
  <si>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</si>
  <si>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</si>
  <si>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</si>
  <si>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</si>
  <si>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</si>
  <si>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</si>
  <si>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</si>
  <si>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</si>
  <si>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</si>
  <si>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</si>
  <si>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</si>
  <si>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</si>
  <si>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</si>
  <si>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</si>
  <si>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</si>
  <si>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</si>
  <si>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</si>
  <si>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</si>
  <si>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</si>
  <si>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</si>
  <si>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</si>
  <si>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</si>
  <si>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</si>
  <si>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</si>
  <si>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</si>
  <si>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</si>
  <si>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</si>
  <si>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</si>
  <si>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</si>
  <si>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</si>
  <si>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</si>
  <si>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</si>
  <si>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</si>
  <si>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</si>
  <si>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</si>
  <si>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</si>
  <si>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</si>
  <si>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</si>
  <si>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</si>
  <si>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</si>
  <si>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</si>
  <si>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</si>
  <si>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</si>
  <si>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</si>
  <si>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</si>
  <si>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</si>
  <si>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</si>
  <si>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</si>
  <si>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</si>
  <si>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</si>
  <si>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</si>
  <si>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</si>
  <si>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</si>
  <si>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</si>
  <si>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</si>
  <si>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</si>
  <si>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</si>
  <si>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</si>
  <si>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</si>
  <si>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</si>
  <si>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</si>
  <si>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</si>
  <si>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</si>
  <si>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</si>
  <si>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</si>
  <si>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</si>
  <si>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</si>
  <si>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</si>
  <si>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</si>
  <si>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</si>
  <si>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</si>
  <si>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</si>
  <si>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</si>
  <si>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</si>
  <si>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</si>
  <si>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</si>
  <si>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</si>
  <si>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</si>
  <si>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</si>
  <si>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</si>
  <si>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</si>
  <si>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</si>
  <si>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</si>
  <si>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</si>
  <si>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</si>
  <si>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</si>
  <si>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</si>
  <si>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</si>
  <si>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</si>
  <si>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</si>
  <si>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</si>
  <si>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</si>
  <si>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</si>
  <si>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</si>
  <si>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</si>
  <si>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</si>
  <si>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</si>
  <si>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</si>
  <si>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</si>
  <si>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</si>
  <si>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</si>
  <si>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</si>
  <si>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</si>
  <si>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</si>
  <si>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</si>
  <si>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</si>
  <si>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</si>
  <si>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</si>
  <si>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</si>
  <si>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</si>
  <si>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</si>
  <si>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</si>
  <si>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</si>
  <si>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</si>
  <si>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</si>
  <si>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</si>
  <si>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</si>
  <si>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</si>
  <si>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</si>
  <si>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</si>
  <si>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</si>
  <si>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</si>
  <si>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</si>
  <si>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</si>
  <si>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</si>
  <si>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</si>
  <si>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</si>
  <si>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</si>
  <si>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</si>
  <si>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</si>
  <si>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</si>
  <si>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</si>
  <si>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</si>
  <si>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</si>
  <si>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</si>
  <si>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</si>
  <si>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</si>
  <si>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</si>
  <si>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</si>
  <si>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</si>
  <si>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</si>
  <si>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</si>
  <si>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</si>
  <si>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</si>
  <si>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</si>
  <si>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</si>
  <si>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</si>
  <si>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</si>
  <si>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</si>
  <si>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</si>
  <si>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</si>
  <si>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</si>
  <si>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</si>
  <si>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</si>
  <si>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</si>
  <si>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</si>
  <si>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</si>
  <si>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</si>
  <si>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</si>
  <si>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</si>
  <si>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</si>
  <si>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</si>
  <si>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</si>
  <si>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</si>
  <si>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</si>
  <si>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</si>
  <si>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</si>
  <si>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</si>
  <si>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</si>
  <si>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</si>
  <si>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</si>
  <si>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</si>
  <si>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</si>
  <si>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</si>
  <si>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</si>
  <si>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</si>
  <si>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</si>
  <si>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</si>
  <si>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</si>
  <si>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</si>
  <si>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</si>
  <si>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</si>
  <si>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</si>
  <si>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</si>
  <si>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</si>
  <si>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</si>
  <si>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</si>
  <si>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</si>
  <si>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</si>
  <si>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</si>
  <si>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</si>
  <si>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</si>
  <si>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</si>
  <si>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</si>
  <si>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</si>
  <si>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</si>
  <si>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</si>
  <si>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</si>
  <si>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</si>
  <si>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</si>
  <si>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</si>
  <si>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</si>
  <si>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</si>
  <si>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</si>
  <si>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</si>
  <si>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</si>
  <si>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</si>
  <si>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</si>
  <si>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</si>
  <si>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</si>
  <si>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</si>
  <si>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</si>
  <si>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</si>
  <si>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</si>
  <si>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</si>
  <si>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</si>
  <si>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</si>
  <si>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</si>
  <si>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</si>
  <si>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</si>
  <si>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</si>
  <si>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</si>
  <si>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</si>
  <si>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</si>
  <si>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</si>
  <si>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</si>
  <si>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</si>
  <si>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</si>
  <si>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</si>
  <si>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</si>
  <si>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</si>
  <si>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</si>
  <si>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</si>
  <si>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</si>
  <si>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</si>
  <si>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</si>
  <si>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</si>
  <si>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</si>
  <si>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</si>
  <si>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</si>
  <si>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</si>
  <si>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</si>
  <si>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</si>
  <si>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</si>
  <si>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</si>
  <si>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</si>
  <si>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</si>
  <si>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</si>
  <si>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</si>
  <si>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</si>
  <si>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</si>
  <si>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</si>
  <si>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</si>
  <si>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</si>
  <si>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</si>
  <si>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</si>
  <si>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</si>
  <si>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</si>
  <si>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</si>
  <si>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</si>
  <si>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</si>
  <si>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</si>
  <si>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</si>
  <si>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</si>
  <si>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</si>
  <si>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</si>
  <si>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</si>
  <si>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</si>
  <si>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</si>
  <si>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</si>
  <si>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</si>
  <si>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</si>
  <si>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</si>
  <si>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</si>
  <si>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</si>
  <si>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</si>
  <si>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</si>
  <si>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</si>
  <si>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</si>
  <si>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</si>
  <si>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</si>
  <si>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</si>
  <si>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</si>
  <si>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</si>
  <si>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</si>
  <si>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</si>
  <si>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</si>
  <si>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</si>
  <si>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</si>
  <si>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</si>
  <si>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</si>
  <si>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</si>
  <si>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</si>
  <si>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</si>
  <si>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</si>
  <si>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</si>
  <si>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</si>
  <si>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</si>
  <si>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</si>
  <si>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</si>
  <si>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</si>
  <si>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</si>
  <si>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</si>
  <si>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</si>
  <si>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</si>
  <si>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</si>
  <si>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</si>
  <si>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</si>
  <si>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</si>
  <si>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</si>
  <si>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</si>
  <si>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</si>
  <si>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</si>
  <si>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</si>
  <si>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</si>
  <si>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</si>
  <si>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</si>
  <si>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</si>
  <si>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</si>
  <si>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</si>
  <si>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</si>
  <si>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</si>
  <si>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</si>
  <si>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</si>
  <si>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</si>
  <si>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</si>
  <si>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</si>
  <si>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</si>
  <si>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</si>
  <si>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</si>
  <si>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</si>
  <si>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</si>
  <si>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</si>
  <si>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</si>
  <si>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</si>
  <si>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</si>
  <si>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</si>
  <si>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</si>
  <si>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</si>
  <si>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</si>
  <si>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</si>
  <si>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</si>
  <si>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</si>
  <si>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</si>
  <si>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</si>
  <si>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</si>
  <si>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</si>
  <si>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</si>
  <si>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</si>
  <si>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</si>
  <si>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</si>
  <si>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</si>
  <si>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</si>
  <si>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</si>
  <si>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</si>
  <si>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</si>
  <si>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</si>
  <si>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</si>
  <si>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</si>
  <si>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</si>
  <si>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</si>
  <si>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</si>
  <si>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</si>
  <si>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</si>
  <si>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</si>
  <si>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</si>
  <si>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</si>
  <si>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</si>
  <si>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</si>
  <si>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</si>
  <si>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</si>
  <si>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</si>
  <si>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</si>
  <si>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</si>
  <si>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</si>
  <si>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</si>
  <si>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</si>
  <si>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</si>
  <si>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</si>
  <si>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</si>
  <si>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</si>
  <si>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</si>
  <si>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</si>
  <si>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</si>
  <si>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</si>
  <si>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</si>
  <si>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</si>
  <si>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</si>
  <si>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</si>
  <si>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</si>
  <si>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</si>
  <si>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</si>
  <si>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</si>
  <si>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</si>
  <si>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</si>
  <si>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</si>
  <si>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</si>
  <si>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</si>
  <si>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</si>
  <si>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</si>
  <si>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</si>
  <si>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</si>
  <si>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</si>
  <si>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</si>
  <si>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</si>
  <si>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</si>
  <si>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</si>
  <si>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</si>
  <si>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</si>
  <si>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</si>
  <si>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</si>
  <si>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</si>
  <si>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</si>
  <si>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</si>
  <si>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</si>
  <si>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</si>
  <si>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</si>
  <si>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</si>
  <si>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</si>
  <si>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</si>
  <si>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</si>
  <si>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</si>
  <si>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</si>
  <si>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</si>
  <si>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</si>
  <si>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</si>
  <si>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</si>
  <si>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</si>
  <si>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</si>
  <si>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</si>
  <si>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</si>
  <si>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</si>
  <si>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</si>
  <si>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</si>
  <si>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</si>
  <si>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</si>
  <si>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</si>
  <si>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</si>
  <si>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</si>
  <si>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</si>
  <si>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</si>
  <si>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</si>
  <si>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</si>
  <si>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</si>
  <si>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</si>
  <si>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</si>
  <si>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</si>
  <si>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</si>
  <si>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</si>
  <si>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</si>
  <si>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</si>
  <si>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</si>
  <si>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</si>
  <si>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</si>
  <si>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</si>
  <si>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</si>
  <si>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</si>
  <si>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</si>
  <si>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</si>
  <si>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</si>
  <si>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</si>
  <si>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</si>
  <si>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</si>
  <si>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</si>
  <si>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</si>
  <si>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</si>
  <si>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</si>
  <si>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</si>
  <si>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</si>
  <si>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</si>
  <si>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</si>
  <si>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</si>
  <si>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</si>
  <si>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</si>
  <si>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</si>
  <si>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</si>
  <si>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</si>
  <si>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</si>
  <si>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</si>
  <si>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</si>
  <si>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</si>
  <si>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</si>
  <si>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</si>
  <si>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</si>
  <si>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</si>
  <si>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</si>
  <si>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</si>
  <si>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</si>
  <si>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</si>
  <si>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</si>
  <si>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</si>
  <si>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</si>
  <si>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</si>
  <si>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</si>
  <si>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</si>
  <si>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</si>
  <si>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</si>
  <si>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</si>
  <si>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</si>
  <si>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</si>
  <si>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</si>
  <si>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</si>
  <si>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</si>
  <si>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</si>
  <si>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</si>
  <si>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</si>
  <si>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</si>
  <si>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</si>
  <si>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</si>
  <si>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HOPKINS &amp; ASSOCIATES, CPAS</t>
  </si>
  <si>
    <t>BUREAU</t>
  </si>
  <si>
    <t>JOEL HOPKINS</t>
  </si>
  <si>
    <t>314 S MCCOY STREET</t>
  </si>
  <si>
    <t>400 N GALENA STREET PO BOX 267</t>
  </si>
  <si>
    <t>GRANVILLE</t>
  </si>
  <si>
    <t>IL</t>
  </si>
  <si>
    <t>TISKILWA</t>
  </si>
  <si>
    <t>815-339-6630</t>
  </si>
  <si>
    <t>815-339-6643</t>
  </si>
  <si>
    <t>SPEDMAN2002@GMAIL.COM</t>
  </si>
  <si>
    <t>066-004501</t>
  </si>
  <si>
    <t>JOEL@HOPKINSOFFICE.COM</t>
  </si>
  <si>
    <t>EGAN HICKS</t>
  </si>
  <si>
    <t>815-915-4460</t>
  </si>
  <si>
    <t>815-401-0000</t>
  </si>
  <si>
    <t xml:space="preserve">PRINCETON ELEMENTARY SCHOOL DISTRICT </t>
  </si>
  <si>
    <t xml:space="preserve">LADD CCSD </t>
  </si>
  <si>
    <t xml:space="preserve">THE JOINT AGREEMENT DOES NOT HAVE ITS OWN TRS ACCOUNT BUT ITS MEMBERS ARE HANDLED THROUGH THE ADMINISTRATIVE DISTRICT'S (PRINCETON ELEMENTARY SCHOOL DISTRICT #115) TRS ACCOUNT. THE ON-BEHALF REVENUE AND EXPENSE ARE SHOWN ON THAT DISTRICT'S ANNUAL FINNANCIAL REPORT.S </t>
  </si>
  <si>
    <t>10-1999 MISCELLANEOUS INCOME $1,506</t>
  </si>
  <si>
    <t>EDUCATION - OPERATIONS &amp; MAINTENANCE - PURCHASED SERVICES</t>
  </si>
  <si>
    <t>VONAGE</t>
  </si>
  <si>
    <t xml:space="preserve">   Behavior Disorder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</si>
</sst>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0" xfId="0" applyFont="1" applyAlignment="1">
      <alignment wrapText="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857250</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c r="C5" s="26" t="s">
        <v>904</v>
      </c>
      <c r="D5" s="81"/>
      <c r="E5" s="81"/>
      <c r="H5" s="38"/>
      <c r="I5" s="2090" t="s">
        <v>675</v>
      </c>
      <c r="J5" s="2089"/>
      <c r="K5" s="2089"/>
      <c r="L5" s="2089"/>
      <c r="M5" s="2089"/>
      <c r="N5" s="2089"/>
      <c r="O5" s="2089"/>
      <c r="P5" s="2089"/>
      <c r="Q5" s="2089"/>
      <c r="R5" s="2089"/>
      <c r="S5" s="2089"/>
      <c r="AF5" s="1827"/>
    </row>
    <row r="6" spans="1:32" ht="14.1" customHeight="1" x14ac:dyDescent="0.2">
      <c r="B6" s="101" t="s">
        <v>2051</v>
      </c>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2051</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28006000000</v>
      </c>
      <c r="B13" s="2102"/>
      <c r="C13" s="2102"/>
      <c r="D13" s="2102"/>
      <c r="E13" s="2102"/>
      <c r="F13" s="2102"/>
      <c r="G13" s="2102"/>
      <c r="H13" s="2103"/>
      <c r="I13" s="31"/>
      <c r="J13" s="30"/>
      <c r="K13" s="28"/>
      <c r="L13" s="30"/>
      <c r="M13" s="30"/>
      <c r="N13" s="30"/>
      <c r="O13" s="30"/>
      <c r="P13" s="30"/>
      <c r="Q13" s="30"/>
      <c r="R13" s="30"/>
      <c r="S13" s="30"/>
      <c r="T13" s="2107" t="s">
        <v>2052</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2053</v>
      </c>
      <c r="B15" s="2105"/>
      <c r="C15" s="2105"/>
      <c r="D15" s="2105"/>
      <c r="E15" s="2105"/>
      <c r="F15" s="2105"/>
      <c r="G15" s="2105"/>
      <c r="H15" s="2106"/>
      <c r="T15" s="2111" t="s">
        <v>2054</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2074</v>
      </c>
      <c r="B17" s="2075"/>
      <c r="C17" s="2075"/>
      <c r="D17" s="2075"/>
      <c r="E17" s="2075"/>
      <c r="F17" s="2075"/>
      <c r="G17" s="2075"/>
      <c r="H17" s="2100"/>
      <c r="T17" s="2118" t="s">
        <v>2055</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2056</v>
      </c>
      <c r="B19" s="2060"/>
      <c r="C19" s="2060"/>
      <c r="D19" s="2060"/>
      <c r="E19" s="2060"/>
      <c r="F19" s="2060"/>
      <c r="G19" s="2060"/>
      <c r="H19" s="2040"/>
      <c r="I19" s="30"/>
      <c r="J19" s="96"/>
      <c r="K19" s="40"/>
      <c r="L19" s="38"/>
      <c r="M19" s="109" t="s">
        <v>312</v>
      </c>
      <c r="P19" s="27"/>
      <c r="Q19" s="27"/>
      <c r="R19" s="27"/>
      <c r="S19" s="31"/>
      <c r="T19" s="2104" t="s">
        <v>2057</v>
      </c>
      <c r="U19" s="2039"/>
      <c r="V19" s="2039"/>
      <c r="W19" s="2040"/>
      <c r="X19" s="2116" t="s">
        <v>2058</v>
      </c>
      <c r="Y19" s="2117"/>
      <c r="Z19" s="2114">
        <v>61326</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2059</v>
      </c>
      <c r="B21" s="2039"/>
      <c r="C21" s="2039"/>
      <c r="D21" s="2039"/>
      <c r="E21" s="2039"/>
      <c r="F21" s="2039"/>
      <c r="G21" s="2039"/>
      <c r="H21" s="2040"/>
      <c r="I21" s="2094" t="s">
        <v>673</v>
      </c>
      <c r="J21" s="2089"/>
      <c r="K21" s="2089"/>
      <c r="L21" s="2089"/>
      <c r="M21" s="2089"/>
      <c r="N21" s="2089"/>
      <c r="O21" s="2089"/>
      <c r="P21" s="2089"/>
      <c r="Q21" s="2089"/>
      <c r="R21" s="2089"/>
      <c r="S21" s="2095"/>
      <c r="T21" s="2129" t="s">
        <v>2060</v>
      </c>
      <c r="U21" s="2130"/>
      <c r="V21" s="2130"/>
      <c r="W21" s="2130"/>
      <c r="X21" s="2135" t="s">
        <v>2061</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2062</v>
      </c>
      <c r="B23" s="2092"/>
      <c r="C23" s="2092"/>
      <c r="D23" s="2092"/>
      <c r="E23" s="2092"/>
      <c r="F23" s="2092"/>
      <c r="G23" s="2092"/>
      <c r="H23" s="2093"/>
      <c r="T23" s="2074" t="s">
        <v>2063</v>
      </c>
      <c r="U23" s="2128"/>
      <c r="V23" s="2128"/>
      <c r="W23" s="2128"/>
      <c r="X23" s="2132">
        <v>44530</v>
      </c>
      <c r="Y23" s="2133"/>
      <c r="Z23" s="2133"/>
      <c r="AA23" s="2134"/>
    </row>
    <row r="24" spans="1:27" ht="14.1" customHeight="1" x14ac:dyDescent="0.2">
      <c r="A24" s="85" t="s">
        <v>672</v>
      </c>
      <c r="B24" s="46"/>
      <c r="C24" s="46"/>
      <c r="D24" s="46"/>
      <c r="E24" s="46"/>
      <c r="F24" s="46"/>
      <c r="G24" s="46"/>
      <c r="H24" s="58"/>
      <c r="J24" s="2061" t="str">
        <f>IF(B5="x",IF(AUDITCHECK!D29="AFR form Incomplete.","",IF(AUDITCHECK!D29="Deficit reduction plan is required.","School District must complete a deficit reduction plan in the 2020-2021 Budget",)),"")</f>
        <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61368</v>
      </c>
      <c r="B25" s="2039"/>
      <c r="C25" s="2039"/>
      <c r="D25" s="2039"/>
      <c r="E25" s="2039"/>
      <c r="F25" s="2039"/>
      <c r="G25" s="2039"/>
      <c r="H25" s="2040"/>
      <c r="I25" s="110"/>
      <c r="J25" s="2063"/>
      <c r="K25" s="2063"/>
      <c r="L25" s="2063"/>
      <c r="M25" s="2063"/>
      <c r="N25" s="2063"/>
      <c r="O25" s="2063"/>
      <c r="P25" s="2063"/>
      <c r="Q25" s="2063"/>
      <c r="R25" s="2063"/>
      <c r="S25" s="2064"/>
      <c r="T25" s="2125" t="s">
        <v>2064</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2065</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2062</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2066</v>
      </c>
      <c r="B42" s="2058"/>
      <c r="C42" s="2059"/>
      <c r="D42" s="2057" t="s">
        <v>2067</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0</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45994</v>
      </c>
      <c r="D12" s="1771"/>
      <c r="E12" s="1771"/>
      <c r="F12" s="1765">
        <f>(C12+D12)-E12</f>
        <v>45994</v>
      </c>
      <c r="G12" s="681">
        <v>10</v>
      </c>
      <c r="H12" s="619">
        <v>44258</v>
      </c>
      <c r="I12" s="619">
        <f>150+360</f>
        <v>510</v>
      </c>
      <c r="J12" s="619"/>
      <c r="K12" s="1442">
        <f>(H12+I12)-J12</f>
        <v>44768</v>
      </c>
      <c r="L12" s="1442">
        <f>F12-K12</f>
        <v>1226</v>
      </c>
    </row>
    <row r="13" spans="1:14" ht="14.25" thickTop="1" thickBot="1" x14ac:dyDescent="0.25">
      <c r="A13" s="684" t="s">
        <v>1112</v>
      </c>
      <c r="B13" s="679">
        <v>252</v>
      </c>
      <c r="C13" s="1771">
        <v>10476</v>
      </c>
      <c r="D13" s="1771"/>
      <c r="E13" s="1771"/>
      <c r="F13" s="1765">
        <f>(C13+D13)-E13</f>
        <v>10476</v>
      </c>
      <c r="G13" s="681">
        <v>5</v>
      </c>
      <c r="H13" s="619">
        <v>8077</v>
      </c>
      <c r="I13" s="619">
        <f>1048+739+307</f>
        <v>2094</v>
      </c>
      <c r="J13" s="619"/>
      <c r="K13" s="1442">
        <f>(H13+I13)-J13</f>
        <v>10171</v>
      </c>
      <c r="L13" s="1442">
        <f>F13-K13</f>
        <v>305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56470</v>
      </c>
      <c r="D16" s="1765">
        <f>SUM(D3,D5:D6,D8:D10,D12:D15)</f>
        <v>0</v>
      </c>
      <c r="E16" s="1765">
        <f>SUM(E3,E5:E6,E8:E10,E12:E15)</f>
        <v>0</v>
      </c>
      <c r="F16" s="1765">
        <f>SUM(F3,F5:F6,F8:F10,F12:F15)</f>
        <v>56470</v>
      </c>
      <c r="G16" s="681"/>
      <c r="H16" s="1435">
        <f>SUM(H3,H6,H8:H10,H12:H14,)</f>
        <v>52335</v>
      </c>
      <c r="I16" s="1435">
        <f>SUM(I3,I6,I8:I10,I12:I14,)</f>
        <v>2604</v>
      </c>
      <c r="J16" s="1435">
        <f>SUM(J3,J6,J8:J10,J12:J14,)</f>
        <v>0</v>
      </c>
      <c r="K16" s="1435">
        <f>(H16+I16)-J16</f>
        <v>54939</v>
      </c>
      <c r="L16" s="1435">
        <f>F16-K16</f>
        <v>1531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2604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719243</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719243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10076</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10076</v>
      </c>
      <c r="G77" s="701"/>
    </row>
    <row r="78" spans="1:9" s="728" customFormat="1" ht="12" customHeight="1" thickTop="1" thickBot="1" x14ac:dyDescent="0.25">
      <c r="A78" s="1450"/>
      <c r="B78" s="1448"/>
      <c r="C78" s="1445"/>
      <c r="D78" s="1449" t="s">
        <v>2012</v>
      </c>
      <c r="E78" s="1447"/>
      <c r="F78" s="1788">
        <f>(F14-F77)</f>
        <v>709167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7331</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58135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7788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14439</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87693</v>
      </c>
    </row>
    <row r="176" spans="1:7" ht="12" customHeight="1" x14ac:dyDescent="0.2">
      <c r="A176" s="1443"/>
      <c r="B176" s="1453"/>
      <c r="C176" s="1454"/>
      <c r="D176" s="1455" t="s">
        <v>2014</v>
      </c>
      <c r="E176" s="1456"/>
      <c r="F176" s="1793">
        <f>'PCTC-OEPP 27-28'!F78-F175</f>
        <v>621474</v>
      </c>
    </row>
    <row r="177" spans="1:9" ht="12" customHeight="1" x14ac:dyDescent="0.2">
      <c r="A177" s="1443"/>
      <c r="B177" s="1453"/>
      <c r="C177" s="1454"/>
      <c r="D177" s="1455" t="s">
        <v>1794</v>
      </c>
      <c r="E177" s="1456"/>
      <c r="F177" s="1793">
        <f>'Cap Outlay Deprec 26'!I18</f>
        <v>2604</v>
      </c>
    </row>
    <row r="178" spans="1:9" ht="12" customHeight="1" x14ac:dyDescent="0.2">
      <c r="A178" s="1443"/>
      <c r="B178" s="1453"/>
      <c r="C178" s="1454"/>
      <c r="D178" s="1455" t="s">
        <v>2015</v>
      </c>
      <c r="E178" s="1456"/>
      <c r="F178" s="1793">
        <f>F176+F177</f>
        <v>624078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6" t="s">
        <v>2072</v>
      </c>
      <c r="B18" s="1908">
        <v>102540300</v>
      </c>
      <c r="C18" s="2037" t="s">
        <v>2073</v>
      </c>
      <c r="D18" s="1886">
        <v>1721</v>
      </c>
      <c r="E18" s="1906">
        <f t="shared" ref="E18:E81" si="0">IF(D18&lt;25000,D18,"25,000")</f>
        <v>1721</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1721</v>
      </c>
      <c r="E142" s="1893">
        <f>SUM(E18:E141)</f>
        <v>1721</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455728</v>
      </c>
      <c r="F19" s="1802"/>
      <c r="G19" s="1804">
        <f>'Expenditures 15-22'!K33-SUM('Expenditures 15-22'!G33,'Expenditures 15-22'!I33)+'Expenditures 15-22'!D229</f>
        <v>455728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5200</v>
      </c>
      <c r="F21" s="1805"/>
      <c r="G21" s="1808">
        <f>'Expenditures 15-22'!K42-SUM('Expenditures 15-22'!G42,'Expenditures 15-22'!I42)+'Expenditures 15-22'!K120-SUM('Expenditures 15-22'!G120,'Expenditures 15-22'!I120)+'Expenditures 15-22'!K180-SUM('Expenditures 15-22'!G180,'Expenditures 15-22'!I180)+'Expenditures 15-22'!D238</f>
        <v>5200</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12879</v>
      </c>
      <c r="F23" s="1805"/>
      <c r="G23" s="1807">
        <f>'Expenditures 15-22'!K53-SUM('Expenditures 15-22'!G53,'Expenditures 15-22'!I53)+'Expenditures 15-22'!D257+'Expenditures 15-22'!K330-SUM('Expenditures 15-22'!G330,'Expenditures 15-22'!I330)</f>
        <v>12879</v>
      </c>
      <c r="H23" s="817"/>
      <c r="I23" s="157"/>
    </row>
    <row r="24" spans="1:9" s="542" customFormat="1" ht="12" customHeight="1" x14ac:dyDescent="0.2">
      <c r="A24" s="824" t="s">
        <v>562</v>
      </c>
      <c r="B24" s="825"/>
      <c r="C24" s="823">
        <v>2400</v>
      </c>
      <c r="D24" s="1805"/>
      <c r="E24" s="1807">
        <f>'Expenditures 15-22'!K57-SUM('Expenditures 15-22'!G57,'Expenditures 15-22'!I57)+'Expenditures 15-22'!D261</f>
        <v>152538</v>
      </c>
      <c r="F24" s="1805"/>
      <c r="G24" s="1808">
        <f>'Expenditures 15-22'!K57-SUM('Expenditures 15-22'!G57,'Expenditures 15-22'!I57)+'Expenditures 15-22'!D261</f>
        <v>152538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82822</v>
      </c>
      <c r="F28" s="1809">
        <f>'Expenditures 15-22'!K61-SUM('Expenditures 15-22'!G61,'Expenditures 15-22'!I61)+'Expenditures 15-22'!K124-SUM('Expenditures 15-22'!G124,'Expenditures 15-22'!I124)+'Expenditures 15-22'!D266-E9</f>
        <v>82822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709167</v>
      </c>
      <c r="F41" s="1809">
        <f>SUM(F19:F39)</f>
        <v>82822</v>
      </c>
      <c r="G41" s="1809">
        <f>SUM(G19:G40)</f>
        <v>626345</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0</v>
      </c>
      <c r="F43" s="1458" t="s">
        <v>470</v>
      </c>
      <c r="G43" s="1810">
        <f>F41</f>
        <v>82822</v>
      </c>
    </row>
    <row r="44" spans="1:7" ht="12" customHeight="1" x14ac:dyDescent="0.2">
      <c r="A44" s="817"/>
      <c r="B44" s="157"/>
      <c r="C44" s="831"/>
      <c r="D44" s="1458" t="s">
        <v>471</v>
      </c>
      <c r="E44" s="1810">
        <f>E41</f>
        <v>709167</v>
      </c>
      <c r="F44" s="1458" t="s">
        <v>471</v>
      </c>
      <c r="G44" s="1810">
        <f>G41</f>
        <v>626345</v>
      </c>
    </row>
    <row r="45" spans="1:7" ht="12" customHeight="1" x14ac:dyDescent="0.2">
      <c r="A45" s="817"/>
      <c r="B45" s="157"/>
      <c r="C45" s="157"/>
      <c r="D45" s="1459" t="s">
        <v>999</v>
      </c>
      <c r="E45" s="1811">
        <f>(E43/E44)</f>
        <v>0</v>
      </c>
      <c r="F45" s="1459" t="s">
        <v>999</v>
      </c>
      <c r="G45" s="1811">
        <f>(G43/G44)</f>
        <v>0.13223063966344425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C17" sqref="C1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Behavior Disorder Program</v>
      </c>
      <c r="D6" s="2416"/>
      <c r="E6" s="2416"/>
      <c r="F6" s="1482"/>
      <c r="G6" s="1507"/>
      <c r="L6" s="1507"/>
      <c r="M6" s="1855"/>
      <c r="N6" s="1855"/>
      <c r="O6" s="1855"/>
    </row>
    <row r="7" spans="1:15" ht="11.25" customHeight="1" thickBot="1" x14ac:dyDescent="0.3">
      <c r="A7" s="1480"/>
      <c r="B7" s="1481"/>
      <c r="C7" s="2417">
        <f>COVER!A13</f>
        <v>28006000000</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2068</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2069</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Behavior Disorder Program</v>
      </c>
      <c r="K6" s="2438"/>
      <c r="L6" s="2452"/>
      <c r="M6" s="838"/>
      <c r="N6" s="1998"/>
    </row>
    <row r="7" spans="1:14" x14ac:dyDescent="0.2">
      <c r="A7" s="2453" t="s">
        <v>864</v>
      </c>
      <c r="B7" s="2454"/>
      <c r="C7" s="2454"/>
      <c r="D7" s="2454"/>
      <c r="E7" s="2455"/>
      <c r="F7" s="839"/>
      <c r="G7" s="838"/>
      <c r="H7" s="838"/>
      <c r="I7" s="1924" t="s">
        <v>369</v>
      </c>
      <c r="J7" s="2440">
        <f>COVER!A13</f>
        <v>28006000000</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0</v>
      </c>
      <c r="F19" s="1950">
        <f t="shared" si="2"/>
        <v>0</v>
      </c>
      <c r="G19" s="1950">
        <f t="shared" ref="G19" si="3">SUM(G12:G17)-G18</f>
        <v>0</v>
      </c>
      <c r="H19" s="1950">
        <f t="shared" si="2"/>
        <v>0</v>
      </c>
      <c r="I19" s="1950">
        <f t="shared" si="2"/>
        <v>0</v>
      </c>
      <c r="J19" s="1950">
        <f t="shared" si="2"/>
        <v>0</v>
      </c>
      <c r="K19" s="1950">
        <f t="shared" si="2"/>
        <v>0</v>
      </c>
      <c r="L19" s="1950">
        <f t="shared" si="2"/>
        <v>0</v>
      </c>
      <c r="M19" s="838"/>
      <c r="N19" s="1998"/>
    </row>
    <row r="20" spans="1:14" ht="13.5" thickTop="1" x14ac:dyDescent="0.2">
      <c r="A20" s="2003">
        <v>9</v>
      </c>
      <c r="B20" s="2462" t="s">
        <v>2021</v>
      </c>
      <c r="C20" s="2462"/>
      <c r="D20" s="246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Behavior Disorder Program</v>
      </c>
      <c r="M52" s="2438"/>
      <c r="N52" s="2439"/>
    </row>
    <row r="53" spans="1:14" x14ac:dyDescent="0.2">
      <c r="A53" s="1982"/>
      <c r="B53" s="1983"/>
      <c r="C53" s="1983"/>
      <c r="D53" s="1983"/>
      <c r="E53" s="1983"/>
      <c r="F53" s="1983"/>
      <c r="G53" s="1983"/>
      <c r="H53" s="1983"/>
      <c r="I53" s="1983"/>
      <c r="J53" s="1983"/>
      <c r="K53" s="1924" t="s">
        <v>369</v>
      </c>
      <c r="L53" s="2440">
        <f>J7</f>
        <v>28006000000</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0</v>
      </c>
      <c r="F63" s="1972"/>
      <c r="G63" s="2031"/>
      <c r="H63" s="2032"/>
      <c r="I63" s="2032"/>
      <c r="J63" s="2032"/>
      <c r="K63" s="2032"/>
      <c r="L63" s="2032"/>
      <c r="M63" s="2032"/>
      <c r="N63" s="1975">
        <f t="shared" si="4"/>
        <v>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5" sqref="B1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2071</v>
      </c>
    </row>
    <row r="6" spans="1:2" ht="38.25" x14ac:dyDescent="0.2">
      <c r="A6" s="847">
        <v>2</v>
      </c>
      <c r="B6" s="2035" t="s">
        <v>2070</v>
      </c>
    </row>
    <row r="7" spans="1:2" x14ac:dyDescent="0.2">
      <c r="A7" s="847"/>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Behavior Disorder Program</v>
      </c>
    </row>
    <row r="65" spans="2:2" x14ac:dyDescent="0.2">
      <c r="B65" s="849">
        <f>COVER!A13</f>
        <v>28006000000</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5" sqref="C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857250</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684111</v>
      </c>
      <c r="C8" s="1813">
        <f>'Acct Summary 7-8'!D8</f>
        <v>0</v>
      </c>
      <c r="D8" s="1813">
        <f>'Acct Summary 7-8'!F8</f>
        <v>0</v>
      </c>
      <c r="E8" s="1813">
        <f>'Acct Summary 7-8'!I8</f>
        <v>0</v>
      </c>
      <c r="F8" s="1813">
        <f>SUM(B8:E8)</f>
        <v>684111</v>
      </c>
    </row>
    <row r="9" spans="1:8" s="858" customFormat="1" ht="14.25" customHeight="1" thickBot="1" x14ac:dyDescent="0.25">
      <c r="A9" s="857" t="s">
        <v>1353</v>
      </c>
      <c r="B9" s="1814">
        <f>'Acct Summary 7-8'!C17</f>
        <v>719243</v>
      </c>
      <c r="C9" s="1814">
        <f>'Acct Summary 7-8'!D17</f>
        <v>0</v>
      </c>
      <c r="D9" s="1814">
        <f>'Acct Summary 7-8'!F17</f>
        <v>0</v>
      </c>
      <c r="E9" s="1813"/>
      <c r="F9" s="1813">
        <f>SUM(B9:E9)</f>
        <v>719243</v>
      </c>
    </row>
    <row r="10" spans="1:8" s="858" customFormat="1" ht="14.25" thickTop="1" thickBot="1" x14ac:dyDescent="0.25">
      <c r="A10" s="859" t="s">
        <v>1354</v>
      </c>
      <c r="B10" s="1815">
        <f>(B8-B9)</f>
        <v>-35132</v>
      </c>
      <c r="C10" s="1815">
        <f>(C8-C9)</f>
        <v>0</v>
      </c>
      <c r="D10" s="1815">
        <f>(D8-D9)</f>
        <v>0</v>
      </c>
      <c r="E10" s="1814">
        <f>(E8-E9)</f>
        <v>0</v>
      </c>
      <c r="F10" s="1816">
        <f>SUM(F8-F9)</f>
        <v>-35132</v>
      </c>
    </row>
    <row r="11" spans="1:8" s="858" customFormat="1" ht="14.25" thickTop="1" thickBot="1" x14ac:dyDescent="0.25">
      <c r="A11" s="860" t="s">
        <v>1903</v>
      </c>
      <c r="B11" s="1817">
        <f>'Acct Summary 7-8'!C81</f>
        <v>115677</v>
      </c>
      <c r="C11" s="1817">
        <f>'Acct Summary 7-8'!D81</f>
        <v>0</v>
      </c>
      <c r="D11" s="1817">
        <f>'Acct Summary 7-8'!F81</f>
        <v>0</v>
      </c>
      <c r="E11" s="1817">
        <f>'Acct Summary 7-8'!I81</f>
        <v>0</v>
      </c>
      <c r="F11" s="1818">
        <f>SUM(B11:E11)</f>
        <v>115677</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ENTRY IS REQUIRED!</v>
      </c>
    </row>
    <row r="77" spans="1:4" x14ac:dyDescent="0.2">
      <c r="A77" s="879"/>
      <c r="B77" s="908">
        <f>B74+1</f>
        <v>11</v>
      </c>
      <c r="C77" s="953" t="s">
        <v>1362</v>
      </c>
      <c r="D77" s="903"/>
    </row>
    <row r="78" spans="1:4" x14ac:dyDescent="0.2">
      <c r="A78" s="879"/>
      <c r="B78" s="889"/>
      <c r="C78" s="897" t="s">
        <v>1988</v>
      </c>
      <c r="D78" s="903" t="str">
        <f>IF(ISNUMBER('Acct Summary 7-8'!C9),"OK","ENTRY IS REQUIRED!")</f>
        <v>ENTRY IS REQUIRED!</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28006000000</v>
      </c>
      <c r="E2" s="1542">
        <v>2020</v>
      </c>
      <c r="F2" s="1542">
        <v>1</v>
      </c>
      <c r="G2" s="1899">
        <v>101000300</v>
      </c>
    </row>
    <row r="3" spans="1:7" ht="15" x14ac:dyDescent="0.25">
      <c r="A3" t="s">
        <v>950</v>
      </c>
      <c r="B3" s="135" t="str">
        <f>COVER!A15</f>
        <v>BUREAU</v>
      </c>
      <c r="E3" s="1830" t="s">
        <v>1971</v>
      </c>
      <c r="F3" s="1830" t="s">
        <v>1970</v>
      </c>
      <c r="G3" s="1899">
        <v>101000400</v>
      </c>
    </row>
    <row r="4" spans="1:7" ht="15" x14ac:dyDescent="0.25">
      <c r="A4" t="s">
        <v>1000</v>
      </c>
      <c r="B4" s="135" t="str">
        <f>COVER!A17</f>
        <v xml:space="preserve">   Behavior Disorder Program</v>
      </c>
      <c r="E4" s="1828">
        <v>44119</v>
      </c>
      <c r="F4" s="1829">
        <v>44151</v>
      </c>
      <c r="G4" s="1899">
        <v>101000600</v>
      </c>
    </row>
    <row r="5" spans="1:7" ht="15" x14ac:dyDescent="0.25">
      <c r="A5" t="s">
        <v>699</v>
      </c>
      <c r="B5" s="135" t="str">
        <f>COVER!A38</f>
        <v>EGAN HICKS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STREET</v>
      </c>
      <c r="G18" s="1899">
        <v>102200300</v>
      </c>
    </row>
    <row r="19" spans="1:7" ht="15" x14ac:dyDescent="0.25">
      <c r="A19" t="s">
        <v>880</v>
      </c>
      <c r="B19" s="135" t="str">
        <f>COVER!T25</f>
        <v>JOEL@HOPKINSOFFICE.COM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115677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115677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0</v>
      </c>
      <c r="D92" s="2" t="str">
        <f t="shared" si="0"/>
        <v>Error?</v>
      </c>
      <c r="G92" s="1899">
        <v>102640600</v>
      </c>
    </row>
    <row r="93" spans="1:7" ht="15" x14ac:dyDescent="0.25">
      <c r="A93" s="5">
        <v>32</v>
      </c>
      <c r="B93" s="1832">
        <f>'Assets-Liab 5-6'!C41</f>
        <v>115677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56470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56470</v>
      </c>
      <c r="C279" s="2" t="s">
        <v>569</v>
      </c>
      <c r="D279" s="2" t="str">
        <f t="shared" si="3"/>
        <v>Error?</v>
      </c>
    </row>
    <row r="280" spans="1:4" x14ac:dyDescent="0.2">
      <c r="A280" s="5">
        <v>219</v>
      </c>
      <c r="B280" s="1832">
        <f>'Assets-Liab 5-6'!M40</f>
        <v>56470</v>
      </c>
      <c r="D280" s="2" t="str">
        <f t="shared" si="3"/>
        <v>Error?</v>
      </c>
    </row>
    <row r="281" spans="1:4" x14ac:dyDescent="0.2">
      <c r="A281" s="5">
        <v>220</v>
      </c>
      <c r="B281" s="1832">
        <f>'Assets-Liab 5-6'!M41</f>
        <v>56470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335958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117856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117856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30639</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30639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148495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484453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100942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33521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33521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14012</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14012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47533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148475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13479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5200</v>
      </c>
      <c r="D842" s="2" t="str">
        <f t="shared" si="12"/>
        <v>Error?</v>
      </c>
    </row>
    <row r="843" spans="1:4" x14ac:dyDescent="0.2">
      <c r="A843" s="5">
        <v>782</v>
      </c>
      <c r="B843" s="1832">
        <f>'Expenditures 15-22'!E42</f>
        <v>5200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3000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12879</v>
      </c>
      <c r="C850" s="2" t="s">
        <v>569</v>
      </c>
      <c r="D850" s="2" t="str">
        <f t="shared" si="12"/>
        <v>Error?</v>
      </c>
    </row>
    <row r="851" spans="1:4" x14ac:dyDescent="0.2">
      <c r="A851" s="5">
        <v>790</v>
      </c>
      <c r="B851" s="1832">
        <f>'Expenditures 15-22'!E55</f>
        <v>1161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1161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38171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38171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57411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80966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5229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5229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120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455728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5200</v>
      </c>
      <c r="C1114" s="2" t="s">
        <v>569</v>
      </c>
      <c r="D1114" s="2" t="str">
        <f t="shared" si="16"/>
        <v>Error?</v>
      </c>
    </row>
    <row r="1115" spans="1:4" x14ac:dyDescent="0.2">
      <c r="A1115" s="5">
        <v>1054</v>
      </c>
      <c r="B1115" s="1832">
        <f>'Expenditures 15-22'!K42</f>
        <v>5200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3000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12879</v>
      </c>
      <c r="C1122" s="2" t="s">
        <v>569</v>
      </c>
      <c r="D1122" s="2" t="str">
        <f t="shared" si="16"/>
        <v>Error?</v>
      </c>
    </row>
    <row r="1123" spans="1:4" x14ac:dyDescent="0.2">
      <c r="A1123" s="5">
        <v>1062</v>
      </c>
      <c r="B1123" s="1832">
        <f>'Expenditures 15-22'!K55</f>
        <v>152538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152538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82822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82822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253439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10076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719243</v>
      </c>
      <c r="C1152" s="2" t="s">
        <v>569</v>
      </c>
      <c r="D1152" s="2" t="str">
        <f t="shared" si="17"/>
        <v>Error?</v>
      </c>
    </row>
    <row r="1153" spans="1:4" x14ac:dyDescent="0.2">
      <c r="A1153" s="5">
        <v>1092</v>
      </c>
      <c r="B1153" s="1832">
        <f>'Expenditures 15-22'!K115</f>
        <v>-35132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150809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115677</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45994</v>
      </c>
      <c r="D2011" s="2" t="str">
        <f t="shared" si="30"/>
        <v>Error?</v>
      </c>
    </row>
    <row r="2012" spans="1:4" x14ac:dyDescent="0.2">
      <c r="A2012" s="5">
        <v>1951</v>
      </c>
      <c r="B2012" s="1832">
        <f>'Cap Outlay Deprec 26'!C13</f>
        <v>10476</v>
      </c>
      <c r="D2012" s="2" t="str">
        <f t="shared" si="30"/>
        <v>Error?</v>
      </c>
    </row>
    <row r="2013" spans="1:4" x14ac:dyDescent="0.2">
      <c r="A2013" s="5">
        <v>1952</v>
      </c>
      <c r="B2013" s="1832">
        <f>'Cap Outlay Deprec 26'!C16</f>
        <v>56470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45994</v>
      </c>
      <c r="C2029" s="2" t="s">
        <v>569</v>
      </c>
      <c r="D2029" s="2" t="str">
        <f t="shared" si="30"/>
        <v>Error?</v>
      </c>
    </row>
    <row r="2030" spans="1:4" x14ac:dyDescent="0.2">
      <c r="A2030" s="5">
        <v>1969</v>
      </c>
      <c r="B2030" s="1832">
        <f>'Cap Outlay Deprec 26'!F13</f>
        <v>10476</v>
      </c>
      <c r="C2030" s="2" t="s">
        <v>569</v>
      </c>
      <c r="D2030" s="2" t="str">
        <f t="shared" si="30"/>
        <v>Error?</v>
      </c>
    </row>
    <row r="2031" spans="1:4" x14ac:dyDescent="0.2">
      <c r="A2031" s="5">
        <v>1970</v>
      </c>
      <c r="B2031" s="1832">
        <f>'Cap Outlay Deprec 26'!F16</f>
        <v>56470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44258</v>
      </c>
      <c r="D2035" s="2" t="str">
        <f t="shared" si="30"/>
        <v>Error?</v>
      </c>
    </row>
    <row r="2036" spans="1:4" x14ac:dyDescent="0.2">
      <c r="A2036" s="5">
        <v>1975</v>
      </c>
      <c r="B2036" s="1832">
        <f>'Cap Outlay Deprec 26'!H13</f>
        <v>8077</v>
      </c>
      <c r="D2036" s="2" t="str">
        <f t="shared" si="30"/>
        <v>Error?</v>
      </c>
    </row>
    <row r="2037" spans="1:4" x14ac:dyDescent="0.2">
      <c r="A2037" s="5">
        <v>1976</v>
      </c>
      <c r="B2037" s="1832">
        <f>'Cap Outlay Deprec 26'!H16</f>
        <v>52335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510</v>
      </c>
      <c r="D2041" s="2" t="str">
        <f t="shared" si="30"/>
        <v>Error?</v>
      </c>
    </row>
    <row r="2042" spans="1:4" x14ac:dyDescent="0.2">
      <c r="A2042" s="5">
        <v>1981</v>
      </c>
      <c r="B2042" s="1832">
        <f>'Cap Outlay Deprec 26'!I13</f>
        <v>2094</v>
      </c>
      <c r="D2042" s="2" t="str">
        <f t="shared" si="30"/>
        <v>Error?</v>
      </c>
    </row>
    <row r="2043" spans="1:4" x14ac:dyDescent="0.2">
      <c r="A2043" s="5">
        <v>1982</v>
      </c>
      <c r="B2043" s="1832">
        <f>'Cap Outlay Deprec 26'!I16</f>
        <v>2604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44768</v>
      </c>
      <c r="C2053" s="2" t="s">
        <v>569</v>
      </c>
      <c r="D2053" s="2" t="str">
        <f t="shared" si="31"/>
        <v>Error?</v>
      </c>
    </row>
    <row r="2054" spans="1:4" x14ac:dyDescent="0.2">
      <c r="A2054" s="5">
        <v>1993</v>
      </c>
      <c r="B2054" s="1832">
        <f>'Cap Outlay Deprec 26'!K13</f>
        <v>10171</v>
      </c>
      <c r="C2054" s="2" t="s">
        <v>569</v>
      </c>
      <c r="D2054" s="2" t="str">
        <f t="shared" si="31"/>
        <v>Error?</v>
      </c>
    </row>
    <row r="2055" spans="1:4" x14ac:dyDescent="0.2">
      <c r="A2055" s="5">
        <v>1994</v>
      </c>
      <c r="B2055" s="1832">
        <f>'Cap Outlay Deprec 26'!K16</f>
        <v>54939</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1226</v>
      </c>
      <c r="C2059" s="2" t="s">
        <v>569</v>
      </c>
      <c r="D2059" s="2" t="str">
        <f t="shared" si="31"/>
        <v>Error?</v>
      </c>
    </row>
    <row r="2060" spans="1:4" x14ac:dyDescent="0.2">
      <c r="A2060" s="5">
        <v>1999</v>
      </c>
      <c r="B2060" s="1832">
        <f>'Cap Outlay Deprec 26'!L13</f>
        <v>305</v>
      </c>
      <c r="C2060" s="2" t="s">
        <v>569</v>
      </c>
      <c r="D2060" s="2" t="str">
        <f t="shared" si="31"/>
        <v>Error?</v>
      </c>
    </row>
    <row r="2061" spans="1:4" x14ac:dyDescent="0.2">
      <c r="A2061" s="5">
        <v>2000</v>
      </c>
      <c r="B2061" s="1832">
        <f>'Cap Outlay Deprec 26'!L16</f>
        <v>1531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10076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115677</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603749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58135</v>
      </c>
      <c r="C2553" s="2" t="s">
        <v>569</v>
      </c>
      <c r="D2553" s="2" t="str">
        <f t="shared" si="38"/>
        <v>Error?</v>
      </c>
    </row>
    <row r="2554" spans="1:4" x14ac:dyDescent="0.2">
      <c r="A2554" s="5">
        <v>2493</v>
      </c>
      <c r="B2554" s="1832">
        <f>'Acct Summary 7-8'!C7</f>
        <v>22227</v>
      </c>
      <c r="C2554" s="2" t="s">
        <v>569</v>
      </c>
      <c r="D2554" s="2" t="str">
        <f t="shared" si="38"/>
        <v>Error?</v>
      </c>
    </row>
    <row r="2555" spans="1:4" x14ac:dyDescent="0.2">
      <c r="A2555" s="5">
        <v>2494</v>
      </c>
      <c r="B2555" s="1832">
        <f>'Acct Summary 7-8'!C8</f>
        <v>684111</v>
      </c>
      <c r="C2555" s="2" t="s">
        <v>569</v>
      </c>
      <c r="D2555" s="2" t="str">
        <f t="shared" si="38"/>
        <v>Error?</v>
      </c>
    </row>
    <row r="2556" spans="1:4" x14ac:dyDescent="0.2">
      <c r="A2556" s="5">
        <v>2495</v>
      </c>
      <c r="B2556" s="1832">
        <f>'Acct Summary 7-8'!C12</f>
        <v>455728</v>
      </c>
      <c r="C2556" s="2" t="s">
        <v>569</v>
      </c>
      <c r="D2556" s="2" t="str">
        <f t="shared" si="38"/>
        <v>Error?</v>
      </c>
    </row>
    <row r="2557" spans="1:4" x14ac:dyDescent="0.2">
      <c r="A2557" s="5">
        <v>2496</v>
      </c>
      <c r="B2557" s="1832">
        <f>'Acct Summary 7-8'!C13</f>
        <v>253439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10076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719243</v>
      </c>
      <c r="C2561" s="2" t="s">
        <v>569</v>
      </c>
      <c r="D2561" s="2" t="str">
        <f t="shared" si="39"/>
        <v>Error?</v>
      </c>
    </row>
    <row r="2562" spans="1:4" x14ac:dyDescent="0.2">
      <c r="A2562" s="5">
        <v>2501</v>
      </c>
      <c r="B2562" s="1832">
        <f>'Acct Summary 7-8'!C20</f>
        <v>-35132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10076</v>
      </c>
      <c r="C2789" s="2" t="s">
        <v>569</v>
      </c>
      <c r="D2789" s="2" t="str">
        <f t="shared" si="42"/>
        <v>Error?</v>
      </c>
    </row>
    <row r="2790" spans="1:4" x14ac:dyDescent="0.2">
      <c r="A2790" s="5">
        <v>2729</v>
      </c>
      <c r="B2790" s="1832">
        <f>'Expenditures 15-22'!E102</f>
        <v>10076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10076</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10076</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-35132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335958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100942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13479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5229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120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455728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684111</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719243</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115677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7788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14439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594686</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594686</v>
      </c>
      <c r="C5087" s="2" t="s">
        <v>569</v>
      </c>
      <c r="D5087" s="2" t="str">
        <f t="shared" si="78"/>
        <v>Error?</v>
      </c>
    </row>
    <row r="5088" spans="1:4" x14ac:dyDescent="0.2">
      <c r="A5088" s="5">
        <v>5027</v>
      </c>
      <c r="B5088" s="1832">
        <f>'Revenues 9-14'!C65</f>
        <v>226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7331</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1506</v>
      </c>
      <c r="D5119" s="2" t="str">
        <f t="shared" ref="D5119:D5182" si="79">IF(ISBLANK(B5119),"OK",IF(A5119-B5119=0,"OK","Error?"))</f>
        <v>Error?</v>
      </c>
    </row>
    <row r="5120" spans="1:4" x14ac:dyDescent="0.2">
      <c r="A5120" s="5">
        <v>5059</v>
      </c>
      <c r="B5120" s="1832">
        <f>'Revenues 9-14'!C108</f>
        <v>8837</v>
      </c>
      <c r="C5120" s="2" t="s">
        <v>569</v>
      </c>
      <c r="D5120" s="2" t="str">
        <f t="shared" si="79"/>
        <v>Error?</v>
      </c>
    </row>
    <row r="5121" spans="1:4" x14ac:dyDescent="0.2">
      <c r="A5121" s="5">
        <v>5060</v>
      </c>
      <c r="B5121" s="1832">
        <f>'Revenues 9-14'!C109</f>
        <v>603749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58135</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58135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58135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58135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22227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22227</v>
      </c>
      <c r="C5326" s="2" t="s">
        <v>569</v>
      </c>
      <c r="D5326" s="2" t="str">
        <f t="shared" si="82"/>
        <v>Error?</v>
      </c>
    </row>
    <row r="5327" spans="1:5" x14ac:dyDescent="0.2">
      <c r="A5327" s="5">
        <v>5266</v>
      </c>
      <c r="B5327" s="1832">
        <f>'Revenues 9-14'!C268</f>
        <v>684111</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-35132</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-0.30370773792543027</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9879</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9879</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2604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719243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10076</v>
      </c>
      <c r="D7834" s="2" t="str">
        <f t="shared" si="129"/>
        <v>Error?</v>
      </c>
      <c r="E7834" s="4" t="s">
        <v>1998</v>
      </c>
    </row>
    <row r="7835" spans="1:5" x14ac:dyDescent="0.2">
      <c r="A7835">
        <v>7774</v>
      </c>
      <c r="B7835" s="1832">
        <f>'PCTC-OEPP 27-28'!F78</f>
        <v>709167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7331</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58135</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7788</v>
      </c>
      <c r="D7874" s="2" t="str">
        <f t="shared" si="129"/>
        <v>Error?</v>
      </c>
      <c r="E7874" s="4" t="s">
        <v>1998</v>
      </c>
    </row>
    <row r="7875" spans="1:5" x14ac:dyDescent="0.2">
      <c r="A7875">
        <v>7814</v>
      </c>
      <c r="B7875" s="1832">
        <f>'PCTC-OEPP 27-28'!F170</f>
        <v>14439</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87693</v>
      </c>
      <c r="D7877" s="2" t="str">
        <f t="shared" si="129"/>
        <v>Error?</v>
      </c>
      <c r="E7877" s="4" t="s">
        <v>1998</v>
      </c>
    </row>
    <row r="7878" spans="1:5" x14ac:dyDescent="0.2">
      <c r="A7878">
        <v>7817</v>
      </c>
      <c r="B7878" s="1832">
        <f>'PCTC-OEPP 27-28'!F176</f>
        <v>621474</v>
      </c>
      <c r="D7878" s="2" t="str">
        <f t="shared" si="129"/>
        <v>Error?</v>
      </c>
      <c r="E7878" s="4" t="s">
        <v>1998</v>
      </c>
    </row>
    <row r="7879" spans="1:5" x14ac:dyDescent="0.2">
      <c r="A7879">
        <v>7818</v>
      </c>
      <c r="B7879" s="1832">
        <f>'PCTC-OEPP 27-28'!F178</f>
        <v>624078</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Behavior Disorder Program</v>
      </c>
      <c r="B7" s="2517"/>
      <c r="C7" s="2517"/>
      <c r="D7" s="2555"/>
      <c r="E7" s="2556">
        <f>COVER!A13</f>
        <v>28006000000</v>
      </c>
      <c r="F7" s="2557"/>
      <c r="G7" s="2523" t="str">
        <f>COVER!T23</f>
        <v>066-004501</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HOPKINS &amp; ASSOCIATES, CPAS</v>
      </c>
      <c r="H9" s="2530"/>
      <c r="I9" s="2530"/>
      <c r="J9" s="2530"/>
      <c r="K9" s="2530"/>
      <c r="L9" s="2531"/>
    </row>
    <row r="10" spans="1:29" ht="13.5" customHeight="1" x14ac:dyDescent="0.2">
      <c r="A10" s="2513" t="str">
        <f>COVER!A38</f>
        <v>EGAN HICKS</v>
      </c>
      <c r="B10" s="2514"/>
      <c r="C10" s="2514"/>
      <c r="D10" s="2514"/>
      <c r="E10" s="2514"/>
      <c r="F10" s="2515"/>
      <c r="G10" s="2529" t="str">
        <f>COVER!T17</f>
        <v>314 S MCCOY STREET</v>
      </c>
      <c r="H10" s="2542"/>
      <c r="I10" s="2542"/>
      <c r="J10" s="2542"/>
      <c r="K10" s="2542"/>
      <c r="L10" s="2543"/>
    </row>
    <row r="11" spans="1:29" ht="13.5" customHeight="1" x14ac:dyDescent="0.2">
      <c r="A11" s="963" t="s">
        <v>1502</v>
      </c>
      <c r="B11" s="964"/>
      <c r="C11" s="965"/>
      <c r="D11" s="970"/>
      <c r="E11" s="965"/>
      <c r="F11" s="969"/>
      <c r="G11" s="2529" t="str">
        <f>COVER!T19</f>
        <v>GRANVILLE</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JOEL@HOPKINSOFFICE.COM</v>
      </c>
      <c r="J13" s="2551"/>
      <c r="K13" s="2551"/>
      <c r="L13" s="2552"/>
    </row>
    <row r="14" spans="1:29" ht="13.5" customHeight="1" x14ac:dyDescent="0.2">
      <c r="A14" s="2529" t="str">
        <f>COVER!A19</f>
        <v>400 N GALENA STREET PO BOX 267</v>
      </c>
      <c r="B14" s="2542"/>
      <c r="C14" s="2542"/>
      <c r="D14" s="2542"/>
      <c r="E14" s="2542"/>
      <c r="F14" s="2543"/>
      <c r="G14" s="974" t="s">
        <v>1175</v>
      </c>
      <c r="H14" s="972"/>
      <c r="I14" s="972"/>
      <c r="J14" s="972"/>
      <c r="K14" s="972"/>
      <c r="L14" s="973"/>
    </row>
    <row r="15" spans="1:29" ht="13.5" customHeight="1" x14ac:dyDescent="0.2">
      <c r="A15" s="2529" t="str">
        <f>COVER!A21</f>
        <v>TISKILWA</v>
      </c>
      <c r="B15" s="2542"/>
      <c r="C15" s="2542"/>
      <c r="D15" s="2542"/>
      <c r="E15" s="2542"/>
      <c r="F15" s="2543"/>
      <c r="G15" s="2539" t="str">
        <f>COVER!T15</f>
        <v>JOEL HOPKINS</v>
      </c>
      <c r="H15" s="2540"/>
      <c r="I15" s="2540"/>
      <c r="J15" s="2540"/>
      <c r="K15" s="2540"/>
      <c r="L15" s="2541"/>
    </row>
    <row r="16" spans="1:29" ht="12.2" customHeight="1" x14ac:dyDescent="0.2">
      <c r="A16" s="2519">
        <f>COVER!A25</f>
        <v>61368</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815-339-6630</v>
      </c>
      <c r="H18" s="2517"/>
      <c r="I18" s="2517"/>
      <c r="J18" s="2517"/>
      <c r="K18" s="2516" t="str">
        <f>COVER!X21</f>
        <v>815-339-6643</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Behavior Disorder Program</v>
      </c>
      <c r="B1" s="2559"/>
      <c r="C1" s="2559"/>
      <c r="D1" s="2559"/>
    </row>
    <row r="2" spans="1:11" s="991" customFormat="1" ht="12.75" x14ac:dyDescent="0.2">
      <c r="A2" s="2560">
        <f>'Single Audit Cover'!E7</f>
        <v>28006000000</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Behavior Disorder Program</v>
      </c>
      <c r="B1" s="2563"/>
      <c r="C1" s="2563"/>
      <c r="D1" s="2563"/>
      <c r="E1" s="2563"/>
    </row>
    <row r="2" spans="1:5" x14ac:dyDescent="0.2">
      <c r="A2" s="2564">
        <f>'Single Audit Cover'!E7</f>
        <v>28006000000</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22227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-14439</v>
      </c>
    </row>
    <row r="19" spans="1:4" ht="13.5" thickBot="1" x14ac:dyDescent="0.25">
      <c r="A19" s="1041" t="s">
        <v>1224</v>
      </c>
      <c r="D19" s="1042">
        <f>SUM(D10:D17)</f>
        <v>7788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7788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7788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Behavior Disorder Program</v>
      </c>
      <c r="C1" s="2567"/>
      <c r="D1" s="2567"/>
      <c r="E1" s="2567"/>
      <c r="F1" s="2567"/>
      <c r="G1" s="2567"/>
      <c r="H1" s="2567"/>
      <c r="I1" s="2567"/>
      <c r="J1" s="2567"/>
      <c r="K1" s="2567"/>
      <c r="L1" s="2567"/>
      <c r="M1" s="2567"/>
    </row>
    <row r="2" spans="2:14" ht="15" x14ac:dyDescent="0.2">
      <c r="B2" s="2568">
        <f>'Single Audit Cover'!E7</f>
        <v>28006000000</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Behavior Disorder Program</v>
      </c>
      <c r="B1" s="2572"/>
      <c r="C1" s="2572"/>
      <c r="D1" s="2572"/>
      <c r="E1" s="2572"/>
      <c r="F1" s="2572"/>
    </row>
    <row r="2" spans="1:7" ht="13.5" customHeight="1" x14ac:dyDescent="0.2">
      <c r="A2" s="2568">
        <f>'Single Audit Cover'!E7</f>
        <v>28006000000</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2052</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Behavior Disorder Program</v>
      </c>
      <c r="C1" s="2588"/>
      <c r="D1" s="2588"/>
      <c r="E1" s="2588"/>
      <c r="F1" s="2588"/>
      <c r="G1" s="2588"/>
      <c r="H1" s="2588"/>
      <c r="I1" s="2588"/>
      <c r="J1" s="1178"/>
    </row>
    <row r="2" spans="2:10" s="295" customFormat="1" ht="12.75" customHeight="1" x14ac:dyDescent="0.2">
      <c r="B2" s="2589">
        <f>'Single Audit Cover'!E7</f>
        <v>28006000000</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Behavior Disorder Program</v>
      </c>
      <c r="C1" s="2587"/>
      <c r="D1" s="2587"/>
      <c r="E1" s="2587"/>
      <c r="F1" s="2587"/>
      <c r="G1" s="2587"/>
      <c r="H1" s="2587"/>
      <c r="I1" s="2587"/>
      <c r="J1" s="2587"/>
      <c r="K1" s="2587"/>
      <c r="L1" s="1144"/>
      <c r="M1" s="1144"/>
    </row>
    <row r="2" spans="1:13" ht="12" customHeight="1" x14ac:dyDescent="0.2">
      <c r="B2" s="2589">
        <f>'Single Audit Cover'!E7</f>
        <v>28006000000</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Behavior Disorder Program</v>
      </c>
      <c r="C1" s="2614"/>
      <c r="D1" s="2614"/>
      <c r="E1" s="2614"/>
      <c r="F1" s="2614"/>
      <c r="G1" s="2614"/>
      <c r="H1" s="2614"/>
      <c r="I1" s="2614"/>
      <c r="J1" s="2614"/>
      <c r="K1" s="2614"/>
      <c r="L1" s="1221"/>
    </row>
    <row r="2" spans="1:12" ht="12.75" customHeight="1" x14ac:dyDescent="0.2">
      <c r="B2" s="2615">
        <f>'Single Audit Cover'!E7</f>
        <v>28006000000</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Behavior Disorder Program</v>
      </c>
      <c r="C1" s="2587"/>
      <c r="D1" s="2587"/>
      <c r="E1" s="1240"/>
    </row>
    <row r="2" spans="2:5" s="1058" customFormat="1" ht="12.75" customHeight="1" x14ac:dyDescent="0.2">
      <c r="B2" s="2589">
        <f>'Single Audit Cover'!E7</f>
        <v>28006000000</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684111</v>
      </c>
      <c r="E16" s="1547"/>
      <c r="F16" s="1546">
        <f>SUM('Acct Summary 7-8'!C17,'Acct Summary 7-8'!D17,'Acct Summary 7-8'!F17)</f>
        <v>719243</v>
      </c>
      <c r="G16" s="1547"/>
      <c r="H16" s="1546">
        <f>SUM(D16-F16)</f>
        <v>-35132</v>
      </c>
      <c r="I16" s="1548"/>
      <c r="J16" s="1546">
        <f>SUM('Acct Summary 7-8'!C81,'Acct Summary 7-8'!D81,'Acct Summary 7-8'!F81,'Acct Summary 7-8'!I81)</f>
        <v>115677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Behavior Disorder Program</v>
      </c>
      <c r="E7" s="368"/>
      <c r="G7" s="247"/>
      <c r="H7" s="364"/>
      <c r="I7" s="364"/>
      <c r="J7" s="364"/>
      <c r="K7" s="364"/>
      <c r="L7" s="307"/>
      <c r="M7" s="307"/>
      <c r="N7" s="307"/>
      <c r="O7" s="307"/>
      <c r="P7" s="307"/>
    </row>
    <row r="8" spans="1:18" ht="12.75" x14ac:dyDescent="0.2">
      <c r="A8" s="307"/>
      <c r="B8" s="307"/>
      <c r="C8" s="366" t="s">
        <v>1115</v>
      </c>
      <c r="D8" s="369">
        <f>COVER!A13</f>
        <v>28006000000</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115677</v>
      </c>
      <c r="I12" s="380"/>
      <c r="J12" s="380"/>
      <c r="K12" s="1559">
        <f>TRUNC((H12/H13*100000),5)/100000</f>
        <v>0.16909098079999998</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684111</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719243</v>
      </c>
      <c r="I17" s="380"/>
      <c r="J17" s="389"/>
      <c r="K17" s="1559">
        <f>TRUNC((H17/H18*100000),5)/100000</f>
        <v>1.0513542391999999</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684111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1.3453801999999999</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115677</v>
      </c>
      <c r="I24" s="394"/>
      <c r="J24" s="394"/>
      <c r="K24" s="1555">
        <f>TRUNC(((H24/H25*100000)/100000),2)</f>
        <v>57.89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1997.8972200000001</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c r="D4" s="1573"/>
      <c r="E4" s="1573"/>
      <c r="F4" s="1573"/>
      <c r="G4" s="1573"/>
      <c r="H4" s="1573"/>
      <c r="I4" s="1573"/>
      <c r="J4" s="1574"/>
      <c r="K4" s="1573"/>
      <c r="L4" s="1573"/>
      <c r="M4" s="1575"/>
      <c r="N4" s="1576"/>
    </row>
    <row r="5" spans="1:14" x14ac:dyDescent="0.2">
      <c r="A5" s="427" t="s">
        <v>985</v>
      </c>
      <c r="B5" s="429">
        <v>120</v>
      </c>
      <c r="C5" s="1572">
        <f>30498+83179+2000</f>
        <v>115677</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115677</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56470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56470</v>
      </c>
      <c r="N23" s="1594">
        <f>SUM(N21:N22)</f>
        <v>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115677</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56470</v>
      </c>
      <c r="N40" s="1604"/>
    </row>
    <row r="41" spans="1:14" ht="13.5" customHeight="1" thickBot="1" x14ac:dyDescent="0.25">
      <c r="A41" s="1426" t="s">
        <v>650</v>
      </c>
      <c r="B41" s="1405"/>
      <c r="C41" s="1594">
        <f>(SUM(C34,C37,C38,C39))</f>
        <v>115677</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56470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603749</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58135</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22227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684111</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c r="D9" s="1613"/>
      <c r="E9" s="1586"/>
      <c r="F9" s="1586"/>
      <c r="G9" s="1614"/>
      <c r="H9" s="1586"/>
      <c r="I9" s="1609" t="s">
        <v>1159</v>
      </c>
      <c r="J9" s="1583"/>
      <c r="K9" s="1586"/>
      <c r="L9" s="325"/>
    </row>
    <row r="10" spans="1:13" s="452" customFormat="1" ht="13.5" thickBot="1" x14ac:dyDescent="0.25">
      <c r="A10" s="1426" t="s">
        <v>1163</v>
      </c>
      <c r="B10" s="1407"/>
      <c r="C10" s="1594">
        <f>SUM(C8:C9)</f>
        <v>684111</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455728</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253439</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10076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719243</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719243</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2" t="s">
        <v>1636</v>
      </c>
      <c r="B20" s="2233"/>
      <c r="C20" s="1622">
        <f>C8-C17</f>
        <v>-35132</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-35132</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150809</v>
      </c>
      <c r="D79" s="1630"/>
      <c r="E79" s="1630"/>
      <c r="F79" s="1630"/>
      <c r="G79" s="1630"/>
      <c r="H79" s="1630"/>
      <c r="I79" s="1630"/>
      <c r="J79" s="1630"/>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115677</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-35132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-0.30370773792543027</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594686</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594686</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226</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226</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f>7211+120</f>
        <v>7331</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1506</v>
      </c>
      <c r="D107" s="1573"/>
      <c r="E107" s="1573"/>
      <c r="F107" s="1573"/>
      <c r="G107" s="1573"/>
      <c r="H107" s="1573"/>
      <c r="I107" s="1573"/>
      <c r="J107" s="1574"/>
      <c r="K107" s="1573"/>
    </row>
    <row r="108" spans="1:12" ht="12.75" customHeight="1" thickBot="1" x14ac:dyDescent="0.25">
      <c r="A108" s="1406" t="s">
        <v>484</v>
      </c>
      <c r="B108" s="1408"/>
      <c r="C108" s="1633">
        <f>SUM(C95:C107)</f>
        <v>8837</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603749</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v>58135</v>
      </c>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58135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58135</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58135</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7788</v>
      </c>
      <c r="D263" s="1651"/>
      <c r="E263" s="1575"/>
      <c r="F263" s="1651"/>
      <c r="G263" s="1651"/>
      <c r="H263" s="1575"/>
      <c r="I263" s="1575"/>
      <c r="J263" s="1575"/>
      <c r="K263" s="1575"/>
    </row>
    <row r="264" spans="1:11" ht="12.75" customHeight="1" thickTop="1" thickBot="1" x14ac:dyDescent="0.25">
      <c r="A264" s="427" t="s">
        <v>374</v>
      </c>
      <c r="B264" s="429">
        <v>4992</v>
      </c>
      <c r="C264" s="1650">
        <v>14439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22227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22227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684111</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6" activePane="bottomLeft" state="frozen"/>
      <selection pane="bottomLeft" activeCell="L19" sqref="L1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f>214143+108159+13656</f>
        <v>335958</v>
      </c>
      <c r="D8" s="1573">
        <f>17981+7763+9367+3289+553+57961+4028</f>
        <v>100942</v>
      </c>
      <c r="E8" s="1573">
        <f>12141+1338</f>
        <v>13479</v>
      </c>
      <c r="F8" s="1573">
        <v>5229</v>
      </c>
      <c r="G8" s="1573"/>
      <c r="H8" s="1573">
        <v>120</v>
      </c>
      <c r="I8" s="1574"/>
      <c r="J8" s="1574"/>
      <c r="K8" s="1672">
        <f t="shared" si="0"/>
        <v>455728</v>
      </c>
      <c r="L8" s="1573">
        <v>469716</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v>4400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335958</v>
      </c>
      <c r="D33" s="1674">
        <f t="shared" ref="D33:L33" si="1">SUM(D5:D32)</f>
        <v>100942</v>
      </c>
      <c r="E33" s="1674">
        <f t="shared" si="1"/>
        <v>13479</v>
      </c>
      <c r="F33" s="1674">
        <f t="shared" si="1"/>
        <v>5229</v>
      </c>
      <c r="G33" s="1674">
        <f t="shared" si="1"/>
        <v>0</v>
      </c>
      <c r="H33" s="1674">
        <f t="shared" si="1"/>
        <v>120</v>
      </c>
      <c r="I33" s="1674">
        <f t="shared" si="1"/>
        <v>0</v>
      </c>
      <c r="J33" s="1674">
        <f t="shared" si="1"/>
        <v>0</v>
      </c>
      <c r="K33" s="1674">
        <f t="shared" si="1"/>
        <v>455728</v>
      </c>
      <c r="L33" s="1674">
        <f t="shared" si="1"/>
        <v>474116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v>5200</v>
      </c>
      <c r="F41" s="1573"/>
      <c r="G41" s="1573"/>
      <c r="H41" s="1573"/>
      <c r="I41" s="1574"/>
      <c r="J41" s="1574"/>
      <c r="K41" s="1672">
        <f t="shared" si="2"/>
        <v>5200</v>
      </c>
      <c r="L41" s="1573"/>
    </row>
    <row r="42" spans="1:14" ht="12.75" customHeight="1" thickBot="1" x14ac:dyDescent="0.25">
      <c r="A42" s="1380" t="s">
        <v>556</v>
      </c>
      <c r="B42" s="1381" t="s">
        <v>711</v>
      </c>
      <c r="C42" s="1674">
        <f>SUM(C36:C41)</f>
        <v>0</v>
      </c>
      <c r="D42" s="1674">
        <f t="shared" ref="D42:L42" si="3">SUM(D36:D41)</f>
        <v>0</v>
      </c>
      <c r="E42" s="1674">
        <f t="shared" si="3"/>
        <v>5200</v>
      </c>
      <c r="F42" s="1674">
        <f t="shared" si="3"/>
        <v>0</v>
      </c>
      <c r="G42" s="1674">
        <f t="shared" si="3"/>
        <v>0</v>
      </c>
      <c r="H42" s="1674">
        <f t="shared" si="3"/>
        <v>0</v>
      </c>
      <c r="I42" s="1674">
        <f t="shared" si="3"/>
        <v>0</v>
      </c>
      <c r="J42" s="1674">
        <f t="shared" si="3"/>
        <v>0</v>
      </c>
      <c r="K42" s="1674">
        <f t="shared" si="3"/>
        <v>5200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v>36090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36090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3000</v>
      </c>
      <c r="F49" s="1586"/>
      <c r="G49" s="1586"/>
      <c r="H49" s="1586"/>
      <c r="I49" s="1574"/>
      <c r="J49" s="1574"/>
      <c r="K49" s="1678">
        <f>SUM(C49:J49)</f>
        <v>3000</v>
      </c>
      <c r="L49" s="1586">
        <v>2700</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f>3309+6570</f>
        <v>9879</v>
      </c>
      <c r="F52" s="1579"/>
      <c r="G52" s="1579"/>
      <c r="H52" s="1579"/>
      <c r="I52" s="1579"/>
      <c r="J52" s="1579"/>
      <c r="K52" s="1678">
        <f>SUM(C52:J52)</f>
        <v>9879</v>
      </c>
      <c r="L52" s="1579">
        <v>10498</v>
      </c>
    </row>
    <row r="53" spans="1:14" ht="12.75" customHeight="1" thickBot="1" x14ac:dyDescent="0.25">
      <c r="A53" s="1380" t="s">
        <v>712</v>
      </c>
      <c r="B53" s="1381" t="s">
        <v>33</v>
      </c>
      <c r="C53" s="1674">
        <f>SUM(C49:C52)</f>
        <v>0</v>
      </c>
      <c r="D53" s="1674">
        <f t="shared" ref="D53:L53" si="5">SUM(D49:D52)</f>
        <v>0</v>
      </c>
      <c r="E53" s="1674">
        <f t="shared" si="5"/>
        <v>12879</v>
      </c>
      <c r="F53" s="1674">
        <f t="shared" si="5"/>
        <v>0</v>
      </c>
      <c r="G53" s="1674">
        <f t="shared" si="5"/>
        <v>0</v>
      </c>
      <c r="H53" s="1674">
        <f t="shared" si="5"/>
        <v>0</v>
      </c>
      <c r="I53" s="1674">
        <f t="shared" si="5"/>
        <v>0</v>
      </c>
      <c r="J53" s="1674">
        <f t="shared" si="5"/>
        <v>0</v>
      </c>
      <c r="K53" s="1674">
        <f t="shared" si="5"/>
        <v>12879</v>
      </c>
      <c r="L53" s="1674">
        <f t="shared" si="5"/>
        <v>13198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f>106665+11191</f>
        <v>117856</v>
      </c>
      <c r="D55" s="1586">
        <f>11229+679+856+1534+223+16468+2532</f>
        <v>33521</v>
      </c>
      <c r="E55" s="1586">
        <v>1161</v>
      </c>
      <c r="F55" s="1586"/>
      <c r="G55" s="1586"/>
      <c r="H55" s="1586"/>
      <c r="I55" s="1574"/>
      <c r="J55" s="1574"/>
      <c r="K55" s="1678">
        <f>SUM(C55:J55)</f>
        <v>152538</v>
      </c>
      <c r="L55" s="1586">
        <v>154074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117856</v>
      </c>
      <c r="D57" s="1679">
        <f t="shared" ref="D57:K57" si="6">SUM(D55:D56)</f>
        <v>33521</v>
      </c>
      <c r="E57" s="1679">
        <f t="shared" si="6"/>
        <v>1161</v>
      </c>
      <c r="F57" s="1679">
        <f t="shared" si="6"/>
        <v>0</v>
      </c>
      <c r="G57" s="1679">
        <f t="shared" si="6"/>
        <v>0</v>
      </c>
      <c r="H57" s="1679">
        <f t="shared" si="6"/>
        <v>0</v>
      </c>
      <c r="I57" s="1679">
        <f t="shared" si="6"/>
        <v>0</v>
      </c>
      <c r="J57" s="1679">
        <f t="shared" si="6"/>
        <v>0</v>
      </c>
      <c r="K57" s="1679">
        <f t="shared" si="6"/>
        <v>152538</v>
      </c>
      <c r="L57" s="1674">
        <f>SUM(L55:L56)</f>
        <v>154074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v>30639</v>
      </c>
      <c r="D61" s="1573">
        <f>1853+2340+215+9604</f>
        <v>14012</v>
      </c>
      <c r="E61" s="1573">
        <f>2081+36090</f>
        <v>38171</v>
      </c>
      <c r="F61" s="1573"/>
      <c r="G61" s="1573"/>
      <c r="H61" s="1573"/>
      <c r="I61" s="1574"/>
      <c r="J61" s="1574"/>
      <c r="K61" s="1678">
        <f t="shared" si="7"/>
        <v>82822</v>
      </c>
      <c r="L61" s="1573">
        <v>41753</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30639</v>
      </c>
      <c r="D65" s="1674">
        <f t="shared" ref="D65:L65" si="8">SUM(D59:D64)</f>
        <v>14012</v>
      </c>
      <c r="E65" s="1674">
        <f t="shared" si="8"/>
        <v>38171</v>
      </c>
      <c r="F65" s="1674">
        <f t="shared" si="8"/>
        <v>0</v>
      </c>
      <c r="G65" s="1674">
        <f t="shared" si="8"/>
        <v>0</v>
      </c>
      <c r="H65" s="1674">
        <f t="shared" si="8"/>
        <v>0</v>
      </c>
      <c r="I65" s="1674">
        <f t="shared" si="8"/>
        <v>0</v>
      </c>
      <c r="J65" s="1674">
        <f t="shared" si="8"/>
        <v>0</v>
      </c>
      <c r="K65" s="1674">
        <f t="shared" si="8"/>
        <v>82822</v>
      </c>
      <c r="L65" s="1674">
        <f t="shared" si="8"/>
        <v>41753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148495</v>
      </c>
      <c r="D74" s="1681">
        <f t="shared" ref="D74:K74" si="10">SUM(D42,D47,D53,D57,D65,D72,D73)</f>
        <v>47533</v>
      </c>
      <c r="E74" s="1681">
        <f t="shared" si="10"/>
        <v>57411</v>
      </c>
      <c r="F74" s="1681">
        <f t="shared" si="10"/>
        <v>0</v>
      </c>
      <c r="G74" s="1681">
        <f t="shared" si="10"/>
        <v>0</v>
      </c>
      <c r="H74" s="1681">
        <f t="shared" si="10"/>
        <v>0</v>
      </c>
      <c r="I74" s="1681">
        <f t="shared" si="10"/>
        <v>0</v>
      </c>
      <c r="J74" s="1681">
        <f t="shared" si="10"/>
        <v>0</v>
      </c>
      <c r="K74" s="1681">
        <f t="shared" si="10"/>
        <v>253439</v>
      </c>
      <c r="L74" s="1681">
        <f>SUM(L42,L47,L53,L57,L65,L72,L73)</f>
        <v>245115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10076</v>
      </c>
      <c r="F83" s="1673"/>
      <c r="G83" s="1673"/>
      <c r="H83" s="1573"/>
      <c r="I83" s="1582"/>
      <c r="J83" s="1582"/>
      <c r="K83" s="1672">
        <f t="shared" si="11"/>
        <v>10076</v>
      </c>
      <c r="L83" s="1573">
        <v>15000</v>
      </c>
    </row>
    <row r="84" spans="1:12" ht="13.5" thickBot="1" x14ac:dyDescent="0.25">
      <c r="A84" s="1380" t="s">
        <v>1468</v>
      </c>
      <c r="B84" s="1385">
        <v>4100</v>
      </c>
      <c r="C84" s="1673"/>
      <c r="D84" s="1673"/>
      <c r="E84" s="1674">
        <f>SUM(E78:E83)</f>
        <v>10076</v>
      </c>
      <c r="F84" s="1673"/>
      <c r="G84" s="1673"/>
      <c r="H84" s="1674">
        <f>SUM(H78:H83)</f>
        <v>0</v>
      </c>
      <c r="I84" s="1582"/>
      <c r="J84" s="1582"/>
      <c r="K84" s="1674">
        <f>SUM(K78:K83)</f>
        <v>10076</v>
      </c>
      <c r="L84" s="1674">
        <f>SUM(L78:L83)</f>
        <v>15000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10076</v>
      </c>
      <c r="F102" s="1673"/>
      <c r="G102" s="1673"/>
      <c r="H102" s="1681">
        <f>SUM(H84,H92,H100,H101)</f>
        <v>0</v>
      </c>
      <c r="I102" s="1582"/>
      <c r="J102" s="1582"/>
      <c r="K102" s="1681">
        <f>SUM(K84,K92,K100,K101)</f>
        <v>10076</v>
      </c>
      <c r="L102" s="1681">
        <f>SUM(L84,L92,L100,L101)</f>
        <v>15000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484453</v>
      </c>
      <c r="D114" s="1674">
        <f t="shared" ref="D114:K114" si="13">SUM(D33,D74,D75,D102,D112,D113)</f>
        <v>148475</v>
      </c>
      <c r="E114" s="1674">
        <f t="shared" si="13"/>
        <v>80966</v>
      </c>
      <c r="F114" s="1674">
        <f t="shared" si="13"/>
        <v>5229</v>
      </c>
      <c r="G114" s="1674">
        <f t="shared" si="13"/>
        <v>0</v>
      </c>
      <c r="H114" s="1674">
        <f>SUM(H33,H74,H75,H102,H112,H113)</f>
        <v>120</v>
      </c>
      <c r="I114" s="1674">
        <f t="shared" si="13"/>
        <v>0</v>
      </c>
      <c r="J114" s="1674">
        <f t="shared" si="13"/>
        <v>0</v>
      </c>
      <c r="K114" s="1674">
        <f t="shared" si="13"/>
        <v>719243</v>
      </c>
      <c r="L114" s="1674">
        <f>SUM(L33,L74,L75,L102,L112,L113)</f>
        <v>734231</v>
      </c>
    </row>
    <row r="115" spans="1:14" ht="13.5" thickTop="1" x14ac:dyDescent="0.2">
      <c r="A115" s="2262" t="s">
        <v>989</v>
      </c>
      <c r="B115" s="2263"/>
      <c r="C115" s="1675"/>
      <c r="D115" s="1675"/>
      <c r="E115" s="1675"/>
      <c r="F115" s="1675"/>
      <c r="G115" s="1675"/>
      <c r="H115" s="1675"/>
      <c r="I115" s="1675"/>
      <c r="J115" s="1675"/>
      <c r="K115" s="1689">
        <f>'Revenues 9-14'!C268-'Expenditures 15-22'!K114</f>
        <v>-35132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2" t="s">
        <v>989</v>
      </c>
      <c r="B175" s="226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2" t="s">
        <v>989</v>
      </c>
      <c r="B211" s="2263"/>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2" t="s">
        <v>989</v>
      </c>
      <c r="B296" s="2263"/>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 ds:uri="http://www.w3.org/XML/1998/namespace"/>
    <ds:schemaRef ds:uri="http://purl.org/dc/terms/"/>
    <ds:schemaRef ds:uri="http://schemas.microsoft.com/office/2006/metadata/properties"/>
    <ds:schemaRef ds:uri="http://schemas.microsoft.com/sharepoint/v3"/>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2020-09-30T19:54:27Z</cp:lastPrinted>
  <dcterms:created xsi:type="dcterms:W3CDTF">2003-10-29T19:06:34Z</dcterms:created>
  <dcterms:modified xsi:type="dcterms:W3CDTF">2020-10-15T18:48:28Z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