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54454FAB-B522-4AEB-A4F4-A874BA7341A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80" i="34"/>
  <c r="F76" i="34"/>
  <c r="F75" i="34"/>
  <c r="C39" i="145" l="1"/>
  <c r="C33" i="145"/>
  <c r="K18" i="145" l="1"/>
  <c r="K17" i="145"/>
  <c r="K16" i="145"/>
  <c r="K15" i="145"/>
  <c r="K14" i="145"/>
  <c r="K13" i="145"/>
  <c r="K12" i="145"/>
  <c r="J19" i="145"/>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9" i="36" l="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3447" i="106"/>
  <c r="D3447" i="106" s="1"/>
  <c r="L16" i="11" l="1"/>
  <c r="B2061" i="106" s="1"/>
  <c r="D2061" i="106" s="1"/>
  <c r="N23" i="3"/>
  <c r="B284" i="106" s="1"/>
  <c r="D284" i="106" s="1"/>
  <c r="C151" i="29"/>
  <c r="B1226" i="106" s="1"/>
  <c r="D1226"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<sst xmlns="http://schemas.openxmlformats.org/spreadsheetml/2006/main" count="5099" uniqueCount="2052">
  <si>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</si>
  <si>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</si>
  <si>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</si>
  <si>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</si>
  <si>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</si>
  <si>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</si>
  <si>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</si>
  <si>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</si>
  <si>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</si>
  <si>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</si>
  <si>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</si>
  <si>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</si>
  <si>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</si>
  <si>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</si>
  <si>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</si>
  <si>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</si>
  <si>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</si>
  <si>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</si>
  <si>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</si>
  <si>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</si>
  <si>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</si>
  <si>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</si>
  <si>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</si>
  <si>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</si>
  <si>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</si>
  <si>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</si>
  <si>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</si>
  <si>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</si>
  <si>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</si>
  <si>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</si>
  <si>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</si>
  <si>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</si>
  <si>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</si>
  <si>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</si>
  <si>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</si>
  <si>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</si>
  <si>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</si>
  <si>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</si>
  <si>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</si>
  <si>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</si>
  <si>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</si>
  <si>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</si>
  <si>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</si>
  <si>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</si>
  <si>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</si>
  <si>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</si>
  <si>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</si>
  <si>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</si>
  <si>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</si>
  <si>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</si>
  <si>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</si>
  <si>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</si>
  <si>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</si>
  <si>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</si>
  <si>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</si>
  <si>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</si>
  <si>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</si>
  <si>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</si>
  <si>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</si>
  <si>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</si>
  <si>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</si>
  <si>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</si>
  <si>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</si>
  <si>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</si>
  <si>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</si>
  <si>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</si>
  <si>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</si>
  <si>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</si>
  <si>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</si>
  <si>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</si>
  <si>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</si>
  <si>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</si>
  <si>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</si>
  <si>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</si>
  <si>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</si>
  <si>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</si>
  <si>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</si>
  <si>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</si>
  <si>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</si>
  <si>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</si>
  <si>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</si>
  <si>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</si>
  <si>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</si>
  <si>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</si>
  <si>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</si>
  <si>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</si>
  <si>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</si>
  <si>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</si>
  <si>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</si>
  <si>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</si>
  <si>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</si>
  <si>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</si>
  <si>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</si>
  <si>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</si>
  <si>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</si>
  <si>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</si>
  <si>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</si>
  <si>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</si>
  <si>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</si>
  <si>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</si>
  <si>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</si>
  <si>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</si>
  <si>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</si>
  <si>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</si>
  <si>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</si>
  <si>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</si>
  <si>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</si>
  <si>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</si>
  <si>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</si>
  <si>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</si>
  <si>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</si>
  <si>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</si>
  <si>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</si>
  <si>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</si>
  <si>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</si>
  <si>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</si>
  <si>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</si>
  <si>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</si>
  <si>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</si>
  <si>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</si>
  <si>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</si>
  <si>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</si>
  <si>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</si>
  <si>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</si>
  <si>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</si>
  <si>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</si>
  <si>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</si>
  <si>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</si>
  <si>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</si>
  <si>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</si>
  <si>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</si>
  <si>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</si>
  <si>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</si>
  <si>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</si>
  <si>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</si>
  <si>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</si>
  <si>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</si>
  <si>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</si>
  <si>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</si>
  <si>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</si>
  <si>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</si>
  <si>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</si>
  <si>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</si>
  <si>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</si>
  <si>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</si>
  <si>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</si>
  <si>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</si>
  <si>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</si>
  <si>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</si>
  <si>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</si>
  <si>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</si>
  <si>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</si>
  <si>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</si>
  <si>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</si>
  <si>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</si>
  <si>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</si>
  <si>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</si>
  <si>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</si>
  <si>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</si>
  <si>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</si>
  <si>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</si>
  <si>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</si>
  <si>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</si>
  <si>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</si>
  <si>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</si>
  <si>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</si>
  <si>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</si>
  <si>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</si>
  <si>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</si>
  <si>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</si>
  <si>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</si>
  <si>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</si>
  <si>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</si>
  <si>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</si>
  <si>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</si>
  <si>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</si>
  <si>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</si>
  <si>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</si>
  <si>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</si>
  <si>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</si>
  <si>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</si>
  <si>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</si>
  <si>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</si>
  <si>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</si>
  <si>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</si>
  <si>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</si>
  <si>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</si>
  <si>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</si>
  <si>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</si>
  <si>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</si>
  <si>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</si>
  <si>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</si>
  <si>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</si>
  <si>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</si>
  <si>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</si>
  <si>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</si>
  <si>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</si>
  <si>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</si>
  <si>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</si>
  <si>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</si>
  <si>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</si>
  <si>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</si>
  <si>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</si>
  <si>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</si>
  <si>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</si>
  <si>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</si>
  <si>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</si>
  <si>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</si>
  <si>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</si>
  <si>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</si>
  <si>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</si>
  <si>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</si>
  <si>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</si>
  <si>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</si>
  <si>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</si>
  <si>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</si>
  <si>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</si>
  <si>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</si>
  <si>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</si>
  <si>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</si>
  <si>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</si>
  <si>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</si>
  <si>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</si>
  <si>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</si>
  <si>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</si>
  <si>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</si>
  <si>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</si>
  <si>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</si>
  <si>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</si>
  <si>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</si>
  <si>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</si>
  <si>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</si>
  <si>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</si>
  <si>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</si>
  <si>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</si>
  <si>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</si>
  <si>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</si>
  <si>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</si>
  <si>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</si>
  <si>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</si>
  <si>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</si>
  <si>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</si>
  <si>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</si>
  <si>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</si>
  <si>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</si>
  <si>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</si>
  <si>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</si>
  <si>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</si>
  <si>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</si>
  <si>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</si>
  <si>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</si>
  <si>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</si>
  <si>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</si>
  <si>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</si>
  <si>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</si>
  <si>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</si>
  <si>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</si>
  <si>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</si>
  <si>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</si>
  <si>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</si>
  <si>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</si>
  <si>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</si>
  <si>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</si>
  <si>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</si>
  <si>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</si>
  <si>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</si>
  <si>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</si>
  <si>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</si>
  <si>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</si>
  <si>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</si>
  <si>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</si>
  <si>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</si>
  <si>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</si>
  <si>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</si>
  <si>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</si>
  <si>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</si>
  <si>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</si>
  <si>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</si>
  <si>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</si>
  <si>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</si>
  <si>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</si>
  <si>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</si>
  <si>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</si>
  <si>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</si>
  <si>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</si>
  <si>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</si>
  <si>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</si>
  <si>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</si>
  <si>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</si>
  <si>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</si>
  <si>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</si>
  <si>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</si>
  <si>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</si>
  <si>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</si>
  <si>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</si>
  <si>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</si>
  <si>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</si>
  <si>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</si>
  <si>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</si>
  <si>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</si>
  <si>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</si>
  <si>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</si>
  <si>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</si>
  <si>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</si>
  <si>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</si>
  <si>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</si>
  <si>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</si>
  <si>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</si>
  <si>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</si>
  <si>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</si>
  <si>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</si>
  <si>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</si>
  <si>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</si>
  <si>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</si>
  <si>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</si>
  <si>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</si>
  <si>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</si>
  <si>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</si>
  <si>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</si>
  <si>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</si>
  <si>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</si>
  <si>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</si>
  <si>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</si>
  <si>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</si>
  <si>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</si>
  <si>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</si>
  <si>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</si>
  <si>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</si>
  <si>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</si>
  <si>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</si>
  <si>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</si>
  <si>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</si>
  <si>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</si>
  <si>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</si>
  <si>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</si>
  <si>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</si>
  <si>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</si>
  <si>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</si>
  <si>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</si>
  <si>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</si>
  <si>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</si>
  <si>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</si>
  <si>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</si>
  <si>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</si>
  <si>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</si>
  <si>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</si>
  <si>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</si>
  <si>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</si>
  <si>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</si>
  <si>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</si>
  <si>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</si>
  <si>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</si>
  <si>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</si>
  <si>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</si>
  <si>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</si>
  <si>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</si>
  <si>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</si>
  <si>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</si>
  <si>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</si>
  <si>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</si>
  <si>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</si>
  <si>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</si>
  <si>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</si>
  <si>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</si>
  <si>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</si>
  <si>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</si>
  <si>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</si>
  <si>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</si>
  <si>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</si>
  <si>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</si>
  <si>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</si>
  <si>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</si>
  <si>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</si>
  <si>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</si>
  <si>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</si>
  <si>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</si>
  <si>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</si>
  <si>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</si>
  <si>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</si>
  <si>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</si>
  <si>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</si>
  <si>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</si>
  <si>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</si>
  <si>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</si>
  <si>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</si>
  <si>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</si>
  <si>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</si>
  <si>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</si>
  <si>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</si>
  <si>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</si>
  <si>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</si>
  <si>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</si>
  <si>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</si>
  <si>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</si>
  <si>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</si>
  <si>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</si>
  <si>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</si>
  <si>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</si>
  <si>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</si>
  <si>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</si>
  <si>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</si>
  <si>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</si>
  <si>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</si>
  <si>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</si>
  <si>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</si>
  <si>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</si>
  <si>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</si>
  <si>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</si>
  <si>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</si>
  <si>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</si>
  <si>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</si>
  <si>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</si>
  <si>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</si>
  <si>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</si>
  <si>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</si>
  <si>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</si>
  <si>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</si>
  <si>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</si>
  <si>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</si>
  <si>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</si>
  <si>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</si>
  <si>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</si>
  <si>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</si>
  <si>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</si>
  <si>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</si>
  <si>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</si>
  <si>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</si>
  <si>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</si>
  <si>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</si>
  <si>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</si>
  <si>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</si>
  <si>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</si>
  <si>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</si>
  <si>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</si>
  <si>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</si>
  <si>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</si>
  <si>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</si>
  <si>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</si>
  <si>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</si>
  <si>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</si>
  <si>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</si>
  <si>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</si>
  <si>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</si>
  <si>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</si>
  <si>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</si>
  <si>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</si>
  <si>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</si>
  <si>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</si>
  <si>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</si>
  <si>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</si>
  <si>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</si>
  <si>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</si>
  <si>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</si>
  <si>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</si>
  <si>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</si>
  <si>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</si>
  <si>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</si>
  <si>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</si>
  <si>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</si>
  <si>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</si>
  <si>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</si>
  <si>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</si>
  <si>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</si>
  <si>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</si>
  <si>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</si>
  <si>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</si>
  <si>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</si>
  <si>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</si>
  <si>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</si>
  <si>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</si>
  <si>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</si>
  <si>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</si>
  <si>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</si>
  <si>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</si>
  <si>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</si>
  <si>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</si>
  <si>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</si>
  <si>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</si>
  <si>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</si>
  <si>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</si>
  <si>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</si>
  <si>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</si>
  <si>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</si>
  <si>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</si>
  <si>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</si>
  <si>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</si>
  <si>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</si>
  <si>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</si>
  <si>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</si>
  <si>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</si>
  <si>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</si>
  <si>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</si>
  <si>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</si>
  <si>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</si>
  <si>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</si>
  <si>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</si>
  <si>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</si>
  <si>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</si>
  <si>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</si>
  <si>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</si>
  <si>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</si>
  <si>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</si>
  <si>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</si>
  <si>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</si>
  <si>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</si>
  <si>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</si>
  <si>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</si>
  <si>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</si>
  <si>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</si>
  <si>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</si>
  <si>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</si>
  <si>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</si>
  <si>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</si>
  <si>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</si>
  <si>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</si>
  <si>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</si>
  <si>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</si>
  <si>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</si>
  <si>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</si>
  <si>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</si>
  <si>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</si>
  <si>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</si>
  <si>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</si>
  <si>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</si>
  <si>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</si>
  <si>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</si>
  <si>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</si>
  <si>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</si>
  <si>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</si>
  <si>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</si>
  <si>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</si>
  <si>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</si>
  <si>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</si>
  <si>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</si>
  <si>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</si>
  <si>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</si>
  <si>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</si>
  <si>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</si>
  <si>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</si>
  <si>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</si>
  <si>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</si>
  <si>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</si>
  <si>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</si>
  <si>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</si>
  <si>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</si>
  <si>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</si>
  <si>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</si>
  <si>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</si>
  <si>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</si>
  <si>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</si>
  <si>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</si>
  <si>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</si>
  <si>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</si>
  <si>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</si>
  <si>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</si>
  <si>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</si>
  <si>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</si>
  <si>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</si>
  <si>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</si>
  <si>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</si>
  <si>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</si>
  <si>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</si>
  <si>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</si>
  <si>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</si>
  <si>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</si>
  <si>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</si>
  <si>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</si>
  <si>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</si>
  <si>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</si>
  <si>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</si>
  <si>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</si>
  <si>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</si>
  <si>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</si>
  <si>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</si>
  <si>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</si>
  <si>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</si>
  <si>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</si>
  <si>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</si>
  <si>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</si>
  <si>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</si>
  <si>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</si>
  <si>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</si>
  <si>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</si>
  <si>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</si>
  <si>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</si>
  <si>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</si>
  <si>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</si>
  <si>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</si>
  <si>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</si>
  <si>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</si>
  <si>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</si>
  <si>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</si>
  <si>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</si>
  <si>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</si>
  <si>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</si>
  <si>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</si>
  <si>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</si>
  <si>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</si>
  <si>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</si>
  <si>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</si>
  <si>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</si>
  <si>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</si>
  <si>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</si>
  <si>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</si>
  <si>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</si>
  <si>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</si>
  <si>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</si>
  <si>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</si>
  <si>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</si>
  <si>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</si>
  <si>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</si>
  <si>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</si>
  <si>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</si>
  <si>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</si>
  <si>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</si>
  <si>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</si>
  <si>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</si>
  <si>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</si>
  <si>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</si>
  <si>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</si>
  <si>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</si>
  <si>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</si>
  <si>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</si>
  <si>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</si>
  <si>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</si>
  <si>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</si>
  <si>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</si>
  <si>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</si>
  <si>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</si>
  <si>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</si>
  <si>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</si>
  <si>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</si>
  <si>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</si>
  <si>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</si>
  <si>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</si>
  <si>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</si>
  <si>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</si>
  <si>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</si>
  <si>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</si>
  <si>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</si>
  <si>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</si>
  <si>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</si>
  <si>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</si>
  <si>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</si>
  <si>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</si>
  <si>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</si>
  <si>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</si>
  <si>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</si>
  <si>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</si>
  <si>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</si>
  <si>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</si>
  <si>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</si>
  <si>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</si>
  <si>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</si>
  <si>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</si>
  <si>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</si>
  <si>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</si>
  <si>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</si>
  <si>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</si>
  <si>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</si>
  <si>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</si>
  <si>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</si>
  <si>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</si>
  <si>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</si>
  <si>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</si>
  <si>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</si>
  <si>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</si>
  <si>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</si>
  <si>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</si>
  <si>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</si>
  <si>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</si>
  <si>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</si>
  <si>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</si>
  <si>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</si>
  <si>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</si>
  <si>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</si>
  <si>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</si>
  <si>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</si>
  <si>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</si>
  <si>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</si>
  <si>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</si>
  <si>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</si>
  <si>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</si>
  <si>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</si>
  <si>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</si>
  <si>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</si>
  <si>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</si>
  <si>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</si>
  <si>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</si>
  <si>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</si>
  <si>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</si>
  <si>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</si>
  <si>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</si>
  <si>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</si>
  <si>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</si>
  <si>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</si>
  <si>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</si>
  <si>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</si>
  <si>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</si>
  <si>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</si>
  <si>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</si>
  <si>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</si>
  <si>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</si>
  <si>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</si>
  <si>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</si>
  <si>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</si>
  <si>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</si>
  <si>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</si>
  <si>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</si>
  <si>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</si>
  <si>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</si>
  <si>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</si>
  <si>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</si>
  <si>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</si>
  <si>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</si>
  <si>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</si>
  <si>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</si>
  <si>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</si>
  <si>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</si>
  <si>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</si>
  <si>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</si>
  <si>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</si>
  <si>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</si>
  <si>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</si>
  <si>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</si>
  <si>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</si>
  <si>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</si>
  <si>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</si>
  <si>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</si>
  <si>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</si>
  <si>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</si>
  <si>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</si>
  <si>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</si>
  <si>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</si>
  <si>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</si>
  <si>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</si>
  <si>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</si>
  <si>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</si>
  <si>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</si>
  <si>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</si>
  <si>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</si>
  <si>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</si>
  <si>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</si>
  <si>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</si>
  <si>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</si>
  <si>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</si>
  <si>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</si>
  <si>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</si>
  <si>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</si>
  <si>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</si>
  <si>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</si>
  <si>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</si>
  <si>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</si>
  <si>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</si>
  <si>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</si>
  <si>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</si>
  <si>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</si>
  <si>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</si>
  <si>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</si>
  <si>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</si>
  <si>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</si>
  <si>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</si>
  <si>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</si>
  <si>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</si>
  <si>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</si>
  <si>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</si>
  <si>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</si>
  <si>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</si>
  <si>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</si>
  <si>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</si>
  <si>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</si>
  <si>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</si>
  <si>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</si>
  <si>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</si>
  <si>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</si>
  <si>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</si>
  <si>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</si>
  <si>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</si>
  <si>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</si>
  <si>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</si>
  <si>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</si>
  <si>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</si>
  <si>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</si>
  <si>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</si>
  <si>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</si>
  <si>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</si>
  <si>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</si>
  <si>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</si>
  <si>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</si>
  <si>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</si>
  <si>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</si>
  <si>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</si>
  <si>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</si>
  <si>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</si>
  <si>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</si>
  <si>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</si>
  <si>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</si>
  <si>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</si>
  <si>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</si>
  <si>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</si>
  <si>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</si>
  <si>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</si>
  <si>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</si>
  <si>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</si>
  <si>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</si>
  <si>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</si>
  <si>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</si>
  <si>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</si>
  <si>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</si>
  <si>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</si>
  <si>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</si>
  <si>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</si>
  <si>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</si>
  <si>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</si>
  <si>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</si>
  <si>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</si>
  <si>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</si>
  <si>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</si>
  <si>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</si>
  <si>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</si>
  <si>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</si>
  <si>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</si>
  <si>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</si>
  <si>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</si>
  <si>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</si>
  <si>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</si>
  <si>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</si>
  <si>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</si>
  <si>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</si>
  <si>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</si>
  <si>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</si>
  <si>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</si>
  <si>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</si>
  <si>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</si>
  <si>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</si>
  <si>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</si>
  <si>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</si>
  <si>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</si>
  <si>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</si>
  <si>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</si>
  <si>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</si>
  <si>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</si>
  <si>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</si>
  <si>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</si>
  <si>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</si>
  <si>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</si>
  <si>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</si>
  <si>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</si>
  <si>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</si>
  <si>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</si>
  <si>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</si>
  <si>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</si>
  <si>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</si>
  <si>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</si>
  <si>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</si>
  <si>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</si>
  <si>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</si>
  <si>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</si>
  <si>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</si>
  <si>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</si>
  <si>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</si>
  <si>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</si>
  <si>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</si>
  <si>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</si>
  <si>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</si>
  <si>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</si>
  <si>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</si>
  <si>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</si>
  <si>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</si>
  <si>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</si>
  <si>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</si>
  <si>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</si>
  <si>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</si>
  <si>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</si>
  <si>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</si>
  <si>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</si>
  <si>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</si>
  <si>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</si>
  <si>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</si>
  <si>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</si>
  <si>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</si>
  <si>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</si>
  <si>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</si>
  <si>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</si>
  <si>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</si>
  <si>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</si>
  <si>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</si>
  <si>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</si>
  <si>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</si>
  <si>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</si>
  <si>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</si>
  <si>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</si>
  <si>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</si>
  <si>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</si>
  <si>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</si>
  <si>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</si>
  <si>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</si>
  <si>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</si>
  <si>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</si>
  <si>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</si>
  <si>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</si>
  <si>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</si>
  <si>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</si>
  <si>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</si>
  <si>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</si>
  <si>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</si>
  <si>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</si>
  <si>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</si>
  <si>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</si>
  <si>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</si>
  <si>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</si>
  <si>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</si>
  <si>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</si>
  <si>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</si>
  <si>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</si>
  <si>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</si>
  <si>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</si>
  <si>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</si>
  <si>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</si>
  <si>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</si>
  <si>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</si>
  <si>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</si>
  <si>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</si>
  <si>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</si>
  <si>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</si>
  <si>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</si>
  <si>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</si>
  <si>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</si>
  <si>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</si>
  <si>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</si>
  <si>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</si>
  <si>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</si>
  <si>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</si>
  <si>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</si>
  <si>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</si>
  <si>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</si>
  <si>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</si>
  <si>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</si>
  <si>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</si>
  <si>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</si>
  <si>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</si>
  <si>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</si>
  <si>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</si>
  <si>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</si>
  <si>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</si>
  <si>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</si>
  <si>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</si>
  <si>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</si>
  <si>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</si>
  <si>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</si>
  <si>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</si>
  <si>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</si>
  <si>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</si>
  <si>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</si>
  <si>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</si>
  <si>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</si>
  <si>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</si>
  <si>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</si>
  <si>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</si>
  <si>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</si>
  <si>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</si>
  <si>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</si>
  <si>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</si>
  <si>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</si>
  <si>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</si>
  <si>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</si>
  <si>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</si>
  <si>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</si>
  <si>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</si>
  <si>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</si>
  <si>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</si>
  <si>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</si>
  <si>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</si>
  <si>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</si>
  <si>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</si>
  <si>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</si>
  <si>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</si>
  <si>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</si>
  <si>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</si>
  <si>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</si>
  <si>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</si>
  <si>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</si>
  <si>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</si>
  <si>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</si>
  <si>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</si>
  <si>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</si>
  <si>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</si>
  <si>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</si>
  <si>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</si>
  <si>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</si>
  <si>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</si>
  <si>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</si>
  <si>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</si>
  <si>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</si>
  <si>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</si>
  <si>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</si>
  <si>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</si>
  <si>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</si>
  <si>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</si>
  <si>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</si>
  <si>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</si>
  <si>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</si>
  <si>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</si>
  <si>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</si>
  <si>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</si>
  <si>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</si>
  <si>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</si>
  <si>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</si>
  <si>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</si>
  <si>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</si>
  <si>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</si>
  <si>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</si>
  <si>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</si>
  <si>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</si>
  <si>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</si>
  <si>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</si>
  <si>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</si>
  <si>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</si>
  <si>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</si>
  <si>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</si>
  <si>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</si>
  <si>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</si>
  <si>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</si>
  <si>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</si>
  <si>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</si>
  <si>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</si>
  <si>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</si>
  <si>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</si>
  <si>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</si>
  <si>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</si>
  <si>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</si>
  <si>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</si>
  <si>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</si>
  <si>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</si>
  <si>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</si>
  <si>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</si>
  <si>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</si>
  <si>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</si>
  <si>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</si>
  <si>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</si>
  <si>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</si>
  <si>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</si>
  <si>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</si>
  <si>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</si>
  <si>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</si>
  <si>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</si>
  <si>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</si>
  <si>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</si>
  <si>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</si>
  <si>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</si>
  <si>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</si>
  <si>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</si>
  <si>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</si>
  <si>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</si>
  <si>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</si>
  <si>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</si>
  <si>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</si>
  <si>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</si>
  <si>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</si>
  <si>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</si>
  <si>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</si>
  <si>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</si>
  <si>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</si>
  <si>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</si>
  <si>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</si>
  <si>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</si>
  <si>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</si>
  <si>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</si>
  <si>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</si>
  <si>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</si>
  <si>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</si>
  <si>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</si>
  <si>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</si>
  <si>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</si>
  <si>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</si>
  <si>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</si>
  <si>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</si>
  <si>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</si>
  <si>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</si>
  <si>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</si>
  <si>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</si>
  <si>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</si>
  <si>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</si>
  <si>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</si>
  <si>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</si>
  <si>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</si>
  <si>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</si>
  <si>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</si>
  <si>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</si>
  <si>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</si>
  <si>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</si>
  <si>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</si>
  <si>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</si>
  <si>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</si>
  <si>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</si>
  <si>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</si>
  <si>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</si>
  <si>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</si>
  <si>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</si>
  <si>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</si>
  <si>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</si>
  <si>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</si>
  <si>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</si>
  <si>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</si>
  <si>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</si>
  <si>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</si>
  <si>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</si>
  <si>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</si>
  <si>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</si>
  <si>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</si>
  <si>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</si>
  <si>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</si>
  <si>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</si>
  <si>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</si>
  <si>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</si>
  <si>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</si>
  <si>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</si>
  <si>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</si>
  <si>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</si>
  <si>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</si>
  <si>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</si>
  <si>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</si>
  <si>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</si>
  <si>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</si>
  <si>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</si>
  <si>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</si>
  <si>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</si>
  <si>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</si>
  <si>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</si>
  <si>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</si>
  <si>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</si>
  <si>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</si>
  <si>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</si>
  <si>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</si>
  <si>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</si>
  <si>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</si>
  <si>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</si>
  <si>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</si>
  <si>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</si>
  <si>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</si>
  <si>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</si>
  <si>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</si>
  <si>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</si>
  <si>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</si>
  <si>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</si>
  <si>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</si>
  <si>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</si>
  <si>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</si>
  <si>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</si>
  <si>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</si>
  <si>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</si>
  <si>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</si>
  <si>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</si>
  <si>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</si>
  <si>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</si>
  <si>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</si>
  <si>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</si>
  <si>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</si>
  <si>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</si>
  <si>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</si>
  <si>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</si>
  <si>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</si>
  <si>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</si>
  <si>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</si>
  <si>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</si>
  <si>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</si>
  <si>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</si>
  <si>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</si>
  <si>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</si>
  <si>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</si>
  <si>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</si>
  <si>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</si>
  <si>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</si>
  <si>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</si>
  <si>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</si>
  <si>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</si>
  <si>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</si>
  <si>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</si>
  <si>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</si>
  <si>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</si>
  <si>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</si>
  <si>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</si>
  <si>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</si>
  <si>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</si>
  <si>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</si>
  <si>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</si>
  <si>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</si>
  <si>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</si>
  <si>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</si>
  <si>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</si>
  <si>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</si>
  <si>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</si>
  <si>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</si>
  <si>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</si>
  <si>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</si>
  <si>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</si>
  <si>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</si>
  <si>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</si>
  <si>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</si>
  <si>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</si>
  <si>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</si>
  <si>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</si>
  <si>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</si>
  <si>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</si>
  <si>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</si>
  <si>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</si>
  <si>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</si>
  <si>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</si>
  <si>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</si>
  <si>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</si>
  <si>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</si>
  <si>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</si>
  <si>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</si>
  <si>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</si>
  <si>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</si>
  <si>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</si>
  <si>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</si>
  <si>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</si>
  <si>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</si>
  <si>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</si>
  <si>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</si>
  <si>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</si>
  <si>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</si>
  <si>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</si>
  <si>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</si>
  <si>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</si>
  <si>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</si>
  <si>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</si>
  <si>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</si>
  <si>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</si>
  <si>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</si>
  <si>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</si>
  <si>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</si>
  <si>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</si>
  <si>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</si>
  <si>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</si>
  <si>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</si>
  <si>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</si>
  <si>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</si>
  <si>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</si>
  <si>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</si>
  <si>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</si>
  <si>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</si>
  <si>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</si>
  <si>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</si>
  <si>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</si>
  <si>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</si>
  <si>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</si>
  <si>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</si>
  <si>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</si>
  <si>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</si>
  <si>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</si>
  <si>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</si>
  <si>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</si>
  <si>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</si>
  <si>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</si>
  <si>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</si>
  <si>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</si>
  <si>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</si>
  <si>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</si>
  <si>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</si>
  <si>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</si>
  <si>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</si>
  <si>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</si>
  <si>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</si>
  <si>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</si>
  <si>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</si>
  <si>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</si>
  <si>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</si>
  <si>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</si>
  <si>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</si>
  <si>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</si>
  <si>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</si>
  <si>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</si>
  <si>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</si>
  <si>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</si>
  <si>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</si>
  <si>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</si>
  <si>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</si>
  <si>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</si>
  <si>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</si>
  <si>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</si>
  <si>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</si>
  <si>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</si>
  <si>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</si>
  <si>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</si>
  <si>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</si>
  <si>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</si>
  <si>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</si>
  <si>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</si>
  <si>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</si>
  <si>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</si>
  <si>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</si>
  <si>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</si>
  <si>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</si>
  <si>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</si>
  <si>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</si>
  <si>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</si>
  <si>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</si>
  <si>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</si>
  <si>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</si>
  <si>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</si>
  <si>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</si>
  <si>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</si>
  <si>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</si>
  <si>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</si>
  <si>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</si>
  <si>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</si>
  <si>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</si>
  <si>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</si>
  <si>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</si>
  <si>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</si>
  <si>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</si>
  <si>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</si>
  <si>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</si>
  <si>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</si>
  <si>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</si>
  <si>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</si>
  <si>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</si>
  <si>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</si>
  <si>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</si>
  <si>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</si>
  <si>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</si>
  <si>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</si>
  <si>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</si>
  <si>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</si>
  <si>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</si>
  <si>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</si>
  <si>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</si>
  <si>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</si>
  <si>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</si>
  <si>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</si>
  <si>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</si>
  <si>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</si>
  <si>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</si>
  <si>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</si>
  <si>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</si>
  <si>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</si>
  <si>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</si>
  <si>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</si>
  <si>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</si>
  <si>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</si>
  <si>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</si>
  <si>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</si>
  <si>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</si>
  <si>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</si>
  <si>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</si>
  <si>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</si>
  <si>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</si>
  <si>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</si>
  <si>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</si>
  <si>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</si>
  <si>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</si>
  <si>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</si>
  <si>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</si>
  <si>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</si>
  <si>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</si>
  <si>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</si>
  <si>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</si>
  <si>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</si>
  <si>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</si>
  <si>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</si>
  <si>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</si>
  <si>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</si>
  <si>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</si>
  <si>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</si>
  <si>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</si>
  <si>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</si>
  <si>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</si>
  <si>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</si>
  <si>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</si>
  <si>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</si>
  <si>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</si>
  <si>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</si>
  <si>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</si>
  <si>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</si>
  <si>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</si>
  <si>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</si>
  <si>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</si>
  <si>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</si>
  <si>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</si>
  <si>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</si>
  <si>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</si>
  <si>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</si>
  <si>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</si>
  <si>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</si>
  <si>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</si>
  <si>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</si>
  <si>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</si>
  <si>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</si>
  <si>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</si>
  <si>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</si>
  <si>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</si>
  <si>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</si>
  <si>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</si>
  <si>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</si>
  <si>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</si>
  <si>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</si>
  <si>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</si>
  <si>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</si>
  <si>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</si>
  <si>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</si>
  <si>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</si>
  <si>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</si>
  <si>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</si>
  <si>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</si>
  <si>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</si>
  <si>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</si>
  <si>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</si>
  <si>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</si>
  <si>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</si>
  <si>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</si>
  <si>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</si>
  <si>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</si>
  <si>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</si>
  <si>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</si>
  <si>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</si>
  <si>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</si>
  <si>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</si>
  <si>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</si>
  <si>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</si>
  <si>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</si>
  <si>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</si>
  <si>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</si>
  <si>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</si>
  <si>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</si>
  <si>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</si>
  <si>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</si>
  <si>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</si>
  <si>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</si>
  <si>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</si>
  <si>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</si>
  <si>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</si>
  <si>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</si>
  <si>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</si>
  <si>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</si>
  <si>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</si>
  <si>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</si>
  <si>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</si>
  <si>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</si>
  <si>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</si>
  <si>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</si>
  <si>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</si>
  <si>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</si>
  <si>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</si>
  <si>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</si>
  <si>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</si>
  <si>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</si>
  <si>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</si>
  <si>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</si>
  <si>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</si>
  <si>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</si>
  <si>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</si>
  <si>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</si>
  <si>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</si>
  <si>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</si>
  <si>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</si>
  <si>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</si>
  <si>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</si>
  <si>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</si>
  <si>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</si>
  <si>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</si>
  <si>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</si>
  <si>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</si>
  <si>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</si>
  <si>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</si>
  <si>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</si>
  <si>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</si>
  <si>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</si>
  <si>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</si>
  <si>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</si>
  <si>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</si>
  <si>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</si>
  <si>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</si>
  <si>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</si>
  <si>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</si>
  <si>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</si>
  <si>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</si>
  <si>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</si>
  <si>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</si>
  <si>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</si>
  <si>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</si>
  <si>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</si>
  <si>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</si>
  <si>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</si>
  <si>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</si>
  <si>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</si>
  <si>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</si>
  <si>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</si>
  <si>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</si>
  <si>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</si>
  <si>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</si>
  <si>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</si>
  <si>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</si>
  <si>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</si>
  <si>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</si>
  <si>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</si>
  <si>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</si>
  <si>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</si>
  <si>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</si>
  <si>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</si>
  <si>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</si>
  <si>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</si>
  <si>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</si>
  <si>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</si>
  <si>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</si>
  <si>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</si>
  <si>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</si>
  <si>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</si>
  <si>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</si>
  <si>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</si>
  <si>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</si>
  <si>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</si>
  <si>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</si>
  <si>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</si>
  <si>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</si>
  <si>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</si>
  <si>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</si>
  <si>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</si>
  <si>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</si>
  <si>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</si>
  <si>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</si>
  <si>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</si>
  <si>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</si>
  <si>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</si>
  <si>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</si>
  <si>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</si>
  <si>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</si>
  <si>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</si>
  <si>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</si>
  <si>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</si>
  <si>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</si>
  <si>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</si>
  <si>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</si>
  <si>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</si>
  <si>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</si>
  <si>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</si>
  <si>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</si>
  <si>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</si>
  <si>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</si>
  <si>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</si>
  <si>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</si>
  <si>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</si>
  <si>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</si>
  <si>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</si>
  <si>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</si>
  <si>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</si>
  <si>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</si>
  <si>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</si>
  <si>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</si>
  <si>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</si>
  <si>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</si>
  <si>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</si>
  <si>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</si>
  <si>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</si>
  <si>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</si>
  <si>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</si>
  <si>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</si>
  <si>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</si>
  <si>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</si>
  <si>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</si>
  <si>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</si>
  <si>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</si>
  <si>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</si>
  <si>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</si>
  <si>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</si>
  <si>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</si>
  <si>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</si>
  <si>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</si>
  <si>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</si>
  <si>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</si>
  <si>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</si>
  <si>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</si>
  <si>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</si>
  <si>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</si>
  <si>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</si>
  <si>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</si>
  <si>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</si>
  <si>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</si>
  <si>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</si>
  <si>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</si>
  <si>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</si>
  <si>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</si>
  <si>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</si>
  <si>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</si>
  <si>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</si>
  <si>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</si>
  <si>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</si>
  <si>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</si>
  <si>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</si>
  <si>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</si>
  <si>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</si>
  <si>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</si>
  <si>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</si>
  <si>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</si>
  <si>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</si>
  <si>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</si>
  <si>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</si>
  <si>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</si>
  <si>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</si>
  <si>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</si>
  <si>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</si>
  <si>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</si>
  <si>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</si>
  <si>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</si>
  <si>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</si>
  <si>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</si>
  <si>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</si>
  <si>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</si>
  <si>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</si>
  <si>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</si>
  <si>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</si>
  <si>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</si>
  <si>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</si>
  <si>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</si>
  <si>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</si>
  <si>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</si>
  <si>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</si>
  <si>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</si>
  <si>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</si>
  <si>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</si>
  <si>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</si>
  <si>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</si>
  <si>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</si>
  <si>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</si>
  <si>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</si>
  <si>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</si>
  <si>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</si>
  <si>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</si>
  <si>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</si>
  <si>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</si>
  <si>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</si>
  <si>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</si>
  <si>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</si>
  <si>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</si>
  <si>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</si>
  <si>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</si>
  <si>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</si>
  <si>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</si>
  <si>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</si>
  <si>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</si>
  <si>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</si>
  <si>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</si>
  <si>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</si>
  <si>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</si>
  <si>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</si>
  <si>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</si>
  <si>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</si>
  <si>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</si>
  <si>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</si>
  <si>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</si>
  <si>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</si>
  <si>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</si>
  <si>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</si>
  <si>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</si>
  <si>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</si>
  <si>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</si>
  <si>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</si>
  <si>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</si>
  <si>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</si>
  <si>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</si>
  <si>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</si>
  <si>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</si>
  <si>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</si>
  <si>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</si>
  <si>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</si>
  <si>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</si>
  <si>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</si>
  <si>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</si>
  <si>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</si>
  <si>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</si>
  <si>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</si>
  <si>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</si>
  <si>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</si>
  <si>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</si>
  <si>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</si>
  <si>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</si>
  <si>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</si>
  <si>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</si>
  <si>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</si>
  <si>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</si>
  <si>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</si>
  <si>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</si>
  <si>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</si>
  <si>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</si>
  <si>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</si>
  <si>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</si>
  <si>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</si>
  <si>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</si>
  <si>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</si>
  <si>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</si>
  <si>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</si>
  <si>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</si>
  <si>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</si>
  <si>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</si>
  <si>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</si>
  <si>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</si>
  <si>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</si>
  <si>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</si>
  <si>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</si>
  <si>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</si>
  <si>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</si>
  <si>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</si>
  <si>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</si>
  <si>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</si>
  <si>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</si>
  <si>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</si>
  <si>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</si>
  <si>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</si>
  <si>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</si>
  <si>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</si>
  <si>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</si>
  <si>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</si>
  <si>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</si>
  <si>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</si>
  <si>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</si>
  <si>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</si>
  <si>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</si>
  <si>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</si>
  <si>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</si>
  <si>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</si>
  <si>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</si>
  <si>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</si>
  <si>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</si>
  <si>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</si>
  <si>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</si>
  <si>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</si>
  <si>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</si>
  <si>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</si>
  <si>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</si>
  <si>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</si>
  <si>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</si>
  <si>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</si>
  <si>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</si>
  <si>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</si>
  <si>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</si>
  <si>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</si>
  <si>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</si>
  <si>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</si>
  <si>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</si>
  <si>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</si>
  <si>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</si>
  <si>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</si>
  <si>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</si>
  <si>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</si>
  <si>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</si>
  <si>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</si>
  <si>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</si>
  <si>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</si>
  <si>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</si>
  <si>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</si>
  <si>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</si>
  <si>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</si>
  <si>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</si>
  <si>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</si>
  <si>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</si>
  <si>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</si>
  <si>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</si>
  <si>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</si>
  <si>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</si>
  <si>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</si>
  <si>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</si>
  <si>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</si>
  <si>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</si>
  <si>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</si>
  <si>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</si>
  <si>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</si>
  <si>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</si>
  <si>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</si>
  <si>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</si>
  <si>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</si>
  <si>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</si>
  <si>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</si>
  <si>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</si>
  <si>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</si>
  <si>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</si>
  <si>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</si>
  <si>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</si>
  <si>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</si>
  <si>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</si>
  <si>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</si>
  <si>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</si>
  <si>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</si>
  <si>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</si>
  <si>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</si>
  <si>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</si>
  <si>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</si>
  <si>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</si>
  <si>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</si>
  <si>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</si>
  <si>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</si>
  <si>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</si>
  <si>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</si>
  <si>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</si>
  <si>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</si>
  <si>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</si>
  <si>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</si>
  <si>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</si>
  <si>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</si>
  <si>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</si>
  <si>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</si>
  <si>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</si>
  <si>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</si>
  <si>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</si>
  <si>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</si>
  <si>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</si>
  <si>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</si>
  <si>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</si>
  <si>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</si>
  <si>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</si>
  <si>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</si>
  <si>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</si>
  <si>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</si>
  <si>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</si>
  <si>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</si>
  <si>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</si>
  <si>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</si>
  <si>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</si>
  <si>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</si>
  <si>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</si>
  <si>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</si>
  <si>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</si>
  <si>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</si>
  <si>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</si>
  <si>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</si>
  <si>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</si>
  <si>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</si>
  <si>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</si>
  <si>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</si>
  <si>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</si>
  <si>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</si>
  <si>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</si>
  <si>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</si>
  <si>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</si>
  <si>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</si>
  <si>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</si>
  <si>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</si>
  <si>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</si>
  <si>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</si>
  <si>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</si>
  <si>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</si>
  <si>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</si>
  <si>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</si>
  <si>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</si>
  <si>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</si>
  <si>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</si>
  <si>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</si>
  <si>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</si>
  <si>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</si>
  <si>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</si>
  <si>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</si>
  <si>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</si>
  <si>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</si>
  <si>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</si>
  <si>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</si>
  <si>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</si>
  <si>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</si>
  <si>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</si>
  <si>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</si>
  <si>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</si>
  <si>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</si>
  <si>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</si>
  <si>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</si>
  <si>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</si>
  <si>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</si>
  <si>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</si>
  <si>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</si>
  <si>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</si>
  <si>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</si>
  <si>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</si>
  <si>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</si>
  <si>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</si>
  <si>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</si>
  <si>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</si>
  <si>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</si>
  <si>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</si>
  <si>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</si>
  <si>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</si>
  <si>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</si>
  <si>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</si>
  <si>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</si>
  <si>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</si>
  <si>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</si>
  <si>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</si>
  <si>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</si>
  <si>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</si>
  <si>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</si>
  <si>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</si>
  <si>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</si>
  <si>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</si>
  <si>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</si>
  <si>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</si>
  <si>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</si>
  <si>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</si>
  <si>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</si>
  <si>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</si>
  <si>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</si>
  <si>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</si>
  <si>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</si>
  <si>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</si>
  <si>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</si>
  <si>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</si>
  <si>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</si>
  <si>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</si>
  <si>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</si>
  <si>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</si>
  <si>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</si>
  <si>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</si>
  <si>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</si>
  <si>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</si>
  <si>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</si>
  <si>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</si>
  <si>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</si>
  <si>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</si>
  <si>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</si>
  <si>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</si>
  <si>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</si>
  <si>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</si>
  <si>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</si>
  <si>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</si>
  <si>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</si>
  <si>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</si>
  <si>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</si>
  <si>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</si>
  <si>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</si>
  <si>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</si>
  <si>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</si>
  <si>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</si>
  <si>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</si>
  <si>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</si>
  <si>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</si>
  <si>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</si>
  <si>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</si>
  <si>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</si>
  <si>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</si>
  <si>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</si>
  <si>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</si>
  <si>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</si>
  <si>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</si>
  <si>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</si>
  <si>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</si>
  <si>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</si>
  <si>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</si>
  <si>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</si>
  <si>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</si>
  <si>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</si>
  <si>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</si>
  <si>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</si>
  <si>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</si>
  <si>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</si>
  <si>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</si>
  <si>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</si>
  <si>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</si>
  <si>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</si>
  <si>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</si>
  <si>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</si>
  <si>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</si>
  <si>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</si>
  <si>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</si>
  <si>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</si>
  <si>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</si>
  <si>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</si>
  <si>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</si>
  <si>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</si>
  <si>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</si>
  <si>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</si>
  <si>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</si>
  <si>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</si>
  <si>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</si>
  <si>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</si>
  <si>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</si>
  <si>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</si>
  <si>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</si>
  <si>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</si>
  <si>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</si>
  <si>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</si>
  <si>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</si>
  <si>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</si>
  <si>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</si>
  <si>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</si>
  <si>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</si>
  <si>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</si>
  <si>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</si>
  <si>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</si>
  <si>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</si>
  <si>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</si>
  <si>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</si>
  <si>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</si>
  <si>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</si>
  <si>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</si>
  <si>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</si>
  <si>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</si>
  <si>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</si>
  <si>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</si>
  <si>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</si>
  <si>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</si>
  <si>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</si>
  <si>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</si>
  <si>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</si>
  <si>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</si>
  <si>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</si>
  <si>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</si>
  <si>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</si>
  <si>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</si>
  <si>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</si>
  <si>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</si>
  <si>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</si>
  <si>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</si>
  <si>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</si>
  <si>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</si>
  <si>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</si>
  <si>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</si>
  <si>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</si>
  <si>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</si>
  <si>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</si>
  <si>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</si>
  <si>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</si>
  <si>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</si>
  <si>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</si>
  <si>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</si>
  <si>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</si>
  <si>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Mack &amp; Associates, P.C.</t>
  </si>
  <si>
    <t>Tawnya Mack, CPA</t>
  </si>
  <si>
    <t>116 E Washington St., Suite 1</t>
  </si>
  <si>
    <t>Morris</t>
  </si>
  <si>
    <t>IL</t>
  </si>
  <si>
    <t>815-942-3306</t>
  </si>
  <si>
    <t>815-942-9430</t>
  </si>
  <si>
    <t>066-005100</t>
  </si>
  <si>
    <t>tmack@mackcpas.com</t>
  </si>
  <si>
    <t>Grundy</t>
  </si>
  <si>
    <t>1002 Union St.</t>
  </si>
  <si>
    <t>x</t>
  </si>
  <si>
    <t>Lance Copes</t>
  </si>
  <si>
    <t>815-942-4390</t>
  </si>
  <si>
    <t>815-942-6650</t>
  </si>
  <si>
    <t>See PDF in Opinion Page for signature</t>
  </si>
  <si>
    <t>LIFE SAFETY BONDS</t>
  </si>
  <si>
    <t>X</t>
  </si>
  <si>
    <t>Page 10, Line 81 - Various receipts from stores</t>
  </si>
  <si>
    <t>Page 11, Line 107 - Paper Order Deposits $158,397, Other Revenue $8,138</t>
  </si>
  <si>
    <t>Page 18, Line 171 - Agent Fees</t>
  </si>
  <si>
    <t>Lcopes@gavc-il.org</t>
  </si>
  <si>
    <t>ED-CTE PROGRAMS-PURCH SERV</t>
  </si>
  <si>
    <t>FRANKLIN COSMETOLOGY</t>
  </si>
  <si>
    <t>O&amp;M-PLANT SERVICES-PURCH SERV</t>
  </si>
  <si>
    <t>WASTE MANAGEMENT</t>
  </si>
  <si>
    <t>KORELLIS SYSTEMS CONTROL</t>
  </si>
  <si>
    <t>IMAGE SYSTEMS &amp; BUSINESS SOLUTIO</t>
  </si>
  <si>
    <t>COAL CITY UNIT 1, GARDNER S. WILM DIST 73, SEE OTHER</t>
  </si>
  <si>
    <t>MINOOKA COMM HS 111, AND MORRIS COMM HS</t>
  </si>
  <si>
    <t>Grundy Area Voc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</si>
</sst>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619125</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790575</xdr:colOff>
          <xdr:row>13</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790575</xdr:colOff>
          <xdr:row>15</xdr:row>
          <xdr:rowOff>361950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3">
        <f>+'AFR20'!E4</f>
        <v>44119</v>
      </c>
      <c r="C1" s="2073"/>
      <c r="D1" s="2074"/>
      <c r="I1" s="2032" t="s">
        <v>402</v>
      </c>
      <c r="J1" s="2033"/>
      <c r="K1" s="2033"/>
      <c r="L1" s="2033"/>
      <c r="M1" s="2033"/>
      <c r="N1" s="2033"/>
      <c r="O1" s="2033"/>
      <c r="P1" s="2033"/>
      <c r="Q1" s="2033"/>
      <c r="R1" s="2033"/>
      <c r="S1" s="2033"/>
    </row>
    <row r="2" spans="1:32" ht="12" customHeight="1" x14ac:dyDescent="0.2">
      <c r="A2" s="1889" t="str">
        <f>"Due to ISBE on "</f>
        <v xml:space="preserve">Due to ISBE on </v>
      </c>
      <c r="B2" s="2075">
        <f>+'AFR20'!F4</f>
        <v>44151</v>
      </c>
      <c r="C2" s="2075"/>
      <c r="D2" s="2076"/>
      <c r="I2" s="2034" t="s">
        <v>2006</v>
      </c>
      <c r="J2" s="2033"/>
      <c r="K2" s="2033"/>
      <c r="L2" s="2033"/>
      <c r="M2" s="2033"/>
      <c r="N2" s="2033"/>
      <c r="O2" s="2033"/>
      <c r="P2" s="2033"/>
      <c r="Q2" s="2033"/>
      <c r="R2" s="2033"/>
      <c r="S2" s="2033"/>
    </row>
    <row r="3" spans="1:32" ht="12" customHeight="1" x14ac:dyDescent="0.2">
      <c r="A3" s="1892" t="str">
        <f>"SD/JA"&amp;MID('AFR20'!E2,3,2)</f>
        <v>SD/JA20</v>
      </c>
      <c r="B3" s="151"/>
      <c r="C3" s="151"/>
      <c r="D3" s="152"/>
      <c r="I3" s="2034" t="s">
        <v>52</v>
      </c>
      <c r="J3" s="2033"/>
      <c r="K3" s="2033"/>
      <c r="L3" s="2033"/>
      <c r="M3" s="2033"/>
      <c r="N3" s="2033"/>
      <c r="O3" s="2033"/>
      <c r="P3" s="2033"/>
      <c r="Q3" s="2033"/>
      <c r="R3" s="2033"/>
      <c r="S3" s="2033"/>
    </row>
    <row r="4" spans="1:32" ht="12" customHeight="1" x14ac:dyDescent="0.2">
      <c r="A4" s="37"/>
      <c r="I4" s="2034" t="s">
        <v>521</v>
      </c>
      <c r="J4" s="2033"/>
      <c r="K4" s="2033"/>
      <c r="L4" s="2033"/>
      <c r="M4" s="2033"/>
      <c r="N4" s="2033"/>
      <c r="O4" s="2033"/>
      <c r="P4" s="2033"/>
      <c r="Q4" s="2033"/>
      <c r="R4" s="2033"/>
      <c r="S4" s="2033"/>
    </row>
    <row r="5" spans="1:32" ht="14.1" customHeight="1" x14ac:dyDescent="0.2">
      <c r="B5" s="101"/>
      <c r="C5" s="26" t="s">
        <v>904</v>
      </c>
      <c r="D5" s="81"/>
      <c r="E5" s="81"/>
      <c r="H5" s="38"/>
      <c r="I5" s="2042" t="s">
        <v>675</v>
      </c>
      <c r="J5" s="2041"/>
      <c r="K5" s="2041"/>
      <c r="L5" s="2041"/>
      <c r="M5" s="2041"/>
      <c r="N5" s="2041"/>
      <c r="O5" s="2041"/>
      <c r="P5" s="2041"/>
      <c r="Q5" s="2041"/>
      <c r="R5" s="2041"/>
      <c r="S5" s="2041"/>
      <c r="AF5" s="1885"/>
    </row>
    <row r="6" spans="1:32" ht="14.1" customHeight="1" x14ac:dyDescent="0.2">
      <c r="B6" s="101" t="s">
        <v>2032</v>
      </c>
      <c r="C6" s="26" t="s">
        <v>905</v>
      </c>
      <c r="D6" s="81"/>
      <c r="E6" s="81"/>
      <c r="I6" s="2040" t="s">
        <v>877</v>
      </c>
      <c r="J6" s="2041"/>
      <c r="K6" s="2041"/>
      <c r="L6" s="2041"/>
      <c r="M6" s="2041"/>
      <c r="N6" s="2041"/>
      <c r="O6" s="2041"/>
      <c r="P6" s="2041"/>
      <c r="Q6" s="2041"/>
      <c r="R6" s="2041"/>
      <c r="S6" s="2041"/>
    </row>
    <row r="7" spans="1:32" ht="12.2" customHeight="1" x14ac:dyDescent="0.2">
      <c r="I7" s="2035" t="str">
        <f>"June 30, "&amp;'AFR20'!E2</f>
        <v>June 30, 2020</v>
      </c>
      <c r="J7" s="2036"/>
      <c r="K7" s="2036"/>
      <c r="L7" s="2036"/>
      <c r="M7" s="2036"/>
      <c r="N7" s="2036"/>
      <c r="O7" s="2036"/>
      <c r="P7" s="2036"/>
      <c r="Q7" s="2036"/>
      <c r="R7" s="2036"/>
      <c r="S7" s="203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7" t="s">
        <v>669</v>
      </c>
      <c r="J9" s="2038"/>
      <c r="K9" s="2038"/>
      <c r="L9" s="2038"/>
      <c r="M9" s="2038"/>
      <c r="N9" s="2038"/>
      <c r="O9" s="2038"/>
      <c r="P9" s="2038"/>
      <c r="Q9" s="2038"/>
      <c r="R9" s="2038"/>
      <c r="S9" s="2039"/>
      <c r="T9" s="2090" t="s">
        <v>530</v>
      </c>
      <c r="U9" s="2091"/>
      <c r="V9" s="2091"/>
      <c r="W9" s="2091"/>
      <c r="X9" s="2091"/>
      <c r="Y9" s="2091"/>
      <c r="Z9" s="2091"/>
      <c r="AA9" s="2092"/>
    </row>
    <row r="10" spans="1:32" ht="13.5" customHeight="1" x14ac:dyDescent="0.2">
      <c r="A10" s="2097" t="s">
        <v>670</v>
      </c>
      <c r="B10" s="2098"/>
      <c r="C10" s="2098"/>
      <c r="D10" s="2098"/>
      <c r="E10" s="2098"/>
      <c r="F10" s="2098"/>
      <c r="G10" s="2098"/>
      <c r="H10" s="2099"/>
      <c r="I10" s="29"/>
      <c r="J10" s="30"/>
      <c r="K10" s="28"/>
      <c r="R10" s="30"/>
      <c r="S10" s="30"/>
      <c r="T10" s="2093"/>
      <c r="U10" s="2041"/>
      <c r="V10" s="2041"/>
      <c r="W10" s="2041"/>
      <c r="X10" s="2041"/>
      <c r="Y10" s="2041"/>
      <c r="Z10" s="2041"/>
      <c r="AA10" s="2047"/>
    </row>
    <row r="11" spans="1:32" ht="14.25" customHeight="1" x14ac:dyDescent="0.2">
      <c r="A11" s="2100" t="s">
        <v>949</v>
      </c>
      <c r="B11" s="2101"/>
      <c r="C11" s="2101"/>
      <c r="D11" s="2101"/>
      <c r="E11" s="2101"/>
      <c r="F11" s="2101"/>
      <c r="G11" s="2101"/>
      <c r="H11" s="2102"/>
      <c r="I11" s="27"/>
      <c r="J11" s="71"/>
      <c r="K11" s="27"/>
      <c r="O11" s="144" t="s">
        <v>2032</v>
      </c>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3">
        <v>24032790040</v>
      </c>
      <c r="B13" s="2054"/>
      <c r="C13" s="2054"/>
      <c r="D13" s="2054"/>
      <c r="E13" s="2054"/>
      <c r="F13" s="2054"/>
      <c r="G13" s="2054"/>
      <c r="H13" s="2055"/>
      <c r="I13" s="31"/>
      <c r="J13" s="30"/>
      <c r="K13" s="28"/>
      <c r="L13" s="30"/>
      <c r="M13" s="30"/>
      <c r="N13" s="30"/>
      <c r="O13" s="30"/>
      <c r="P13" s="30"/>
      <c r="Q13" s="30"/>
      <c r="R13" s="30"/>
      <c r="S13" s="30"/>
      <c r="T13" s="2059" t="s">
        <v>2021</v>
      </c>
      <c r="U13" s="2060"/>
      <c r="V13" s="2060"/>
      <c r="W13" s="2060"/>
      <c r="X13" s="2060"/>
      <c r="Y13" s="2061"/>
      <c r="Z13" s="2061"/>
      <c r="AA13" s="206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6" t="s">
        <v>2030</v>
      </c>
      <c r="B15" s="2057"/>
      <c r="C15" s="2057"/>
      <c r="D15" s="2057"/>
      <c r="E15" s="2057"/>
      <c r="F15" s="2057"/>
      <c r="G15" s="2057"/>
      <c r="H15" s="2058"/>
      <c r="T15" s="2063" t="s">
        <v>2022</v>
      </c>
      <c r="U15" s="2020"/>
      <c r="V15" s="2020"/>
      <c r="W15" s="2020"/>
      <c r="X15" s="2020"/>
      <c r="Y15" s="2064"/>
      <c r="Z15" s="2064"/>
      <c r="AA15" s="206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6" t="s">
        <v>2051</v>
      </c>
      <c r="B17" s="2027"/>
      <c r="C17" s="2027"/>
      <c r="D17" s="2027"/>
      <c r="E17" s="2027"/>
      <c r="F17" s="2027"/>
      <c r="G17" s="2027"/>
      <c r="H17" s="2052"/>
      <c r="T17" s="2070" t="s">
        <v>2023</v>
      </c>
      <c r="U17" s="2071"/>
      <c r="V17" s="2071"/>
      <c r="W17" s="2071"/>
      <c r="X17" s="2071"/>
      <c r="Y17" s="2071"/>
      <c r="Z17" s="2071"/>
      <c r="AA17" s="2072"/>
    </row>
    <row r="18" spans="1:27" ht="13.5" customHeight="1" x14ac:dyDescent="0.2">
      <c r="A18" s="82" t="s">
        <v>527</v>
      </c>
      <c r="B18" s="73"/>
      <c r="C18" s="69"/>
      <c r="D18" s="73"/>
      <c r="E18" s="73"/>
      <c r="F18" s="73"/>
      <c r="G18" s="73"/>
      <c r="H18" s="53"/>
      <c r="I18" s="2051" t="s">
        <v>671</v>
      </c>
      <c r="J18" s="2002"/>
      <c r="K18" s="2002"/>
      <c r="L18" s="2002"/>
      <c r="M18" s="2002"/>
      <c r="N18" s="2002"/>
      <c r="O18" s="2002"/>
      <c r="P18" s="2002"/>
      <c r="Q18" s="2002"/>
      <c r="R18" s="2002"/>
      <c r="S18" s="2003"/>
      <c r="T18" s="82" t="s">
        <v>706</v>
      </c>
      <c r="U18" s="48"/>
      <c r="V18" s="69"/>
      <c r="W18" s="47"/>
      <c r="X18" s="82" t="s">
        <v>264</v>
      </c>
      <c r="Y18" s="78"/>
      <c r="Z18" s="154" t="s">
        <v>672</v>
      </c>
      <c r="AA18" s="44"/>
    </row>
    <row r="19" spans="1:27" ht="13.5" customHeight="1" x14ac:dyDescent="0.2">
      <c r="A19" s="2056" t="s">
        <v>2031</v>
      </c>
      <c r="B19" s="2012"/>
      <c r="C19" s="2012"/>
      <c r="D19" s="2012"/>
      <c r="E19" s="2012"/>
      <c r="F19" s="2012"/>
      <c r="G19" s="2012"/>
      <c r="H19" s="1992"/>
      <c r="I19" s="30"/>
      <c r="J19" s="96"/>
      <c r="K19" s="40"/>
      <c r="L19" s="38"/>
      <c r="M19" s="109" t="s">
        <v>312</v>
      </c>
      <c r="P19" s="27"/>
      <c r="Q19" s="27"/>
      <c r="R19" s="27"/>
      <c r="S19" s="31"/>
      <c r="T19" s="2056" t="s">
        <v>2024</v>
      </c>
      <c r="U19" s="1991"/>
      <c r="V19" s="1991"/>
      <c r="W19" s="1992"/>
      <c r="X19" s="2068" t="s">
        <v>2025</v>
      </c>
      <c r="Y19" s="2069"/>
      <c r="Z19" s="2066">
        <v>60450</v>
      </c>
      <c r="AA19" s="206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0" t="s">
        <v>2024</v>
      </c>
      <c r="B21" s="1991"/>
      <c r="C21" s="1991"/>
      <c r="D21" s="1991"/>
      <c r="E21" s="1991"/>
      <c r="F21" s="1991"/>
      <c r="G21" s="1991"/>
      <c r="H21" s="1992"/>
      <c r="I21" s="2046" t="s">
        <v>673</v>
      </c>
      <c r="J21" s="2041"/>
      <c r="K21" s="2041"/>
      <c r="L21" s="2041"/>
      <c r="M21" s="2041"/>
      <c r="N21" s="2041"/>
      <c r="O21" s="2041"/>
      <c r="P21" s="2041"/>
      <c r="Q21" s="2041"/>
      <c r="R21" s="2041"/>
      <c r="S21" s="2047"/>
      <c r="T21" s="2081" t="s">
        <v>2026</v>
      </c>
      <c r="U21" s="2082"/>
      <c r="V21" s="2082"/>
      <c r="W21" s="2082"/>
      <c r="X21" s="2087" t="s">
        <v>2027</v>
      </c>
      <c r="Y21" s="2088"/>
      <c r="Z21" s="2088"/>
      <c r="AA21" s="2089"/>
    </row>
    <row r="22" spans="1:27" ht="13.5" customHeight="1" x14ac:dyDescent="0.2">
      <c r="A22" s="84" t="s">
        <v>528</v>
      </c>
      <c r="B22" s="56"/>
      <c r="C22" s="56"/>
      <c r="D22" s="56"/>
      <c r="E22" s="56"/>
      <c r="F22" s="56"/>
      <c r="G22" s="56"/>
      <c r="H22" s="57"/>
      <c r="I22" s="2048" t="s">
        <v>1415</v>
      </c>
      <c r="J22" s="2049"/>
      <c r="K22" s="2049"/>
      <c r="L22" s="2049"/>
      <c r="M22" s="2049"/>
      <c r="N22" s="2049"/>
      <c r="O22" s="2049"/>
      <c r="P22" s="2049"/>
      <c r="Q22" s="2049"/>
      <c r="R22" s="2049"/>
      <c r="S22" s="2050"/>
      <c r="T22" s="82" t="s">
        <v>1502</v>
      </c>
      <c r="U22" s="48"/>
      <c r="V22" s="69"/>
      <c r="W22" s="48"/>
      <c r="X22" s="155" t="s">
        <v>1309</v>
      </c>
      <c r="Z22" s="43"/>
      <c r="AA22" s="44"/>
    </row>
    <row r="23" spans="1:27" ht="13.5" customHeight="1" x14ac:dyDescent="0.2">
      <c r="A23" s="2043"/>
      <c r="B23" s="2044"/>
      <c r="C23" s="2044"/>
      <c r="D23" s="2044"/>
      <c r="E23" s="2044"/>
      <c r="F23" s="2044"/>
      <c r="G23" s="2044"/>
      <c r="H23" s="2045"/>
      <c r="T23" s="2026" t="s">
        <v>2028</v>
      </c>
      <c r="U23" s="2080"/>
      <c r="V23" s="2080"/>
      <c r="W23" s="2080"/>
      <c r="X23" s="2084">
        <v>44530</v>
      </c>
      <c r="Y23" s="2085"/>
      <c r="Z23" s="2085"/>
      <c r="AA23" s="2086"/>
    </row>
    <row r="24" spans="1:27" ht="14.1" customHeight="1" x14ac:dyDescent="0.2">
      <c r="A24" s="85" t="s">
        <v>672</v>
      </c>
      <c r="B24" s="46"/>
      <c r="C24" s="46"/>
      <c r="D24" s="46"/>
      <c r="E24" s="46"/>
      <c r="F24" s="46"/>
      <c r="G24" s="46"/>
      <c r="H24" s="58"/>
      <c r="J24" s="2013" t="str">
        <f>IF(B5="x",IF(AUDITCHECK!D29="AFR form Incomplete.","",IF(AUDITCHECK!D29="Deficit reduction plan is required.","School District must complete a deficit reduction plan in the 2019-2020 Budget",)),"")</f>
        <v/>
      </c>
      <c r="K24" s="2013"/>
      <c r="L24" s="2013"/>
      <c r="M24" s="2013"/>
      <c r="N24" s="2013"/>
      <c r="O24" s="2013"/>
      <c r="P24" s="2013"/>
      <c r="Q24" s="2013"/>
      <c r="R24" s="2013"/>
      <c r="S24" s="2014"/>
      <c r="T24" s="102" t="s">
        <v>528</v>
      </c>
      <c r="U24" s="103"/>
      <c r="V24" s="103"/>
      <c r="W24" s="103"/>
      <c r="X24" s="104"/>
      <c r="Y24" s="104"/>
      <c r="Z24" s="104"/>
      <c r="AA24" s="105"/>
    </row>
    <row r="25" spans="1:27" ht="14.1" customHeight="1" x14ac:dyDescent="0.2">
      <c r="A25" s="1990">
        <v>60450</v>
      </c>
      <c r="B25" s="1991"/>
      <c r="C25" s="1991"/>
      <c r="D25" s="1991"/>
      <c r="E25" s="1991"/>
      <c r="F25" s="1991"/>
      <c r="G25" s="1991"/>
      <c r="H25" s="1992"/>
      <c r="I25" s="110"/>
      <c r="J25" s="2015"/>
      <c r="K25" s="2015"/>
      <c r="L25" s="2015"/>
      <c r="M25" s="2015"/>
      <c r="N25" s="2015"/>
      <c r="O25" s="2015"/>
      <c r="P25" s="2015"/>
      <c r="Q25" s="2015"/>
      <c r="R25" s="2015"/>
      <c r="S25" s="2016"/>
      <c r="T25" s="2077" t="s">
        <v>2029</v>
      </c>
      <c r="U25" s="2078"/>
      <c r="V25" s="2078"/>
      <c r="W25" s="2078"/>
      <c r="X25" s="2078"/>
      <c r="Y25" s="2078"/>
      <c r="Z25" s="2078"/>
      <c r="AA25" s="207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1" t="s">
        <v>1497</v>
      </c>
      <c r="J27" s="2002"/>
      <c r="K27" s="2002"/>
      <c r="L27" s="2002"/>
      <c r="M27" s="2002"/>
      <c r="N27" s="2002"/>
      <c r="O27" s="2002"/>
      <c r="P27" s="2002"/>
      <c r="Q27" s="2002"/>
      <c r="R27" s="2002"/>
      <c r="S27" s="20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2032</v>
      </c>
      <c r="M29" s="40" t="s">
        <v>99</v>
      </c>
      <c r="N29" s="32" t="s">
        <v>1509</v>
      </c>
      <c r="O29" s="32"/>
      <c r="P29" s="32"/>
      <c r="Q29" s="32"/>
      <c r="R29" s="32"/>
      <c r="S29" s="120"/>
      <c r="T29" s="6"/>
      <c r="U29" s="6"/>
      <c r="V29" s="6"/>
      <c r="W29" s="6"/>
      <c r="X29" s="6"/>
      <c r="Y29" s="6"/>
      <c r="Z29" s="6"/>
      <c r="AA29" s="129"/>
    </row>
    <row r="30" spans="1:27" ht="13.5" customHeight="1" x14ac:dyDescent="0.2">
      <c r="A30" s="149"/>
      <c r="B30" s="133" t="s">
        <v>2032</v>
      </c>
      <c r="C30" s="121" t="s">
        <v>1156</v>
      </c>
      <c r="D30" s="28"/>
      <c r="E30" s="28"/>
      <c r="F30" s="136"/>
      <c r="G30" s="111"/>
      <c r="H30" s="111"/>
      <c r="I30" s="51"/>
      <c r="J30" s="99"/>
      <c r="K30" s="28" t="s">
        <v>572</v>
      </c>
      <c r="L30" s="144" t="s">
        <v>2032</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2032</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2"/>
      <c r="Q35" s="1991"/>
      <c r="R35" s="19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6" t="s">
        <v>2033</v>
      </c>
      <c r="B38" s="2027"/>
      <c r="C38" s="2027"/>
      <c r="D38" s="2027"/>
      <c r="E38" s="2027"/>
      <c r="F38" s="1991"/>
      <c r="G38" s="1991"/>
      <c r="H38" s="1992"/>
      <c r="I38" s="2019"/>
      <c r="J38" s="2020"/>
      <c r="K38" s="2020"/>
      <c r="L38" s="2020"/>
      <c r="M38" s="2020"/>
      <c r="N38" s="2020"/>
      <c r="O38" s="2020"/>
      <c r="P38" s="2021"/>
      <c r="Q38" s="2021"/>
      <c r="R38" s="2021"/>
      <c r="S38" s="2022"/>
      <c r="T38" s="2063"/>
      <c r="U38" s="2020"/>
      <c r="V38" s="2020"/>
      <c r="W38" s="2020"/>
      <c r="X38" s="2021"/>
      <c r="Y38" s="2021"/>
      <c r="Z38" s="2021"/>
      <c r="AA38" s="2022"/>
    </row>
    <row r="39" spans="1:27" ht="12" customHeight="1" x14ac:dyDescent="0.2">
      <c r="A39" s="1996" t="s">
        <v>528</v>
      </c>
      <c r="B39" s="1997"/>
      <c r="C39" s="69"/>
      <c r="D39" s="66"/>
      <c r="E39" s="66"/>
      <c r="F39" s="76"/>
      <c r="G39" s="66"/>
      <c r="H39" s="53"/>
      <c r="I39" s="1996" t="s">
        <v>528</v>
      </c>
      <c r="J39" s="1997"/>
      <c r="K39" s="1997"/>
      <c r="L39" s="1997"/>
      <c r="M39" s="1997"/>
      <c r="N39" s="64"/>
      <c r="O39" s="69"/>
      <c r="P39" s="69"/>
      <c r="Q39" s="75"/>
      <c r="R39" s="69"/>
      <c r="S39" s="53"/>
      <c r="T39" s="69" t="s">
        <v>528</v>
      </c>
      <c r="U39" s="48"/>
      <c r="V39" s="69"/>
      <c r="W39" s="47"/>
      <c r="X39" s="75"/>
      <c r="Y39" s="43"/>
      <c r="Z39" s="43"/>
      <c r="AA39" s="44"/>
    </row>
    <row r="40" spans="1:27" ht="13.5" customHeight="1" x14ac:dyDescent="0.2">
      <c r="A40" s="2004" t="s">
        <v>2042</v>
      </c>
      <c r="B40" s="2005"/>
      <c r="C40" s="2006"/>
      <c r="D40" s="2006"/>
      <c r="E40" s="2006"/>
      <c r="F40" s="2007"/>
      <c r="G40" s="2007"/>
      <c r="H40" s="2008"/>
      <c r="I40" s="2029"/>
      <c r="J40" s="2030"/>
      <c r="K40" s="2030"/>
      <c r="L40" s="2030"/>
      <c r="M40" s="2030"/>
      <c r="N40" s="2030"/>
      <c r="O40" s="2030"/>
      <c r="P40" s="2030"/>
      <c r="Q40" s="2030"/>
      <c r="R40" s="2030"/>
      <c r="S40" s="2031"/>
      <c r="T40" s="2029"/>
      <c r="U40" s="2083"/>
      <c r="V40" s="2030"/>
      <c r="W40" s="2030"/>
      <c r="X40" s="2030"/>
      <c r="Y40" s="2030"/>
      <c r="Z40" s="2030"/>
      <c r="AA40" s="20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8" t="s">
        <v>2034</v>
      </c>
      <c r="B42" s="2010"/>
      <c r="C42" s="2011"/>
      <c r="D42" s="2009" t="s">
        <v>2035</v>
      </c>
      <c r="E42" s="2010"/>
      <c r="F42" s="2010"/>
      <c r="G42" s="2010"/>
      <c r="H42" s="2011"/>
      <c r="I42" s="1993"/>
      <c r="J42" s="1994"/>
      <c r="K42" s="1994"/>
      <c r="L42" s="1994"/>
      <c r="M42" s="1994"/>
      <c r="N42" s="1994"/>
      <c r="O42" s="1995"/>
      <c r="P42" s="2028"/>
      <c r="Q42" s="1994"/>
      <c r="R42" s="1994"/>
      <c r="S42" s="1995"/>
      <c r="T42" s="1993"/>
      <c r="U42" s="1994"/>
      <c r="V42" s="1994"/>
      <c r="W42" s="1995"/>
      <c r="X42" s="2028"/>
      <c r="Y42" s="1994"/>
      <c r="Z42" s="1994"/>
      <c r="AA42" s="199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3"/>
      <c r="B44" s="2024"/>
      <c r="C44" s="2024"/>
      <c r="D44" s="2024"/>
      <c r="E44" s="2024"/>
      <c r="F44" s="2024"/>
      <c r="G44" s="2024"/>
      <c r="H44" s="2025"/>
      <c r="I44" s="1998"/>
      <c r="J44" s="1999"/>
      <c r="K44" s="1999"/>
      <c r="L44" s="1999"/>
      <c r="M44" s="1999"/>
      <c r="N44" s="1999"/>
      <c r="O44" s="1999"/>
      <c r="P44" s="1999"/>
      <c r="Q44" s="1999"/>
      <c r="R44" s="1999"/>
      <c r="S44" s="2000"/>
      <c r="T44" s="1998"/>
      <c r="U44" s="2017"/>
      <c r="V44" s="2017"/>
      <c r="W44" s="2017"/>
      <c r="X44" s="2017"/>
      <c r="Y44" s="2017"/>
      <c r="Z44" s="1999"/>
      <c r="AA44" s="200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D32" sqref="D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3" t="s">
        <v>625</v>
      </c>
      <c r="B1" s="2261"/>
      <c r="C1" s="585"/>
    </row>
    <row r="2" spans="1:7" ht="33.75" x14ac:dyDescent="0.2">
      <c r="A2" s="2268" t="s">
        <v>1782</v>
      </c>
      <c r="B2" s="226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70" t="s">
        <v>1106</v>
      </c>
      <c r="B3" s="2271"/>
      <c r="C3" s="2264"/>
      <c r="D3" s="2265"/>
      <c r="E3" s="2265"/>
      <c r="F3" s="2266"/>
    </row>
    <row r="4" spans="1:7" ht="12.75" customHeight="1" thickBot="1" x14ac:dyDescent="0.25">
      <c r="A4" s="2258" t="s">
        <v>626</v>
      </c>
      <c r="B4" s="2259"/>
      <c r="C4" s="1706"/>
      <c r="D4" s="1706"/>
      <c r="E4" s="1706"/>
      <c r="F4" s="1782">
        <f>SUM(C4+D4)-E4</f>
        <v>0</v>
      </c>
    </row>
    <row r="5" spans="1:7" ht="15.75" customHeight="1" thickTop="1" x14ac:dyDescent="0.2">
      <c r="A5" s="2262" t="s">
        <v>1103</v>
      </c>
      <c r="B5" s="2257"/>
      <c r="C5" s="2251"/>
      <c r="D5" s="2252"/>
      <c r="E5" s="2252"/>
      <c r="F5" s="225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54" t="s">
        <v>627</v>
      </c>
      <c r="B15" s="2255"/>
      <c r="C15" s="1782">
        <f>SUM(C6:C14)</f>
        <v>0</v>
      </c>
      <c r="D15" s="1782">
        <f>SUM(D6:D14)</f>
        <v>0</v>
      </c>
      <c r="E15" s="1782">
        <f>SUM(E6:E14)</f>
        <v>0</v>
      </c>
      <c r="F15" s="1782">
        <f>SUM(F6:F14)</f>
        <v>0</v>
      </c>
      <c r="G15" s="473"/>
    </row>
    <row r="16" spans="1:7" s="197" customFormat="1" ht="15.75" customHeight="1" thickTop="1" x14ac:dyDescent="0.2">
      <c r="A16" s="2267" t="s">
        <v>1104</v>
      </c>
      <c r="B16" s="2257"/>
      <c r="C16" s="2251"/>
      <c r="D16" s="2252"/>
      <c r="E16" s="2252"/>
      <c r="F16" s="2253"/>
    </row>
    <row r="17" spans="1:11" ht="12.75" customHeight="1" thickBot="1" x14ac:dyDescent="0.25">
      <c r="A17" s="2249" t="s">
        <v>64</v>
      </c>
      <c r="B17" s="2250"/>
      <c r="C17" s="1783"/>
      <c r="D17" s="1714"/>
      <c r="E17" s="1783"/>
      <c r="F17" s="1782">
        <f>SUM(C17+D17)-E17</f>
        <v>0</v>
      </c>
    </row>
    <row r="18" spans="1:11" ht="12.75" customHeight="1" thickTop="1" thickBot="1" x14ac:dyDescent="0.25">
      <c r="A18" s="2249" t="s">
        <v>6</v>
      </c>
      <c r="B18" s="2250"/>
      <c r="C18" s="1783"/>
      <c r="D18" s="1714"/>
      <c r="E18" s="1783"/>
      <c r="F18" s="1782">
        <f>SUM(C18+D18)-E18</f>
        <v>0</v>
      </c>
    </row>
    <row r="19" spans="1:11" ht="12.75" customHeight="1" thickTop="1" thickBot="1" x14ac:dyDescent="0.25">
      <c r="A19" s="2249" t="s">
        <v>385</v>
      </c>
      <c r="B19" s="2250"/>
      <c r="C19" s="1783"/>
      <c r="D19" s="1714"/>
      <c r="E19" s="1783"/>
      <c r="F19" s="1782">
        <f>SUM(C19+D19)-E19</f>
        <v>0</v>
      </c>
    </row>
    <row r="20" spans="1:11" ht="12.75" customHeight="1" thickTop="1" thickBot="1" x14ac:dyDescent="0.25">
      <c r="A20" s="2249" t="s">
        <v>445</v>
      </c>
      <c r="B20" s="2250"/>
      <c r="C20" s="1783"/>
      <c r="D20" s="1714"/>
      <c r="E20" s="1783"/>
      <c r="F20" s="1782">
        <f>SUM(C20+D20)-E20</f>
        <v>0</v>
      </c>
    </row>
    <row r="21" spans="1:11" ht="14.25" thickTop="1" thickBot="1" x14ac:dyDescent="0.25">
      <c r="A21" s="2254" t="s">
        <v>628</v>
      </c>
      <c r="B21" s="2255"/>
      <c r="C21" s="1782">
        <f>SUM(C17:C20)</f>
        <v>0</v>
      </c>
      <c r="D21" s="1782">
        <f>SUM(D17:D20)</f>
        <v>0</v>
      </c>
      <c r="E21" s="1782">
        <f>SUM(E17:E20)</f>
        <v>0</v>
      </c>
      <c r="F21" s="1782">
        <f>SUM(F17:F20)</f>
        <v>0</v>
      </c>
      <c r="G21" s="473"/>
    </row>
    <row r="22" spans="1:11" ht="15.75" customHeight="1" thickTop="1" x14ac:dyDescent="0.2">
      <c r="A22" s="2256" t="s">
        <v>1105</v>
      </c>
      <c r="B22" s="2257"/>
      <c r="C22" s="2251"/>
      <c r="D22" s="2252"/>
      <c r="E22" s="2252"/>
      <c r="F22" s="2253"/>
    </row>
    <row r="23" spans="1:11" ht="13.5" thickBot="1" x14ac:dyDescent="0.25">
      <c r="A23" s="2258" t="s">
        <v>629</v>
      </c>
      <c r="B23" s="2259"/>
      <c r="C23" s="1706"/>
      <c r="D23" s="1706"/>
      <c r="E23" s="1706"/>
      <c r="F23" s="1782">
        <f>SUM(C23+D23)-E23</f>
        <v>0</v>
      </c>
      <c r="G23" s="473"/>
    </row>
    <row r="24" spans="1:11" ht="15.75" customHeight="1" thickTop="1" x14ac:dyDescent="0.2">
      <c r="A24" s="2256" t="s">
        <v>2009</v>
      </c>
      <c r="B24" s="2257"/>
      <c r="C24" s="2251"/>
      <c r="D24" s="2252"/>
      <c r="E24" s="2252"/>
      <c r="F24" s="2253"/>
    </row>
    <row r="25" spans="1:11" ht="13.5" thickBot="1" x14ac:dyDescent="0.25">
      <c r="A25" s="2258" t="s">
        <v>2010</v>
      </c>
      <c r="B25" s="2259"/>
      <c r="C25" s="1706"/>
      <c r="D25" s="1706"/>
      <c r="E25" s="1706"/>
      <c r="F25" s="1782">
        <f>SUM(C25+D25)-E25</f>
        <v>0</v>
      </c>
      <c r="G25" s="473"/>
    </row>
    <row r="26" spans="1:11" ht="15.75" customHeight="1" thickTop="1" x14ac:dyDescent="0.2">
      <c r="A26" s="2262" t="s">
        <v>652</v>
      </c>
      <c r="B26" s="2257"/>
      <c r="C26" s="589"/>
      <c r="D26" s="589"/>
      <c r="E26" s="589"/>
      <c r="F26" s="590"/>
    </row>
    <row r="27" spans="1:11" ht="13.5" thickBot="1" x14ac:dyDescent="0.25">
      <c r="A27" s="2254" t="s">
        <v>1063</v>
      </c>
      <c r="B27" s="2255"/>
      <c r="C27" s="1714"/>
      <c r="D27" s="1714"/>
      <c r="E27" s="1714"/>
      <c r="F27" s="1782">
        <f>SUM(C27+D27)-E27</f>
        <v>0</v>
      </c>
      <c r="G27" s="473"/>
    </row>
    <row r="28" spans="1:11" ht="7.5" customHeight="1" thickTop="1" x14ac:dyDescent="0.2">
      <c r="A28" s="489"/>
    </row>
    <row r="29" spans="1:11" ht="23.25" customHeight="1" x14ac:dyDescent="0.2">
      <c r="A29" s="2260" t="s">
        <v>578</v>
      </c>
      <c r="B29" s="2261"/>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2037</v>
      </c>
      <c r="B31" s="595">
        <v>40381</v>
      </c>
      <c r="C31" s="1784">
        <v>2000000</v>
      </c>
      <c r="D31" s="1785">
        <v>4</v>
      </c>
      <c r="E31" s="1784">
        <v>1285000</v>
      </c>
      <c r="F31" s="1784"/>
      <c r="G31" s="1784"/>
      <c r="H31" s="1784">
        <v>95000</v>
      </c>
      <c r="I31" s="1786">
        <f>((E31+F31)-H31)+G31</f>
        <v>1190000</v>
      </c>
      <c r="J31" s="1784">
        <v>1186274</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2000000</v>
      </c>
      <c r="D49" s="1792"/>
      <c r="E49" s="1786">
        <f t="shared" ref="E49:J49" si="2">SUM(E31:E48)</f>
        <v>1285000</v>
      </c>
      <c r="F49" s="1786">
        <f t="shared" si="2"/>
        <v>0</v>
      </c>
      <c r="G49" s="1786">
        <f t="shared" si="2"/>
        <v>0</v>
      </c>
      <c r="H49" s="1786">
        <f t="shared" si="2"/>
        <v>95000</v>
      </c>
      <c r="I49" s="1786">
        <f t="shared" si="2"/>
        <v>1190000</v>
      </c>
      <c r="J49" s="1786">
        <f t="shared" si="2"/>
        <v>1186274</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3" t="s">
        <v>580</v>
      </c>
      <c r="C52" s="2244"/>
      <c r="D52" s="2244"/>
      <c r="E52" s="603" t="s">
        <v>840</v>
      </c>
      <c r="F52" s="2245"/>
      <c r="G52" s="2246"/>
      <c r="H52" s="596"/>
      <c r="I52" s="596"/>
      <c r="J52" s="600"/>
    </row>
    <row r="53" spans="1:11" ht="11.25" customHeight="1" x14ac:dyDescent="0.2">
      <c r="A53" s="604" t="s">
        <v>907</v>
      </c>
      <c r="B53" s="605" t="s">
        <v>945</v>
      </c>
      <c r="C53" s="600"/>
      <c r="D53" s="597"/>
      <c r="E53" s="603" t="s">
        <v>494</v>
      </c>
      <c r="F53" s="2247"/>
      <c r="G53" s="2248"/>
      <c r="H53" s="596"/>
      <c r="I53" s="596"/>
      <c r="J53" s="600"/>
    </row>
    <row r="54" spans="1:11" ht="11.25" customHeight="1" x14ac:dyDescent="0.2">
      <c r="A54" s="606" t="s">
        <v>908</v>
      </c>
      <c r="B54" s="601" t="s">
        <v>946</v>
      </c>
      <c r="C54" s="600"/>
      <c r="D54" s="597"/>
      <c r="E54" s="603" t="s">
        <v>495</v>
      </c>
      <c r="F54" s="2247"/>
      <c r="G54" s="224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2" t="s">
        <v>851</v>
      </c>
      <c r="B1" s="2273"/>
      <c r="C1" s="2273"/>
      <c r="D1" s="2273"/>
      <c r="E1" s="2273"/>
      <c r="F1" s="2273"/>
      <c r="G1" s="2274"/>
      <c r="H1" s="1343"/>
      <c r="I1" s="614"/>
      <c r="J1" s="400"/>
    </row>
    <row r="2" spans="1:11" ht="26.25" x14ac:dyDescent="0.2">
      <c r="A2" s="2291" t="s">
        <v>1661</v>
      </c>
      <c r="B2" s="2292"/>
      <c r="C2" s="2292"/>
      <c r="D2" s="2292"/>
      <c r="E2" s="2293"/>
      <c r="F2" s="615" t="s">
        <v>898</v>
      </c>
      <c r="G2" s="616" t="s">
        <v>1658</v>
      </c>
      <c r="H2" s="616" t="s">
        <v>407</v>
      </c>
      <c r="I2" s="616" t="s">
        <v>1150</v>
      </c>
      <c r="J2" s="616" t="s">
        <v>1792</v>
      </c>
      <c r="K2" s="616" t="s">
        <v>137</v>
      </c>
    </row>
    <row r="3" spans="1:11" x14ac:dyDescent="0.2">
      <c r="A3" s="2294" t="str">
        <f>"Cash Basis Fund Balance as of July 1, "&amp;'AFR20'!E2-1</f>
        <v>Cash Basis Fund Balance as of July 1, 2019</v>
      </c>
      <c r="B3" s="2295"/>
      <c r="C3" s="2295"/>
      <c r="D3" s="2295"/>
      <c r="E3" s="2296"/>
      <c r="F3" s="617"/>
      <c r="G3" s="1794"/>
      <c r="H3" s="1794"/>
      <c r="I3" s="1794"/>
      <c r="J3" s="1795"/>
      <c r="K3" s="1795"/>
    </row>
    <row r="4" spans="1:11" x14ac:dyDescent="0.2">
      <c r="A4" s="2297" t="s">
        <v>366</v>
      </c>
      <c r="B4" s="2298"/>
      <c r="C4" s="2298"/>
      <c r="D4" s="2298"/>
      <c r="E4" s="2244"/>
      <c r="F4" s="620"/>
      <c r="G4" s="1796"/>
      <c r="H4" s="1797"/>
      <c r="I4" s="1796"/>
      <c r="J4" s="1798"/>
      <c r="K4" s="1798"/>
    </row>
    <row r="5" spans="1:11" x14ac:dyDescent="0.2">
      <c r="A5" s="2275" t="s">
        <v>1062</v>
      </c>
      <c r="B5" s="2276"/>
      <c r="C5" s="2276"/>
      <c r="D5" s="2276"/>
      <c r="E5" s="2277"/>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275" t="s">
        <v>1793</v>
      </c>
      <c r="B10" s="2276"/>
      <c r="C10" s="2276"/>
      <c r="D10" s="2276"/>
      <c r="E10" s="2278"/>
      <c r="F10" s="633" t="s">
        <v>857</v>
      </c>
      <c r="G10" s="1803"/>
      <c r="H10" s="1804"/>
      <c r="I10" s="1794"/>
      <c r="J10" s="1795"/>
      <c r="K10" s="1795"/>
    </row>
    <row r="11" spans="1:11" x14ac:dyDescent="0.2">
      <c r="A11" s="2275" t="s">
        <v>159</v>
      </c>
      <c r="B11" s="2276"/>
      <c r="C11" s="2276"/>
      <c r="D11" s="2276"/>
      <c r="E11" s="2277"/>
      <c r="F11" s="622" t="s">
        <v>847</v>
      </c>
      <c r="G11" s="1799"/>
      <c r="H11" s="1794"/>
      <c r="I11" s="1794"/>
      <c r="J11" s="1795"/>
      <c r="K11" s="1801"/>
    </row>
    <row r="12" spans="1:11" ht="13.5" thickBot="1" x14ac:dyDescent="0.25">
      <c r="A12" s="2302" t="s">
        <v>899</v>
      </c>
      <c r="B12" s="2303"/>
      <c r="C12" s="2303"/>
      <c r="D12" s="2303"/>
      <c r="E12" s="2304"/>
      <c r="F12" s="1482"/>
      <c r="G12" s="1805">
        <f>SUM(G5:G11)</f>
        <v>0</v>
      </c>
      <c r="H12" s="1805">
        <f>SUM(H5:H11)</f>
        <v>0</v>
      </c>
      <c r="I12" s="1805">
        <f>SUM(I5:I11)</f>
        <v>0</v>
      </c>
      <c r="J12" s="1805">
        <f>SUM(J5:J11)</f>
        <v>0</v>
      </c>
      <c r="K12" s="1805">
        <f>SUM(K5:K11)</f>
        <v>0</v>
      </c>
    </row>
    <row r="13" spans="1:11" ht="13.5" thickTop="1" x14ac:dyDescent="0.2">
      <c r="A13" s="2299" t="s">
        <v>367</v>
      </c>
      <c r="B13" s="2300"/>
      <c r="C13" s="2300"/>
      <c r="D13" s="2300"/>
      <c r="E13" s="2301"/>
      <c r="F13" s="634"/>
      <c r="G13" s="1806"/>
      <c r="H13" s="1807"/>
      <c r="I13" s="1808"/>
      <c r="J13" s="1808"/>
      <c r="K13" s="1808"/>
    </row>
    <row r="14" spans="1:11" x14ac:dyDescent="0.2">
      <c r="A14" s="2282" t="s">
        <v>453</v>
      </c>
      <c r="B14" s="2282"/>
      <c r="C14" s="2282"/>
      <c r="D14" s="2282"/>
      <c r="E14" s="2283"/>
      <c r="F14" s="635" t="s">
        <v>849</v>
      </c>
      <c r="G14" s="1803"/>
      <c r="H14" s="1794"/>
      <c r="I14" s="1799"/>
      <c r="J14" s="1801"/>
      <c r="K14" s="1795"/>
    </row>
    <row r="15" spans="1:11" x14ac:dyDescent="0.2">
      <c r="A15" s="2276" t="s">
        <v>4</v>
      </c>
      <c r="B15" s="2276"/>
      <c r="C15" s="2276"/>
      <c r="D15" s="2276"/>
      <c r="E15" s="2277"/>
      <c r="F15" s="635" t="s">
        <v>850</v>
      </c>
      <c r="G15" s="1799"/>
      <c r="H15" s="1794"/>
      <c r="I15" s="1794"/>
      <c r="J15" s="1795"/>
      <c r="K15" s="1795"/>
    </row>
    <row r="16" spans="1:11" x14ac:dyDescent="0.2">
      <c r="A16" s="2276" t="s">
        <v>295</v>
      </c>
      <c r="B16" s="2276"/>
      <c r="C16" s="2276"/>
      <c r="D16" s="2276"/>
      <c r="E16" s="2277"/>
      <c r="F16" s="635" t="s">
        <v>917</v>
      </c>
      <c r="G16" s="1800"/>
      <c r="H16" s="1796"/>
      <c r="I16" s="1796"/>
      <c r="J16" s="1798"/>
      <c r="K16" s="1798"/>
    </row>
    <row r="17" spans="1:15" x14ac:dyDescent="0.2">
      <c r="A17" s="2309" t="s">
        <v>929</v>
      </c>
      <c r="B17" s="2309"/>
      <c r="C17" s="2309"/>
      <c r="D17" s="2309"/>
      <c r="E17" s="2310"/>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284" t="s">
        <v>1789</v>
      </c>
      <c r="B19" s="2284"/>
      <c r="C19" s="2284"/>
      <c r="D19" s="2284"/>
      <c r="E19" s="2285"/>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305" t="s">
        <v>633</v>
      </c>
      <c r="B21" s="2305"/>
      <c r="C21" s="2305"/>
      <c r="D21" s="2305"/>
      <c r="E21" s="2305"/>
      <c r="F21" s="1483"/>
      <c r="G21" s="1810"/>
      <c r="H21" s="1814"/>
      <c r="I21" s="1814"/>
      <c r="J21" s="1815">
        <f>SUM(J18:J20)</f>
        <v>0</v>
      </c>
      <c r="K21" s="1811"/>
    </row>
    <row r="22" spans="1:15" ht="13.5" thickTop="1" x14ac:dyDescent="0.2">
      <c r="A22" s="2276" t="s">
        <v>1795</v>
      </c>
      <c r="B22" s="2276"/>
      <c r="C22" s="2276"/>
      <c r="D22" s="2276"/>
      <c r="E22" s="2277"/>
      <c r="F22" s="635" t="s">
        <v>857</v>
      </c>
      <c r="G22" s="1803"/>
      <c r="H22" s="1794"/>
      <c r="I22" s="1794"/>
      <c r="J22" s="1816"/>
      <c r="K22" s="1795"/>
    </row>
    <row r="23" spans="1:15" ht="13.5" thickBot="1" x14ac:dyDescent="0.25">
      <c r="A23" s="2306" t="s">
        <v>900</v>
      </c>
      <c r="B23" s="2305"/>
      <c r="C23" s="2305"/>
      <c r="D23" s="2305"/>
      <c r="E23" s="2305"/>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307" t="str">
        <f>"Ending Cash Basis Fund Balance as of June 30, "&amp;'AFR20'!E2</f>
        <v>Ending Cash Basis Fund Balance as of June 30, 2020</v>
      </c>
      <c r="B24" s="2308"/>
      <c r="C24" s="2308"/>
      <c r="D24" s="2308"/>
      <c r="E24" s="2308"/>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79"/>
      <c r="I31" s="2280"/>
      <c r="J31" s="2280"/>
      <c r="K31" s="2280"/>
    </row>
    <row r="32" spans="1:15" x14ac:dyDescent="0.2">
      <c r="A32" s="649"/>
      <c r="B32" s="232"/>
      <c r="C32" s="232"/>
      <c r="D32" s="232"/>
      <c r="E32" s="645"/>
      <c r="F32" s="651" t="s">
        <v>537</v>
      </c>
      <c r="G32" s="618"/>
      <c r="H32" s="2281"/>
      <c r="I32" s="2280"/>
      <c r="J32" s="2280"/>
      <c r="K32" s="2280"/>
    </row>
    <row r="33" spans="1:11" ht="1.5" customHeight="1" x14ac:dyDescent="0.2">
      <c r="A33" s="652" t="s">
        <v>1161</v>
      </c>
      <c r="B33" s="341"/>
      <c r="C33" s="341"/>
      <c r="D33" s="341"/>
      <c r="E33" s="341"/>
      <c r="F33" s="341"/>
      <c r="G33" s="653"/>
      <c r="H33" s="2281"/>
      <c r="I33" s="2280"/>
      <c r="J33" s="2280"/>
      <c r="K33" s="228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6" t="s">
        <v>538</v>
      </c>
      <c r="B41" s="2289"/>
      <c r="C41" s="2289"/>
      <c r="D41" s="2289"/>
      <c r="E41" s="2289"/>
      <c r="F41" s="229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627808</v>
      </c>
      <c r="D5" s="1820"/>
      <c r="E5" s="1820">
        <v>378778</v>
      </c>
      <c r="F5" s="1815">
        <f>(C5+D5)-E5</f>
        <v>249030</v>
      </c>
      <c r="G5" s="676"/>
      <c r="H5" s="680"/>
      <c r="I5" s="680"/>
      <c r="J5" s="680"/>
      <c r="K5" s="637"/>
      <c r="L5" s="1491">
        <f>F5-K5</f>
        <v>249030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5580349</v>
      </c>
      <c r="D8" s="1821">
        <v>21620</v>
      </c>
      <c r="E8" s="1821"/>
      <c r="F8" s="1815">
        <f>(C8+D8)-E8</f>
        <v>5601969</v>
      </c>
      <c r="G8" s="681">
        <v>50</v>
      </c>
      <c r="H8" s="619">
        <v>1899659</v>
      </c>
      <c r="I8" s="619">
        <v>82965</v>
      </c>
      <c r="J8" s="619"/>
      <c r="K8" s="1491">
        <f>(H8+I8)-J8</f>
        <v>1982624</v>
      </c>
      <c r="L8" s="1491">
        <f>F8-K8</f>
        <v>3619345</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51641</v>
      </c>
      <c r="D10" s="1822"/>
      <c r="E10" s="1822"/>
      <c r="F10" s="1823">
        <f>(C10+D10)-E10</f>
        <v>51641</v>
      </c>
      <c r="G10" s="681">
        <v>20</v>
      </c>
      <c r="H10" s="683">
        <v>51641</v>
      </c>
      <c r="I10" s="683"/>
      <c r="J10" s="683"/>
      <c r="K10" s="1491">
        <f>(H10+I10)-J10</f>
        <v>51641</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2988159</v>
      </c>
      <c r="D12" s="1821">
        <v>46207</v>
      </c>
      <c r="E12" s="1821"/>
      <c r="F12" s="1815">
        <f>(C12+D12)-E12</f>
        <v>3034366</v>
      </c>
      <c r="G12" s="681">
        <v>10</v>
      </c>
      <c r="H12" s="619">
        <v>2464709</v>
      </c>
      <c r="I12" s="619">
        <v>89594</v>
      </c>
      <c r="J12" s="619"/>
      <c r="K12" s="1491">
        <f>(H12+I12)-J12</f>
        <v>2554303</v>
      </c>
      <c r="L12" s="1491">
        <f>F12-K12</f>
        <v>480063</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9247957</v>
      </c>
      <c r="D16" s="1815">
        <f>SUM(D3,D5:D6,D8:D10,D12:D15)</f>
        <v>67827</v>
      </c>
      <c r="E16" s="1815">
        <f>SUM(E3,E5:E6,E8:E10,E12:E15)</f>
        <v>378778</v>
      </c>
      <c r="F16" s="1815">
        <f>SUM(F3,F5:F6,F8:F10,F12:F15)</f>
        <v>8937006</v>
      </c>
      <c r="G16" s="681"/>
      <c r="H16" s="1484">
        <f>SUM(H3,H6,H8:H10,H12:H14,)</f>
        <v>4416009</v>
      </c>
      <c r="I16" s="1484">
        <f>SUM(I3,I6,I8:I10,I12:I14,)</f>
        <v>172559</v>
      </c>
      <c r="J16" s="1484">
        <f>SUM(J3,J6,J8:J10,J12:J14,)</f>
        <v>0</v>
      </c>
      <c r="K16" s="1484">
        <f>(H16+I16)-J16</f>
        <v>4588568</v>
      </c>
      <c r="L16" s="1484">
        <f>F16-K16</f>
        <v>4348438</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172559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2"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2654861</v>
      </c>
      <c r="G8" s="701"/>
    </row>
    <row r="9" spans="1:9" x14ac:dyDescent="0.2">
      <c r="A9" s="705" t="s">
        <v>457</v>
      </c>
      <c r="B9" s="706" t="s">
        <v>1851</v>
      </c>
      <c r="C9" s="707"/>
      <c r="D9" s="705" t="s">
        <v>498</v>
      </c>
      <c r="E9" s="704"/>
      <c r="F9" s="1825">
        <f>'Expenditures 15-22'!K151</f>
        <v>594207</v>
      </c>
      <c r="G9" s="708"/>
    </row>
    <row r="10" spans="1:9" x14ac:dyDescent="0.2">
      <c r="A10" s="705" t="s">
        <v>496</v>
      </c>
      <c r="B10" s="706" t="s">
        <v>1852</v>
      </c>
      <c r="C10" s="707"/>
      <c r="D10" s="705" t="s">
        <v>498</v>
      </c>
      <c r="E10" s="704"/>
      <c r="F10" s="1825">
        <f>'Expenditures 15-22'!K174</f>
        <v>146306</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3395374</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0</v>
      </c>
      <c r="G53" s="701"/>
    </row>
    <row r="54" spans="1:7" x14ac:dyDescent="0.2">
      <c r="A54" s="705" t="s">
        <v>456</v>
      </c>
      <c r="B54" s="705" t="s">
        <v>1462</v>
      </c>
      <c r="C54" s="724" t="s">
        <v>975</v>
      </c>
      <c r="D54" s="720" t="s">
        <v>1088</v>
      </c>
      <c r="E54" s="704"/>
      <c r="F54" s="1832">
        <f>'Expenditures 15-22'!G114</f>
        <v>39341</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246603</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95000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380944</v>
      </c>
      <c r="G77" s="701"/>
    </row>
    <row r="78" spans="1:9" s="728" customFormat="1" ht="12" customHeight="1" thickTop="1" thickBot="1" x14ac:dyDescent="0.25">
      <c r="A78" s="1499"/>
      <c r="B78" s="1497"/>
      <c r="C78" s="1494"/>
      <c r="D78" s="1498" t="s">
        <v>2015</v>
      </c>
      <c r="E78" s="1496"/>
      <c r="F78" s="1838">
        <f>(F14-F77)</f>
        <v>3014430</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38039</v>
      </c>
      <c r="G96" s="745"/>
    </row>
    <row r="97" spans="1:7" x14ac:dyDescent="0.2">
      <c r="A97" s="741" t="s">
        <v>456</v>
      </c>
      <c r="B97" s="741" t="s">
        <v>175</v>
      </c>
      <c r="C97" s="743">
        <f>'Revenues 9-14'!B84</f>
        <v>1811</v>
      </c>
      <c r="D97" s="744" t="str">
        <f>'Revenues 9-14'!A84</f>
        <v>Rentals - Regular Textbooks</v>
      </c>
      <c r="E97" s="739"/>
      <c r="F97" s="1843">
        <f>'Revenues 9-14'!C84</f>
        <v>8879</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741550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17910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c r="G172" s="760"/>
    </row>
    <row r="173" spans="1:7" x14ac:dyDescent="0.2">
      <c r="A173" s="1579" t="s">
        <v>659</v>
      </c>
      <c r="B173" s="1580" t="s">
        <v>1888</v>
      </c>
      <c r="C173" s="1581">
        <v>3300</v>
      </c>
      <c r="D173" s="1582" t="s">
        <v>1891</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806378</v>
      </c>
    </row>
    <row r="176" spans="1:7" ht="12" customHeight="1" x14ac:dyDescent="0.2">
      <c r="A176" s="1492"/>
      <c r="B176" s="1502"/>
      <c r="C176" s="1503"/>
      <c r="D176" s="1504" t="s">
        <v>2017</v>
      </c>
      <c r="E176" s="1505"/>
      <c r="F176" s="1843">
        <f>'PCTC-OEPP 27-28'!F78-F175</f>
        <v>2208052</v>
      </c>
    </row>
    <row r="177" spans="1:9" ht="12" customHeight="1" x14ac:dyDescent="0.2">
      <c r="A177" s="1492"/>
      <c r="B177" s="1502"/>
      <c r="C177" s="1503"/>
      <c r="D177" s="1504" t="s">
        <v>1797</v>
      </c>
      <c r="E177" s="1505"/>
      <c r="F177" s="1843">
        <f>'Cap Outlay Deprec 26'!I18</f>
        <v>172559</v>
      </c>
    </row>
    <row r="178" spans="1:9" ht="12" customHeight="1" x14ac:dyDescent="0.2">
      <c r="A178" s="1492"/>
      <c r="B178" s="1502"/>
      <c r="C178" s="1503"/>
      <c r="D178" s="1504" t="s">
        <v>2018</v>
      </c>
      <c r="E178" s="1505"/>
      <c r="F178" s="1843">
        <f>F176+F177</f>
        <v>2380611</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142"/>
  <sheetViews>
    <sheetView showGridLines="0" zoomScaleNormal="100" workbookViewId="0">
      <selection activeCell="D22" sqref="D22"/>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30" t="s">
        <v>1799</v>
      </c>
      <c r="B6" s="1931"/>
      <c r="C6" s="1932"/>
      <c r="D6" s="1932"/>
      <c r="E6" s="1932"/>
      <c r="F6" s="1933"/>
    </row>
    <row r="7" spans="1:6" ht="47.25" customHeight="1" x14ac:dyDescent="0.25">
      <c r="A7" s="2336" t="s">
        <v>1988</v>
      </c>
      <c r="B7" s="2337"/>
      <c r="C7" s="2337"/>
      <c r="D7" s="2337"/>
      <c r="E7" s="2337"/>
      <c r="F7" s="2338"/>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6" t="s">
        <v>1985</v>
      </c>
      <c r="B12" s="1937"/>
      <c r="C12" s="1938"/>
      <c r="D12" s="1938"/>
      <c r="E12" s="1938"/>
      <c r="F12" s="1939"/>
    </row>
    <row r="13" spans="1:6" ht="17.25" customHeight="1" x14ac:dyDescent="0.25">
      <c r="A13" s="2336" t="s">
        <v>1986</v>
      </c>
      <c r="B13" s="2337"/>
      <c r="C13" s="2337"/>
      <c r="D13" s="2337"/>
      <c r="E13" s="2337"/>
      <c r="F13" s="2338"/>
    </row>
    <row r="14" spans="1:6" ht="15" customHeight="1" x14ac:dyDescent="0.25">
      <c r="A14" s="1936" t="s">
        <v>1803</v>
      </c>
      <c r="B14" s="1937"/>
      <c r="C14" s="1938"/>
      <c r="D14" s="1938"/>
      <c r="E14" s="1938"/>
      <c r="F14" s="1939"/>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8" t="s">
        <v>2043</v>
      </c>
      <c r="B18" s="1971">
        <v>101000300</v>
      </c>
      <c r="C18" s="1989" t="s">
        <v>2044</v>
      </c>
      <c r="D18" s="1949">
        <v>205530</v>
      </c>
      <c r="E18" s="1969" t="str">
        <f t="shared" ref="E18:E81" si="0">IF(D18&lt;25000,D18,"25,000")</f>
        <v>25,000</v>
      </c>
      <c r="F18" s="1969">
        <f t="shared" ref="F18:F81" si="1">IF(D18&gt;=25000,(D18-E18),"0")</f>
        <v>180530</v>
      </c>
      <c r="G18" s="1950"/>
    </row>
    <row r="19" spans="1:7" x14ac:dyDescent="0.25">
      <c r="A19" s="1988" t="s">
        <v>2045</v>
      </c>
      <c r="B19" s="1971">
        <v>202540300</v>
      </c>
      <c r="C19" s="1989" t="s">
        <v>2046</v>
      </c>
      <c r="D19" s="1949">
        <v>21192</v>
      </c>
      <c r="E19" s="1969">
        <f t="shared" si="0"/>
        <v>21192</v>
      </c>
      <c r="F19" s="1969" t="str">
        <f t="shared" si="1"/>
        <v>0</v>
      </c>
    </row>
    <row r="20" spans="1:7" x14ac:dyDescent="0.25">
      <c r="A20" s="1988" t="s">
        <v>2045</v>
      </c>
      <c r="B20" s="1971">
        <v>202540300</v>
      </c>
      <c r="C20" s="1989" t="s">
        <v>2047</v>
      </c>
      <c r="D20" s="1949">
        <v>3900</v>
      </c>
      <c r="E20" s="1969">
        <f t="shared" si="0"/>
        <v>3900</v>
      </c>
      <c r="F20" s="1969" t="str">
        <f t="shared" si="1"/>
        <v>0</v>
      </c>
    </row>
    <row r="21" spans="1:7" x14ac:dyDescent="0.25">
      <c r="A21" s="1988" t="s">
        <v>2045</v>
      </c>
      <c r="B21" s="1971">
        <v>202540300</v>
      </c>
      <c r="C21" s="1989" t="s">
        <v>2048</v>
      </c>
      <c r="D21" s="1949">
        <v>3692</v>
      </c>
      <c r="E21" s="1969">
        <f t="shared" si="0"/>
        <v>3692</v>
      </c>
      <c r="F21" s="1969" t="str">
        <f t="shared" si="1"/>
        <v>0</v>
      </c>
    </row>
    <row r="22" spans="1:7" x14ac:dyDescent="0.25">
      <c r="A22" s="1988"/>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234314</v>
      </c>
      <c r="E142" s="1956">
        <f>SUM(E18:E141)</f>
        <v>28784</v>
      </c>
      <c r="F142" s="1957">
        <f>SUM(F18:F141)</f>
        <v>180530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3"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2" t="s">
        <v>1663</v>
      </c>
      <c r="B5" s="2343"/>
      <c r="C5" s="2343"/>
      <c r="D5" s="2343"/>
      <c r="E5" s="2343"/>
      <c r="F5" s="2343"/>
      <c r="G5" s="234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2005021</v>
      </c>
      <c r="F19" s="1852"/>
      <c r="G19" s="1854">
        <f>'Expenditures 15-22'!K33-SUM('Expenditures 15-22'!G33,'Expenditures 15-22'!I33)+'Expenditures 15-22'!D229</f>
        <v>2005021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6606</v>
      </c>
      <c r="F21" s="1855"/>
      <c r="G21" s="1858">
        <f>'Expenditures 15-22'!K42-SUM('Expenditures 15-22'!G42,'Expenditures 15-22'!I42)+'Expenditures 15-22'!K120-SUM('Expenditures 15-22'!G120,'Expenditures 15-22'!I120)+'Expenditures 15-22'!K180-SUM('Expenditures 15-22'!G180,'Expenditures 15-22'!I180)+'Expenditures 15-22'!D238</f>
        <v>6606</v>
      </c>
      <c r="H21" s="817"/>
      <c r="I21" s="157"/>
    </row>
    <row r="22" spans="1:9" s="542" customFormat="1" ht="12" customHeight="1" x14ac:dyDescent="0.2">
      <c r="A22" s="824" t="s">
        <v>560</v>
      </c>
      <c r="B22" s="825"/>
      <c r="C22" s="823">
        <v>2200</v>
      </c>
      <c r="D22" s="1855"/>
      <c r="E22" s="1857">
        <f>'Expenditures 15-22'!K47-SUM('Expenditures 15-22'!G47,'Expenditures 15-22'!I47)+'Expenditures 15-22'!D243</f>
        <v>7424</v>
      </c>
      <c r="F22" s="1855"/>
      <c r="G22" s="1858">
        <f>'Expenditures 15-22'!K47-SUM('Expenditures 15-22'!G47,'Expenditures 15-22'!I47)+'Expenditures 15-22'!D243</f>
        <v>7424</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491465</v>
      </c>
      <c r="F23" s="1855"/>
      <c r="G23" s="1857">
        <f>'Expenditures 15-22'!K53-SUM('Expenditures 15-22'!G53,'Expenditures 15-22'!I53)+'Expenditures 15-22'!D257+'Expenditures 15-22'!K330-SUM('Expenditures 15-22'!G330,'Expenditures 15-22'!I330)</f>
        <v>491465</v>
      </c>
      <c r="H23" s="817"/>
      <c r="I23" s="157"/>
    </row>
    <row r="24" spans="1:9" s="542" customFormat="1" ht="12" customHeight="1" x14ac:dyDescent="0.2">
      <c r="A24" s="824" t="s">
        <v>562</v>
      </c>
      <c r="B24" s="825"/>
      <c r="C24" s="823">
        <v>2400</v>
      </c>
      <c r="D24" s="1855"/>
      <c r="E24" s="1857">
        <f>'Expenditures 15-22'!K57-SUM('Expenditures 15-22'!G57,'Expenditures 15-22'!I57)+'Expenditures 15-22'!D261</f>
        <v>35369</v>
      </c>
      <c r="F24" s="1855"/>
      <c r="G24" s="1858">
        <f>'Expenditures 15-22'!K57-SUM('Expenditures 15-22'!G57,'Expenditures 15-22'!I57)+'Expenditures 15-22'!D261</f>
        <v>35369</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0</v>
      </c>
      <c r="E27" s="1857">
        <f>E8</f>
        <v>0</v>
      </c>
      <c r="F27" s="1857">
        <f>'Expenditures 15-22'!K60-SUM('Expenditures 15-22'!G60,'Expenditures 15-22'!I60)+'Expenditures 15-22'!D264-E8</f>
        <v>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413163</v>
      </c>
      <c r="F28" s="1859">
        <f>'Expenditures 15-22'!K61-SUM('Expenditures 15-22'!G61,'Expenditures 15-22'!I61)+'Expenditures 15-22'!K124-SUM('Expenditures 15-22'!G124,'Expenditures 15-22'!I124)+'Expenditures 15-22'!D266-E9</f>
        <v>413163</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4076</v>
      </c>
      <c r="F29" s="1855"/>
      <c r="G29" s="1858">
        <f>'Expenditures 15-22'!K62-SUM('Expenditures 15-22'!G62,'Expenditures 15-22'!I62)+'Expenditures 15-22'!K125-SUM('Expenditures 15-22'!G125,'Expenditures 15-22'!I125)+'Expenditures 15-22'!K182-SUM('Expenditures 15-22'!G182,'Expenditures 15-22'!I182)+'Expenditures 15-22'!D267</f>
        <v>4076</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-180530</v>
      </c>
      <c r="F40" s="1855"/>
      <c r="G40" s="1859">
        <f>-'Contracts Paid in CY 29'!F142</f>
        <v>-180530</v>
      </c>
    </row>
    <row r="41" spans="1:7" ht="12" customHeight="1" x14ac:dyDescent="0.2">
      <c r="A41" s="828" t="s">
        <v>155</v>
      </c>
      <c r="B41" s="829"/>
      <c r="C41" s="830"/>
      <c r="D41" s="1859">
        <f>SUM(D19:D39)</f>
        <v>0</v>
      </c>
      <c r="E41" s="1859">
        <f>SUM(E19:E40)</f>
        <v>2782594</v>
      </c>
      <c r="F41" s="1859">
        <f>SUM(F19:F39)</f>
        <v>413163</v>
      </c>
      <c r="G41" s="1859">
        <f>SUM(G19:G40)</f>
        <v>2369431</v>
      </c>
    </row>
    <row r="42" spans="1:7" x14ac:dyDescent="0.2">
      <c r="A42" s="817"/>
      <c r="B42" s="157"/>
      <c r="C42" s="831"/>
      <c r="D42" s="2345" t="s">
        <v>519</v>
      </c>
      <c r="E42" s="2346"/>
      <c r="F42" s="832" t="s">
        <v>520</v>
      </c>
      <c r="G42" s="833"/>
    </row>
    <row r="43" spans="1:7" ht="12" customHeight="1" x14ac:dyDescent="0.2">
      <c r="A43" s="817"/>
      <c r="B43" s="157"/>
      <c r="C43" s="831"/>
      <c r="D43" s="1507" t="s">
        <v>470</v>
      </c>
      <c r="E43" s="1860">
        <f>D41</f>
        <v>0</v>
      </c>
      <c r="F43" s="1507" t="s">
        <v>470</v>
      </c>
      <c r="G43" s="1860">
        <f>F41</f>
        <v>413163</v>
      </c>
    </row>
    <row r="44" spans="1:7" ht="12" customHeight="1" x14ac:dyDescent="0.2">
      <c r="A44" s="817"/>
      <c r="B44" s="157"/>
      <c r="C44" s="831"/>
      <c r="D44" s="1507" t="s">
        <v>471</v>
      </c>
      <c r="E44" s="1860">
        <f>E41</f>
        <v>2782594</v>
      </c>
      <c r="F44" s="1507" t="s">
        <v>471</v>
      </c>
      <c r="G44" s="1860">
        <f>G41</f>
        <v>2369431</v>
      </c>
    </row>
    <row r="45" spans="1:7" ht="12" customHeight="1" x14ac:dyDescent="0.2">
      <c r="A45" s="817"/>
      <c r="B45" s="157"/>
      <c r="C45" s="157"/>
      <c r="D45" s="1508" t="s">
        <v>999</v>
      </c>
      <c r="E45" s="1861">
        <f>(E43/E44)</f>
        <v>0</v>
      </c>
      <c r="F45" s="1508" t="s">
        <v>999</v>
      </c>
      <c r="G45" s="1861">
        <f>(G43/G44)</f>
        <v>0.1743722438003048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topLeftCell="A16" zoomScale="110" zoomScaleNormal="110" workbookViewId="0">
      <selection activeCell="K36" sqref="K36"/>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4" t="s">
        <v>1365</v>
      </c>
      <c r="B1" s="2364"/>
      <c r="C1" s="2364"/>
      <c r="D1" s="2364"/>
      <c r="E1" s="2364"/>
      <c r="F1" s="2364"/>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65" t="s">
        <v>1532</v>
      </c>
      <c r="B5" s="2366"/>
      <c r="C5" s="2367"/>
      <c r="D5" s="2367"/>
      <c r="E5" s="2367"/>
      <c r="F5" s="2367"/>
      <c r="G5" s="1556"/>
      <c r="L5" s="1556"/>
      <c r="M5" s="1913"/>
      <c r="N5" s="1913"/>
      <c r="O5" s="1913"/>
    </row>
    <row r="6" spans="1:15" ht="12" customHeight="1" x14ac:dyDescent="0.25">
      <c r="A6" s="1529"/>
      <c r="B6" s="1530"/>
      <c r="C6" s="2368" t="str">
        <f>COVER!A17</f>
        <v>Grundy Area Voc Center</v>
      </c>
      <c r="D6" s="2368"/>
      <c r="E6" s="2368"/>
      <c r="F6" s="1531"/>
      <c r="G6" s="1556"/>
      <c r="L6" s="1556"/>
      <c r="M6" s="1913"/>
      <c r="N6" s="1913"/>
      <c r="O6" s="1913"/>
    </row>
    <row r="7" spans="1:15" ht="11.25" customHeight="1" thickBot="1" x14ac:dyDescent="0.3">
      <c r="A7" s="1529"/>
      <c r="B7" s="1530"/>
      <c r="C7" s="2369">
        <f>COVER!A13</f>
        <v>24032790040</v>
      </c>
      <c r="D7" s="2369"/>
      <c r="E7" s="2369"/>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2038</v>
      </c>
      <c r="D31" s="1544" t="s">
        <v>2038</v>
      </c>
      <c r="E31" s="1547"/>
      <c r="F31" s="1546" t="s">
        <v>2049</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0</v>
      </c>
      <c r="K34" s="1556">
        <f>SUM(H34:J34)</f>
        <v>10</v>
      </c>
      <c r="L34" s="1556"/>
      <c r="M34" s="1913"/>
      <c r="N34" s="1913"/>
      <c r="O34" s="1913"/>
    </row>
    <row r="35" spans="1:15" ht="12" customHeight="1" x14ac:dyDescent="0.2">
      <c r="A35" s="1549" t="s">
        <v>1378</v>
      </c>
      <c r="B35" s="1550"/>
      <c r="C35" s="2370"/>
      <c r="D35" s="2370"/>
      <c r="E35" s="2370"/>
      <c r="F35" s="2371"/>
    </row>
    <row r="36" spans="1:15" ht="12" customHeight="1" x14ac:dyDescent="0.2">
      <c r="A36" s="2353"/>
      <c r="B36" s="2354"/>
      <c r="C36" s="2354"/>
      <c r="D36" s="2354"/>
      <c r="E36" s="2354"/>
      <c r="F36" s="2355"/>
    </row>
    <row r="37" spans="1:15" ht="12" customHeight="1" x14ac:dyDescent="0.2">
      <c r="A37" s="2353"/>
      <c r="B37" s="2354"/>
      <c r="C37" s="2354"/>
      <c r="D37" s="2354"/>
      <c r="E37" s="2354"/>
      <c r="F37" s="2355"/>
    </row>
    <row r="38" spans="1:15" ht="12" customHeight="1" x14ac:dyDescent="0.2">
      <c r="A38" s="2356"/>
      <c r="B38" s="2357"/>
      <c r="C38" s="2357"/>
      <c r="D38" s="2357"/>
      <c r="E38" s="2357"/>
      <c r="F38" s="2358"/>
    </row>
    <row r="39" spans="1:15" ht="4.5" hidden="1" customHeight="1" x14ac:dyDescent="0.2">
      <c r="A39" s="1551"/>
      <c r="B39" s="1551"/>
      <c r="C39" s="1551"/>
      <c r="D39" s="1551"/>
      <c r="E39" s="1551"/>
      <c r="F39" s="1551"/>
    </row>
    <row r="40" spans="1:15" s="1548" customFormat="1" ht="12" customHeight="1" x14ac:dyDescent="0.25">
      <c r="A40" s="1552" t="s">
        <v>1377</v>
      </c>
      <c r="B40" s="1553"/>
      <c r="C40" s="2359"/>
      <c r="D40" s="2359"/>
      <c r="E40" s="2359"/>
      <c r="F40" s="2360"/>
      <c r="H40" s="1557"/>
      <c r="I40" s="1557"/>
      <c r="J40" s="1557"/>
      <c r="K40" s="1557"/>
    </row>
    <row r="41" spans="1:15" s="1548" customFormat="1" ht="12" customHeight="1" x14ac:dyDescent="0.25">
      <c r="A41" s="2361" t="s">
        <v>2050</v>
      </c>
      <c r="B41" s="2362"/>
      <c r="C41" s="2362"/>
      <c r="D41" s="2362"/>
      <c r="E41" s="2362"/>
      <c r="F41" s="2363"/>
      <c r="H41" s="1557"/>
      <c r="I41" s="1557"/>
      <c r="J41" s="1557"/>
      <c r="K41" s="1557"/>
    </row>
    <row r="42" spans="1:15" s="1548" customFormat="1" ht="12" customHeight="1" x14ac:dyDescent="0.25">
      <c r="A42" s="2361"/>
      <c r="B42" s="2362"/>
      <c r="C42" s="2362"/>
      <c r="D42" s="2362"/>
      <c r="E42" s="2362"/>
      <c r="F42" s="2363"/>
      <c r="H42" s="1557"/>
      <c r="I42" s="1557"/>
      <c r="J42" s="1557"/>
      <c r="K42" s="1557"/>
    </row>
    <row r="43" spans="1:15" s="1548" customFormat="1" ht="15" x14ac:dyDescent="0.25">
      <c r="A43" s="2350"/>
      <c r="B43" s="2351"/>
      <c r="C43" s="2351"/>
      <c r="D43" s="2351"/>
      <c r="E43" s="2351"/>
      <c r="F43" s="2352"/>
      <c r="H43" s="1557"/>
      <c r="I43" s="1557"/>
      <c r="J43" s="1557"/>
      <c r="K43" s="1557"/>
    </row>
    <row r="44" spans="1:15" s="1548" customFormat="1" ht="12" hidden="1" customHeight="1" x14ac:dyDescent="0.25">
      <c r="A44" s="2350"/>
      <c r="B44" s="2351"/>
      <c r="C44" s="2351"/>
      <c r="D44" s="2351"/>
      <c r="E44" s="2351"/>
      <c r="F44" s="235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topLeftCell="A7" colorId="8" zoomScaleNormal="100" workbookViewId="0">
      <selection activeCell="M28" sqref="M2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7" t="str">
        <f>COVER!A17</f>
        <v>Grundy Area Voc Center</v>
      </c>
      <c r="J6" s="2378"/>
      <c r="K6" s="2379"/>
      <c r="R6" s="1427"/>
    </row>
    <row r="7" spans="1:18" x14ac:dyDescent="0.2">
      <c r="A7" s="2380" t="s">
        <v>864</v>
      </c>
      <c r="B7" s="2381"/>
      <c r="C7" s="2381"/>
      <c r="D7" s="2381"/>
      <c r="E7" s="2382"/>
      <c r="F7" s="847"/>
      <c r="G7" s="839"/>
      <c r="H7" s="846" t="s">
        <v>369</v>
      </c>
      <c r="I7" s="2383">
        <f>COVER!A13</f>
        <v>24032790040</v>
      </c>
      <c r="J7" s="2383"/>
      <c r="K7" s="238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4" t="s">
        <v>478</v>
      </c>
      <c r="B11" s="2385"/>
      <c r="C11" s="2386"/>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244459</v>
      </c>
      <c r="F12" s="1864"/>
      <c r="G12" s="1863">
        <f t="shared" ref="G12:G18" si="0">SUM(E12:F12)</f>
        <v>244459</v>
      </c>
      <c r="H12" s="1865">
        <v>261700</v>
      </c>
      <c r="I12" s="1864"/>
      <c r="J12" s="1865"/>
      <c r="K12" s="1863">
        <f t="shared" ref="K12:K18" si="1">SUM(H12:J12)</f>
        <v>261700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7" t="s">
        <v>7</v>
      </c>
      <c r="C18" s="2388"/>
      <c r="D18" s="2389"/>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244459</v>
      </c>
      <c r="F19" s="1868">
        <f t="shared" si="2"/>
        <v>0</v>
      </c>
      <c r="G19" s="1868">
        <f t="shared" si="2"/>
        <v>244459</v>
      </c>
      <c r="H19" s="1868">
        <f t="shared" si="2"/>
        <v>261700</v>
      </c>
      <c r="I19" s="1868">
        <f t="shared" si="2"/>
        <v>0</v>
      </c>
      <c r="J19" s="1868">
        <f t="shared" si="2"/>
        <v>0</v>
      </c>
      <c r="K19" s="1868">
        <f t="shared" si="2"/>
        <v>261700</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8"/>
      <c r="K20" s="1870">
        <f>IF(AND(G19&gt;0,K19&gt;0),(((K19-G19)/G19)),"Enter Budget Data")</f>
        <v>7.0527164064321621E-2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6"/>
      <c r="D26" s="2396"/>
      <c r="E26" s="874"/>
      <c r="F26" s="2395"/>
      <c r="G26" s="2395"/>
    </row>
    <row r="27" spans="1:11" x14ac:dyDescent="0.2">
      <c r="B27" s="871"/>
      <c r="C27" s="875" t="s">
        <v>1026</v>
      </c>
      <c r="D27" s="876"/>
      <c r="E27" s="877"/>
      <c r="F27" s="2392" t="s">
        <v>1495</v>
      </c>
      <c r="G27" s="2392"/>
    </row>
    <row r="28" spans="1:11" ht="28.5" customHeight="1" x14ac:dyDescent="0.2">
      <c r="B28" s="871"/>
      <c r="C28" s="2394"/>
      <c r="D28" s="2394"/>
      <c r="E28" s="878"/>
      <c r="F28" s="2394"/>
      <c r="G28" s="2394"/>
    </row>
    <row r="29" spans="1:11" x14ac:dyDescent="0.2">
      <c r="B29" s="871"/>
      <c r="C29" s="879" t="s">
        <v>1547</v>
      </c>
      <c r="E29" s="880"/>
      <c r="F29" s="2393" t="s">
        <v>1496</v>
      </c>
      <c r="G29" s="239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5"/>
      <c r="E33" s="2375"/>
      <c r="F33" s="2375"/>
      <c r="G33" s="2375"/>
      <c r="H33" s="2375"/>
      <c r="I33" s="2375"/>
      <c r="J33" s="1976"/>
    </row>
    <row r="34" spans="1:11" ht="10.35" customHeight="1" x14ac:dyDescent="0.2">
      <c r="C34" s="2375"/>
      <c r="D34" s="2375"/>
      <c r="E34" s="2375"/>
      <c r="F34" s="2375"/>
      <c r="G34" s="2375"/>
      <c r="H34" s="2375"/>
      <c r="I34" s="2375"/>
      <c r="J34" s="1976"/>
    </row>
    <row r="35" spans="1:11" ht="7.5" customHeight="1" x14ac:dyDescent="0.2">
      <c r="C35" s="886"/>
    </row>
    <row r="36" spans="1:11" ht="13.5" customHeight="1" x14ac:dyDescent="0.2">
      <c r="B36" s="885"/>
      <c r="C36" s="237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5"/>
      <c r="E36" s="2375"/>
      <c r="F36" s="2375"/>
      <c r="G36" s="2375"/>
      <c r="H36" s="2375"/>
      <c r="I36" s="2375"/>
      <c r="J36" s="1976"/>
      <c r="K36" s="887"/>
    </row>
    <row r="37" spans="1:11" ht="22.5" customHeight="1" x14ac:dyDescent="0.2">
      <c r="C37" s="2375"/>
      <c r="D37" s="2375"/>
      <c r="E37" s="2375"/>
      <c r="F37" s="2375"/>
      <c r="G37" s="2375"/>
      <c r="H37" s="2375"/>
      <c r="I37" s="2375"/>
      <c r="J37" s="1976"/>
      <c r="K37" s="887"/>
    </row>
    <row r="38" spans="1:11" ht="7.5" customHeight="1" x14ac:dyDescent="0.2">
      <c r="C38" s="886"/>
      <c r="D38" s="888"/>
      <c r="E38" s="889"/>
      <c r="F38" s="890"/>
      <c r="G38" s="889"/>
    </row>
    <row r="39" spans="1:11" ht="13.5" customHeight="1" x14ac:dyDescent="0.2">
      <c r="B39" s="885"/>
      <c r="C39" s="2372" t="str">
        <f>"The district will amend their budget to become in compliance with the limitation."</f>
        <v>The district will amend their budget to become in compliance with the limitation.</v>
      </c>
      <c r="D39" s="2373"/>
      <c r="E39" s="2373"/>
      <c r="F39" s="2373"/>
      <c r="G39" s="2373"/>
      <c r="H39" s="2373"/>
      <c r="I39" s="237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8" sqref="B1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2039</v>
      </c>
    </row>
    <row r="6" spans="1:2" x14ac:dyDescent="0.2">
      <c r="A6" s="892">
        <v>2</v>
      </c>
      <c r="B6" s="307" t="s">
        <v>2040</v>
      </c>
    </row>
    <row r="7" spans="1:2" x14ac:dyDescent="0.2">
      <c r="A7" s="892">
        <v>3</v>
      </c>
      <c r="B7" s="307" t="s">
        <v>2041</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Grundy Area Voc Center</v>
      </c>
    </row>
    <row r="65" spans="2:2" x14ac:dyDescent="0.2">
      <c r="B65" s="894">
        <f>COVER!A13</f>
        <v>24032790040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64"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7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4" sqref="A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43011" r:id="rId4">
          <objectPr defaultSize="0" r:id="rId5">
            <anchor moveWithCells="1">
              <from>
                <xdr:col>1</xdr:col>
                <xdr:colOff>0</xdr:colOff>
                <xdr:row>1</xdr:row>
                <xdr:rowOff>0</xdr:rowOff>
              </from>
              <to>
                <xdr:col>1</xdr:col>
                <xdr:colOff>619125</xdr:colOff>
                <xdr:row>4</xdr:row>
                <xdr:rowOff>38100</xdr:rowOff>
              </to>
            </anchor>
          </objectPr>
        </oleObject>
      </mc:Choice>
      <mc:Fallback>
        <oleObject progId="AcroExch.Document.DC" dvAspect="DVASPECT_ICON" shapeId="43011" r:id="rId4"/>
      </mc:Fallback>
    </mc:AlternateContent>
    <mc:AlternateContent xmlns:mc="http://schemas.openxmlformats.org/markup-compatibility/2006">
      <mc:Choice Requires="x14">
        <oleObject progId="Acrobat Document" dvAspect="DVASPECT_ICON" shapeId="43012" r:id="rId6">
          <objectPr defaultSize="0" r:id="rId7">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43012" r:id="rId6"/>
      </mc:Fallback>
    </mc:AlternateContent>
    <mc:AlternateContent xmlns:mc="http://schemas.openxmlformats.org/markup-compatibility/2006">
      <mc:Choice Requires="x14">
        <oleObject progId="Acrobat Document" dvAspect="DVASPECT_ICON" shapeId="43013" r:id="rId8">
          <objectPr defaultSize="0" r:id="rId9">
            <anchor moveWithCells="1">
              <from>
                <xdr:col>0</xdr:col>
                <xdr:colOff>0</xdr:colOff>
                <xdr:row>9</xdr:row>
                <xdr:rowOff>0</xdr:rowOff>
              </from>
              <to>
                <xdr:col>1</xdr:col>
                <xdr:colOff>790575</xdr:colOff>
                <xdr:row>13</xdr:row>
                <xdr:rowOff>38100</xdr:rowOff>
              </to>
            </anchor>
          </objectPr>
        </oleObject>
      </mc:Choice>
      <mc:Fallback>
        <oleObject progId="Acrobat Document" dvAspect="DVASPECT_ICON" shapeId="43013" r:id="rId8"/>
      </mc:Fallback>
    </mc:AlternateContent>
    <mc:AlternateContent xmlns:mc="http://schemas.openxmlformats.org/markup-compatibility/2006">
      <mc:Choice Requires="x14">
        <oleObject progId="Acrobat Document" dvAspect="DVASPECT_ICON" shapeId="43014" r:id="rId10">
          <objectPr defaultSize="0" r:id="rId11">
            <anchor moveWithCells="1">
              <from>
                <xdr:col>0</xdr:col>
                <xdr:colOff>0</xdr:colOff>
                <xdr:row>13</xdr:row>
                <xdr:rowOff>0</xdr:rowOff>
              </from>
              <to>
                <xdr:col>1</xdr:col>
                <xdr:colOff>790575</xdr:colOff>
                <xdr:row>15</xdr:row>
                <xdr:rowOff>361950</xdr:rowOff>
              </to>
            </anchor>
          </objectPr>
        </oleObject>
      </mc:Choice>
      <mc:Fallback>
        <oleObject progId="Acrobat Document" dvAspect="DVASPECT_ICON" shapeId="4301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8" t="s">
        <v>1672</v>
      </c>
      <c r="B1" s="2399"/>
      <c r="C1" s="2399"/>
      <c r="D1" s="2399"/>
      <c r="E1" s="2399"/>
      <c r="F1" s="2400"/>
    </row>
    <row r="2" spans="1:8" ht="45"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2847849</v>
      </c>
      <c r="C8" s="1871">
        <f>'Acct Summary 7-8'!D8</f>
        <v>596404</v>
      </c>
      <c r="D8" s="1871">
        <f>'Acct Summary 7-8'!F8</f>
        <v>0</v>
      </c>
      <c r="E8" s="1871">
        <f>'Acct Summary 7-8'!I8</f>
        <v>0</v>
      </c>
      <c r="F8" s="1871">
        <f>SUM(B8:E8)</f>
        <v>3444253</v>
      </c>
    </row>
    <row r="9" spans="1:8" s="903" customFormat="1" ht="14.25" customHeight="1" thickBot="1" x14ac:dyDescent="0.25">
      <c r="A9" s="902" t="s">
        <v>1355</v>
      </c>
      <c r="B9" s="1872">
        <f>'Acct Summary 7-8'!C17</f>
        <v>2654861</v>
      </c>
      <c r="C9" s="1872">
        <f>'Acct Summary 7-8'!D17</f>
        <v>594207</v>
      </c>
      <c r="D9" s="1872">
        <f>'Acct Summary 7-8'!F17</f>
        <v>0</v>
      </c>
      <c r="E9" s="1871"/>
      <c r="F9" s="1871">
        <f>SUM(B9:E9)</f>
        <v>3249068</v>
      </c>
    </row>
    <row r="10" spans="1:8" s="903" customFormat="1" ht="14.25" thickTop="1" thickBot="1" x14ac:dyDescent="0.25">
      <c r="A10" s="904" t="s">
        <v>1356</v>
      </c>
      <c r="B10" s="1873">
        <f>(B8-B9)</f>
        <v>192988</v>
      </c>
      <c r="C10" s="1873">
        <f>(C8-C9)</f>
        <v>2197</v>
      </c>
      <c r="D10" s="1873">
        <f>(D8-D9)</f>
        <v>0</v>
      </c>
      <c r="E10" s="1872">
        <f>(E8-E9)</f>
        <v>0</v>
      </c>
      <c r="F10" s="1874">
        <f>SUM(F8-F9)</f>
        <v>195185</v>
      </c>
    </row>
    <row r="11" spans="1:8" s="903" customFormat="1" ht="14.25" thickTop="1" thickBot="1" x14ac:dyDescent="0.25">
      <c r="A11" s="905" t="s">
        <v>1906</v>
      </c>
      <c r="B11" s="1875">
        <f>'Acct Summary 7-8'!C81</f>
        <v>617097</v>
      </c>
      <c r="C11" s="1875">
        <f>'Acct Summary 7-8'!D81</f>
        <v>80607</v>
      </c>
      <c r="D11" s="1875">
        <f>'Acct Summary 7-8'!F81</f>
        <v>0</v>
      </c>
      <c r="E11" s="1875">
        <f>'Acct Summary 7-8'!I81</f>
        <v>0</v>
      </c>
      <c r="F11" s="1876">
        <f>SUM(B11:E11)</f>
        <v>697704</v>
      </c>
    </row>
    <row r="12" spans="1:8" ht="16.5" customHeight="1" thickTop="1" x14ac:dyDescent="0.2">
      <c r="A12" s="906"/>
      <c r="B12" s="907"/>
      <c r="C12" s="2402" t="str">
        <f>IF(AND(F10&lt;0,F11&gt;=0,ABS(F10*3)&gt;ABS(F11)),A16,IF(AND(F10&lt;0,F11&gt;0,ABS(F10*3)&lt;=ABS(F11)),A17,IF(AND(F10&lt;0,F11&lt;0),A16,IF(F11=0,A19,A18))))</f>
        <v>Balanced - no deficit reduction plan is required.</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Layout" topLeftCell="A34" colorId="8" zoomScaleNormal="110" workbookViewId="0">
      <selection activeCell="D74" sqref="D7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24032790040</v>
      </c>
      <c r="E2" s="1592">
        <v>2020</v>
      </c>
      <c r="F2" s="1592">
        <v>1</v>
      </c>
      <c r="G2" s="1962">
        <v>101000300</v>
      </c>
    </row>
    <row r="3" spans="1:7" ht="15" x14ac:dyDescent="0.25">
      <c r="A3" t="s">
        <v>950</v>
      </c>
      <c r="B3" s="135" t="str">
        <f>COVER!A15</f>
        <v>Grundy</v>
      </c>
      <c r="E3" s="1888" t="s">
        <v>1974</v>
      </c>
      <c r="F3" s="1888" t="s">
        <v>1973</v>
      </c>
      <c r="G3" s="1962">
        <v>101000400</v>
      </c>
    </row>
    <row r="4" spans="1:7" ht="15" x14ac:dyDescent="0.25">
      <c r="A4" t="s">
        <v>1000</v>
      </c>
      <c r="B4" s="135" t="str">
        <f>COVER!A17</f>
        <v>Grundy Area Voc Center</v>
      </c>
      <c r="E4" s="1886">
        <v>44119</v>
      </c>
      <c r="F4" s="1887">
        <v>44151</v>
      </c>
      <c r="G4" s="1962">
        <v>101000600</v>
      </c>
    </row>
    <row r="5" spans="1:7" ht="15" x14ac:dyDescent="0.25">
      <c r="A5" t="s">
        <v>699</v>
      </c>
      <c r="B5" s="135" t="str">
        <f>COVER!A38</f>
        <v>Lance Copes</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f>COVER!B5</f>
        <v>0</v>
      </c>
      <c r="G10" s="1962">
        <v>202100300</v>
      </c>
    </row>
    <row r="11" spans="1:7" ht="15" x14ac:dyDescent="0.25">
      <c r="A11" t="s">
        <v>971</v>
      </c>
      <c r="B11" s="135" t="str">
        <f>COVER!B6</f>
        <v>x</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066-005100</v>
      </c>
      <c r="G15" s="1962">
        <v>402100400</v>
      </c>
    </row>
    <row r="16" spans="1:7" ht="15" x14ac:dyDescent="0.25">
      <c r="A16" t="s">
        <v>419</v>
      </c>
      <c r="B16" s="135" t="str">
        <f>COVER!T13</f>
        <v>Mack &amp; Associates, P.C.</v>
      </c>
      <c r="G16" s="1962">
        <v>402100600</v>
      </c>
    </row>
    <row r="17" spans="1:7" ht="15" x14ac:dyDescent="0.25">
      <c r="A17" t="s">
        <v>878</v>
      </c>
      <c r="B17" s="135" t="str">
        <f>COVER!T15</f>
        <v>Tawnya Mack, CPA</v>
      </c>
      <c r="G17" s="1962">
        <v>402100800</v>
      </c>
    </row>
    <row r="18" spans="1:7" ht="15" x14ac:dyDescent="0.25">
      <c r="A18" t="s">
        <v>1142</v>
      </c>
      <c r="B18" s="135" t="str">
        <f>COVER!T17</f>
        <v>116 E Washington St., Suite 1</v>
      </c>
      <c r="G18" s="1962">
        <v>102200300</v>
      </c>
    </row>
    <row r="19" spans="1:7" ht="15" x14ac:dyDescent="0.25">
      <c r="A19" t="s">
        <v>880</v>
      </c>
      <c r="B19" s="135" t="str">
        <f>COVER!T25</f>
        <v>tmack@mackcpas.com</v>
      </c>
      <c r="G19" s="1962">
        <v>102200400</v>
      </c>
    </row>
    <row r="20" spans="1:7" ht="15" x14ac:dyDescent="0.25">
      <c r="A20" t="s">
        <v>881</v>
      </c>
      <c r="B20" s="135" t="str">
        <f>COVER!T19</f>
        <v>Morris</v>
      </c>
      <c r="G20" s="1962">
        <v>102200600</v>
      </c>
    </row>
    <row r="21" spans="1:7" ht="15" x14ac:dyDescent="0.25">
      <c r="A21" t="s">
        <v>476</v>
      </c>
      <c r="B21" s="135" t="str">
        <f>COVER!X19</f>
        <v>IL</v>
      </c>
      <c r="G21" s="1962">
        <v>102200800</v>
      </c>
    </row>
    <row r="22" spans="1:7" ht="15" x14ac:dyDescent="0.25">
      <c r="A22" t="s">
        <v>882</v>
      </c>
      <c r="B22" s="135">
        <f>COVER!Z19</f>
        <v>60450</v>
      </c>
      <c r="G22" s="1962">
        <v>102300300</v>
      </c>
    </row>
    <row r="23" spans="1:7" ht="15" x14ac:dyDescent="0.25">
      <c r="A23" t="s">
        <v>1144</v>
      </c>
      <c r="B23" s="135" t="str">
        <f>COVER!T21</f>
        <v>815-942-3306</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617097</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617097</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547328</v>
      </c>
      <c r="D92" s="2" t="str">
        <f t="shared" si="0"/>
        <v>Error?</v>
      </c>
      <c r="G92" s="1962">
        <v>102640600</v>
      </c>
    </row>
    <row r="93" spans="1:7" ht="15" x14ac:dyDescent="0.25">
      <c r="A93" s="5">
        <v>32</v>
      </c>
      <c r="B93" s="1890">
        <f>'Assets-Liab 5-6'!C41</f>
        <v>617097</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80607</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80607</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80607</v>
      </c>
      <c r="D123" s="2" t="str">
        <f t="shared" si="0"/>
        <v>Error?</v>
      </c>
      <c r="G123" s="1962">
        <v>203000400</v>
      </c>
    </row>
    <row r="124" spans="1:7" ht="15" x14ac:dyDescent="0.25">
      <c r="A124" s="5">
        <v>63</v>
      </c>
      <c r="B124" s="1890">
        <f>'Assets-Liab 5-6'!D41</f>
        <v>80607</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3726</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3726</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3726</v>
      </c>
      <c r="D140" s="2" t="str">
        <f t="shared" si="1"/>
        <v>Error?</v>
      </c>
    </row>
    <row r="141" spans="1:7" x14ac:dyDescent="0.2">
      <c r="A141" s="5">
        <v>80</v>
      </c>
      <c r="B141" s="1890">
        <f>'Assets-Liab 5-6'!E41</f>
        <v>3726</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249030</v>
      </c>
      <c r="D273" s="2" t="str">
        <f t="shared" si="3"/>
        <v>Error?</v>
      </c>
    </row>
    <row r="274" spans="1:4" x14ac:dyDescent="0.2">
      <c r="A274" s="5">
        <v>213</v>
      </c>
      <c r="B274" s="1890">
        <f>'Assets-Liab 5-6'!M17</f>
        <v>5601969</v>
      </c>
      <c r="D274" s="2" t="str">
        <f t="shared" si="3"/>
        <v>Error?</v>
      </c>
    </row>
    <row r="275" spans="1:4" x14ac:dyDescent="0.2">
      <c r="A275" s="5">
        <v>214</v>
      </c>
      <c r="B275" s="1890">
        <f>'Assets-Liab 5-6'!M18</f>
        <v>51641</v>
      </c>
      <c r="D275" s="2" t="str">
        <f t="shared" si="3"/>
        <v>Error?</v>
      </c>
    </row>
    <row r="276" spans="1:4" x14ac:dyDescent="0.2">
      <c r="A276" s="5">
        <v>215</v>
      </c>
      <c r="B276" s="1890">
        <f>'Assets-Liab 5-6'!M19</f>
        <v>3034366</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8937006</v>
      </c>
      <c r="C279" s="2" t="s">
        <v>569</v>
      </c>
      <c r="D279" s="2" t="str">
        <f t="shared" si="3"/>
        <v>Error?</v>
      </c>
    </row>
    <row r="280" spans="1:4" x14ac:dyDescent="0.2">
      <c r="A280" s="5">
        <v>219</v>
      </c>
      <c r="B280" s="1890">
        <f>'Assets-Liab 5-6'!M40</f>
        <v>8937006</v>
      </c>
      <c r="D280" s="2" t="str">
        <f t="shared" si="3"/>
        <v>Error?</v>
      </c>
    </row>
    <row r="281" spans="1:4" x14ac:dyDescent="0.2">
      <c r="A281" s="5">
        <v>220</v>
      </c>
      <c r="B281" s="1890">
        <f>'Assets-Liab 5-6'!M41</f>
        <v>8937006</v>
      </c>
      <c r="C281" s="2" t="s">
        <v>569</v>
      </c>
      <c r="D281" s="2" t="str">
        <f t="shared" si="3"/>
        <v>Error?</v>
      </c>
    </row>
    <row r="282" spans="1:4" x14ac:dyDescent="0.2">
      <c r="A282" s="5">
        <v>221</v>
      </c>
      <c r="B282" s="1890">
        <f>'Assets-Liab 5-6'!N21</f>
        <v>3726</v>
      </c>
      <c r="D282" s="2" t="str">
        <f t="shared" si="3"/>
        <v>Error?</v>
      </c>
    </row>
    <row r="283" spans="1:4" x14ac:dyDescent="0.2">
      <c r="A283" s="5">
        <v>222</v>
      </c>
      <c r="B283" s="1890">
        <f>'Assets-Liab 5-6'!N22</f>
        <v>1186274</v>
      </c>
      <c r="D283" s="2" t="str">
        <f t="shared" si="3"/>
        <v>Error?</v>
      </c>
    </row>
    <row r="284" spans="1:4" x14ac:dyDescent="0.2">
      <c r="A284" s="5">
        <v>223</v>
      </c>
      <c r="B284" s="1890">
        <f>'Assets-Liab 5-6'!N23</f>
        <v>1190000</v>
      </c>
      <c r="C284" s="2" t="s">
        <v>569</v>
      </c>
      <c r="D284" s="2" t="str">
        <f t="shared" si="3"/>
        <v>Error?</v>
      </c>
    </row>
    <row r="285" spans="1:4" x14ac:dyDescent="0.2">
      <c r="A285" s="5">
        <v>224</v>
      </c>
      <c r="B285" s="1890">
        <f>'Assets-Liab 5-6'!N36</f>
        <v>1190000</v>
      </c>
      <c r="D285" s="2" t="str">
        <f t="shared" si="3"/>
        <v>Error?</v>
      </c>
    </row>
    <row r="286" spans="1:4" x14ac:dyDescent="0.2">
      <c r="A286" s="10">
        <v>225</v>
      </c>
      <c r="B286" s="1890"/>
      <c r="D286" s="2" t="str">
        <f t="shared" si="3"/>
        <v>OK</v>
      </c>
    </row>
    <row r="287" spans="1:4" x14ac:dyDescent="0.2">
      <c r="A287" s="5">
        <v>226</v>
      </c>
      <c r="B287" s="1890">
        <f>'Assets-Liab 5-6'!N37</f>
        <v>1190000</v>
      </c>
      <c r="C287" s="2" t="s">
        <v>569</v>
      </c>
      <c r="D287" s="2" t="str">
        <f t="shared" si="3"/>
        <v>Error?</v>
      </c>
    </row>
    <row r="288" spans="1:4" x14ac:dyDescent="0.2">
      <c r="A288" s="5">
        <v>227</v>
      </c>
      <c r="B288" s="1890">
        <f>'Assets-Liab 5-6'!N41</f>
        <v>1190000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980088</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1032185</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3000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3000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48079</v>
      </c>
      <c r="D732" s="2" t="str">
        <f t="shared" si="10"/>
        <v>Error?</v>
      </c>
    </row>
    <row r="733" spans="1:4" x14ac:dyDescent="0.2">
      <c r="A733" s="5">
        <v>672</v>
      </c>
      <c r="B733" s="1890">
        <f>'Expenditures 15-22'!C50</f>
        <v>206376</v>
      </c>
      <c r="D733" s="2" t="str">
        <f t="shared" si="10"/>
        <v>Error?</v>
      </c>
    </row>
    <row r="734" spans="1:4" x14ac:dyDescent="0.2">
      <c r="A734" s="5">
        <v>673</v>
      </c>
      <c r="B734" s="1890">
        <f>'Expenditures 15-22'!C53</f>
        <v>254455</v>
      </c>
      <c r="C734" s="2" t="s">
        <v>569</v>
      </c>
      <c r="D734" s="2" t="str">
        <f t="shared" si="10"/>
        <v>Error?</v>
      </c>
    </row>
    <row r="735" spans="1:4" x14ac:dyDescent="0.2">
      <c r="A735" s="5">
        <v>674</v>
      </c>
      <c r="B735" s="1890">
        <f>'Expenditures 15-22'!C55</f>
        <v>31528</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31528</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288983</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1321168</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349542</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357019</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431</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431</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5975</v>
      </c>
      <c r="D790" s="2" t="str">
        <f t="shared" si="11"/>
        <v>Error?</v>
      </c>
    </row>
    <row r="791" spans="1:4" x14ac:dyDescent="0.2">
      <c r="A791" s="5">
        <v>730</v>
      </c>
      <c r="B791" s="1890">
        <f>'Expenditures 15-22'!D50</f>
        <v>29617</v>
      </c>
      <c r="D791" s="2" t="str">
        <f t="shared" si="11"/>
        <v>Error?</v>
      </c>
    </row>
    <row r="792" spans="1:4" x14ac:dyDescent="0.2">
      <c r="A792" s="5">
        <v>731</v>
      </c>
      <c r="B792" s="1890">
        <f>'Expenditures 15-22'!D53</f>
        <v>35592</v>
      </c>
      <c r="C792" s="2" t="s">
        <v>569</v>
      </c>
      <c r="D792" s="2" t="str">
        <f t="shared" si="11"/>
        <v>Error?</v>
      </c>
    </row>
    <row r="793" spans="1:4" x14ac:dyDescent="0.2">
      <c r="A793" s="5">
        <v>732</v>
      </c>
      <c r="B793" s="1890">
        <f>'Expenditures 15-22'!D55</f>
        <v>3841</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3841</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39864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396883</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249683</v>
      </c>
      <c r="D833" s="2" t="str">
        <f t="shared" si="12"/>
        <v>Error?</v>
      </c>
    </row>
    <row r="834" spans="1:4" x14ac:dyDescent="0.2">
      <c r="A834" s="5">
        <v>773</v>
      </c>
      <c r="B834" s="1890">
        <f>'Expenditures 15-22'!E14</f>
        <v>48477</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298160</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0</v>
      </c>
      <c r="C847" s="2" t="s">
        <v>569</v>
      </c>
      <c r="D847" s="2" t="str">
        <f t="shared" si="12"/>
        <v>Error?</v>
      </c>
    </row>
    <row r="848" spans="1:4" x14ac:dyDescent="0.2">
      <c r="A848" s="5">
        <v>787</v>
      </c>
      <c r="B848" s="1890">
        <f>'Expenditures 15-22'!E49</f>
        <v>32464</v>
      </c>
      <c r="D848" s="2" t="str">
        <f t="shared" si="12"/>
        <v>Error?</v>
      </c>
    </row>
    <row r="849" spans="1:4" x14ac:dyDescent="0.2">
      <c r="A849" s="5">
        <v>788</v>
      </c>
      <c r="B849" s="1890">
        <f>'Expenditures 15-22'!E50</f>
        <v>5921</v>
      </c>
      <c r="D849" s="2" t="str">
        <f t="shared" si="12"/>
        <v>Error?</v>
      </c>
    </row>
    <row r="850" spans="1:4" x14ac:dyDescent="0.2">
      <c r="A850" s="5">
        <v>789</v>
      </c>
      <c r="B850" s="1890">
        <f>'Expenditures 15-22'!E53</f>
        <v>38385</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69635</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69635</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108020</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406180</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313307</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313307</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3175</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3175</v>
      </c>
      <c r="C901" s="2" t="s">
        <v>569</v>
      </c>
      <c r="D901" s="2" t="str">
        <f t="shared" si="13"/>
        <v>Error?</v>
      </c>
    </row>
    <row r="902" spans="1:4" x14ac:dyDescent="0.2">
      <c r="A902" s="5">
        <v>841</v>
      </c>
      <c r="B902" s="1890">
        <f>'Expenditures 15-22'!F44</f>
        <v>7424</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7424</v>
      </c>
      <c r="C905" s="2" t="s">
        <v>569</v>
      </c>
      <c r="D905" s="2" t="str">
        <f t="shared" si="13"/>
        <v>Error?</v>
      </c>
    </row>
    <row r="906" spans="1:4" x14ac:dyDescent="0.2">
      <c r="A906" s="5">
        <v>845</v>
      </c>
      <c r="B906" s="1890">
        <f>'Expenditures 15-22'!F49</f>
        <v>159171</v>
      </c>
      <c r="D906" s="2" t="str">
        <f t="shared" si="13"/>
        <v>Error?</v>
      </c>
    </row>
    <row r="907" spans="1:4" x14ac:dyDescent="0.2">
      <c r="A907" s="5">
        <v>846</v>
      </c>
      <c r="B907" s="1890">
        <f>'Expenditures 15-22'!F50</f>
        <v>416</v>
      </c>
      <c r="D907" s="2" t="str">
        <f t="shared" si="13"/>
        <v>Error?</v>
      </c>
    </row>
    <row r="908" spans="1:4" x14ac:dyDescent="0.2">
      <c r="A908" s="5">
        <v>847</v>
      </c>
      <c r="B908" s="1890">
        <f>'Expenditures 15-22'!F53</f>
        <v>159587</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0</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170186</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483493</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39341</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39341</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39341</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4350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4350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1317</v>
      </c>
      <c r="D1022" s="2" t="str">
        <f t="shared" si="14"/>
        <v>Error?</v>
      </c>
    </row>
    <row r="1023" spans="1:4" x14ac:dyDescent="0.2">
      <c r="A1023" s="5">
        <v>962</v>
      </c>
      <c r="B1023" s="1890">
        <f>'Expenditures 15-22'!H50</f>
        <v>2129</v>
      </c>
      <c r="D1023" s="2" t="str">
        <f t="shared" ref="D1023:D1086" si="15">IF(ISBLANK(B1023),"OK",IF(A1023-B1023=0,"OK","Error?"))</f>
        <v>Error?</v>
      </c>
    </row>
    <row r="1024" spans="1:4" x14ac:dyDescent="0.2">
      <c r="A1024" s="5">
        <v>963</v>
      </c>
      <c r="B1024" s="1890">
        <f>'Expenditures 15-22'!H53</f>
        <v>3446</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3446</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7796</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1936311</v>
      </c>
      <c r="C1105" s="2" t="s">
        <v>569</v>
      </c>
      <c r="D1105" s="2" t="str">
        <f t="shared" si="16"/>
        <v>Error?</v>
      </c>
    </row>
    <row r="1106" spans="1:4" x14ac:dyDescent="0.2">
      <c r="A1106" s="5">
        <v>1045</v>
      </c>
      <c r="B1106" s="1890">
        <f>'Expenditures 15-22'!K14</f>
        <v>48477</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2044362</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6606</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6606</v>
      </c>
      <c r="C1115" s="2" t="s">
        <v>569</v>
      </c>
      <c r="D1115" s="2" t="str">
        <f t="shared" si="16"/>
        <v>Error?</v>
      </c>
    </row>
    <row r="1116" spans="1:4" x14ac:dyDescent="0.2">
      <c r="A1116" s="5">
        <v>1055</v>
      </c>
      <c r="B1116" s="1890">
        <f>'Expenditures 15-22'!K44</f>
        <v>7424</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7424</v>
      </c>
      <c r="C1119" s="2" t="s">
        <v>569</v>
      </c>
      <c r="D1119" s="2" t="str">
        <f t="shared" si="16"/>
        <v>Error?</v>
      </c>
    </row>
    <row r="1120" spans="1:4" x14ac:dyDescent="0.2">
      <c r="A1120" s="5">
        <v>1059</v>
      </c>
      <c r="B1120" s="1890">
        <f>'Expenditures 15-22'!K49</f>
        <v>247006</v>
      </c>
      <c r="C1120" s="2" t="s">
        <v>569</v>
      </c>
      <c r="D1120" s="2" t="str">
        <f t="shared" si="16"/>
        <v>Error?</v>
      </c>
    </row>
    <row r="1121" spans="1:4" x14ac:dyDescent="0.2">
      <c r="A1121" s="5">
        <v>1060</v>
      </c>
      <c r="B1121" s="1890">
        <f>'Expenditures 15-22'!K50</f>
        <v>244459</v>
      </c>
      <c r="C1121" s="2" t="s">
        <v>569</v>
      </c>
      <c r="D1121" s="2" t="str">
        <f t="shared" si="16"/>
        <v>Error?</v>
      </c>
    </row>
    <row r="1122" spans="1:4" x14ac:dyDescent="0.2">
      <c r="A1122" s="5">
        <v>1061</v>
      </c>
      <c r="B1122" s="1890">
        <f>'Expenditures 15-22'!K53</f>
        <v>491465</v>
      </c>
      <c r="C1122" s="2" t="s">
        <v>569</v>
      </c>
      <c r="D1122" s="2" t="str">
        <f t="shared" si="16"/>
        <v>Error?</v>
      </c>
    </row>
    <row r="1123" spans="1:4" x14ac:dyDescent="0.2">
      <c r="A1123" s="5">
        <v>1062</v>
      </c>
      <c r="B1123" s="1890">
        <f>'Expenditures 15-22'!K55</f>
        <v>35369</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35369</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0</v>
      </c>
      <c r="C1127" s="2" t="s">
        <v>569</v>
      </c>
      <c r="D1127" s="2" t="str">
        <f t="shared" si="16"/>
        <v>Error?</v>
      </c>
    </row>
    <row r="1128" spans="1:4" x14ac:dyDescent="0.2">
      <c r="A1128" s="5">
        <v>1067</v>
      </c>
      <c r="B1128" s="1890">
        <f>'Expenditures 15-22'!K61</f>
        <v>69635</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69635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610499</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0</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2654861</v>
      </c>
      <c r="C1152" s="2" t="s">
        <v>569</v>
      </c>
      <c r="D1152" s="2" t="str">
        <f t="shared" si="17"/>
        <v>Error?</v>
      </c>
    </row>
    <row r="1153" spans="1:4" x14ac:dyDescent="0.2">
      <c r="A1153" s="5">
        <v>1092</v>
      </c>
      <c r="B1153" s="1890">
        <f>'Expenditures 15-22'!K115</f>
        <v>192988</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101289</v>
      </c>
      <c r="D1221" s="2" t="str">
        <f t="shared" si="18"/>
        <v>Error?</v>
      </c>
    </row>
    <row r="1222" spans="1:4" x14ac:dyDescent="0.2">
      <c r="A1222" s="10">
        <v>1161</v>
      </c>
      <c r="B1222" s="1890"/>
      <c r="D1222" s="2" t="str">
        <f t="shared" si="18"/>
        <v>OK</v>
      </c>
    </row>
    <row r="1223" spans="1:4" x14ac:dyDescent="0.2">
      <c r="A1223" s="5">
        <v>1162</v>
      </c>
      <c r="B1223" s="1890">
        <f>'Expenditures 15-22'!C127</f>
        <v>101289</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101289</v>
      </c>
      <c r="C1225" s="2" t="s">
        <v>569</v>
      </c>
      <c r="D1225" s="2" t="str">
        <f t="shared" si="18"/>
        <v>Error?</v>
      </c>
    </row>
    <row r="1226" spans="1:4" x14ac:dyDescent="0.2">
      <c r="A1226" s="5">
        <v>1165</v>
      </c>
      <c r="B1226" s="1890">
        <f>'Expenditures 15-22'!C151</f>
        <v>101289</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11965</v>
      </c>
      <c r="D1229" s="2" t="str">
        <f t="shared" si="18"/>
        <v>Error?</v>
      </c>
    </row>
    <row r="1230" spans="1:4" x14ac:dyDescent="0.2">
      <c r="A1230" s="10">
        <v>1169</v>
      </c>
      <c r="B1230" s="1890"/>
      <c r="D1230" s="2" t="str">
        <f t="shared" si="18"/>
        <v>OK</v>
      </c>
    </row>
    <row r="1231" spans="1:4" x14ac:dyDescent="0.2">
      <c r="A1231" s="5">
        <v>1170</v>
      </c>
      <c r="B1231" s="1890">
        <f>'Expenditures 15-22'!D127</f>
        <v>11965</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11965</v>
      </c>
      <c r="C1233" s="2" t="s">
        <v>569</v>
      </c>
      <c r="D1233" s="2" t="str">
        <f t="shared" si="18"/>
        <v>Error?</v>
      </c>
    </row>
    <row r="1234" spans="1:4" x14ac:dyDescent="0.2">
      <c r="A1234" s="5">
        <v>1173</v>
      </c>
      <c r="B1234" s="1890">
        <f>'Expenditures 15-22'!D151</f>
        <v>11965</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148373</v>
      </c>
      <c r="D1237" s="2" t="str">
        <f t="shared" si="18"/>
        <v>Error?</v>
      </c>
    </row>
    <row r="1238" spans="1:4" x14ac:dyDescent="0.2">
      <c r="A1238" s="10">
        <v>1177</v>
      </c>
      <c r="B1238" s="1890"/>
      <c r="D1238" s="2" t="str">
        <f t="shared" si="18"/>
        <v>OK</v>
      </c>
    </row>
    <row r="1239" spans="1:4" x14ac:dyDescent="0.2">
      <c r="A1239" s="5">
        <v>1178</v>
      </c>
      <c r="B1239" s="1890">
        <f>'Expenditures 15-22'!E127</f>
        <v>152449</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152449</v>
      </c>
      <c r="C1241" s="2" t="s">
        <v>569</v>
      </c>
      <c r="D1241" s="2" t="str">
        <f t="shared" si="18"/>
        <v>Error?</v>
      </c>
    </row>
    <row r="1242" spans="1:4" x14ac:dyDescent="0.2">
      <c r="A1242" s="5">
        <v>1181</v>
      </c>
      <c r="B1242" s="1890">
        <f>'Expenditures 15-22'!E151</f>
        <v>152449</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77018</v>
      </c>
      <c r="D1245" s="2" t="str">
        <f t="shared" si="18"/>
        <v>Error?</v>
      </c>
    </row>
    <row r="1246" spans="1:4" x14ac:dyDescent="0.2">
      <c r="A1246" s="10">
        <v>1185</v>
      </c>
      <c r="B1246" s="1890"/>
      <c r="D1246" s="2" t="str">
        <f t="shared" si="18"/>
        <v>OK</v>
      </c>
    </row>
    <row r="1247" spans="1:4" x14ac:dyDescent="0.2">
      <c r="A1247" s="5">
        <v>1186</v>
      </c>
      <c r="B1247" s="1890">
        <f>'Expenditures 15-22'!F127</f>
        <v>77018</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77018</v>
      </c>
      <c r="C1249" s="2" t="s">
        <v>569</v>
      </c>
      <c r="D1249" s="2" t="str">
        <f t="shared" si="18"/>
        <v>Error?</v>
      </c>
    </row>
    <row r="1250" spans="1:4" x14ac:dyDescent="0.2">
      <c r="A1250" s="5">
        <v>1189</v>
      </c>
      <c r="B1250" s="1890">
        <f>'Expenditures 15-22'!F151</f>
        <v>77018</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246603</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246603</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246603</v>
      </c>
      <c r="C1258" s="2" t="s">
        <v>569</v>
      </c>
      <c r="D1258" s="2" t="str">
        <f t="shared" si="18"/>
        <v>Error?</v>
      </c>
    </row>
    <row r="1259" spans="1:4" x14ac:dyDescent="0.2">
      <c r="A1259" s="5">
        <v>1198</v>
      </c>
      <c r="B1259" s="1890">
        <f>'Expenditures 15-22'!G151</f>
        <v>246603</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4883</v>
      </c>
      <c r="D1262" s="2" t="str">
        <f t="shared" si="18"/>
        <v>Error?</v>
      </c>
    </row>
    <row r="1263" spans="1:4" x14ac:dyDescent="0.2">
      <c r="A1263" s="10">
        <v>1202</v>
      </c>
      <c r="B1263" s="1890"/>
      <c r="D1263" s="2" t="str">
        <f t="shared" si="18"/>
        <v>OK</v>
      </c>
    </row>
    <row r="1264" spans="1:4" x14ac:dyDescent="0.2">
      <c r="A1264" s="5">
        <v>1203</v>
      </c>
      <c r="B1264" s="1890">
        <f>'Expenditures 15-22'!H127</f>
        <v>4883</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4883</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4883</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590131</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594207</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594207</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594207</v>
      </c>
      <c r="C1288" s="2" t="s">
        <v>569</v>
      </c>
      <c r="D1288" s="2" t="str">
        <f t="shared" si="19"/>
        <v>Error?</v>
      </c>
    </row>
    <row r="1289" spans="1:4" x14ac:dyDescent="0.2">
      <c r="A1289" s="5">
        <v>1228</v>
      </c>
      <c r="B1289" s="1890">
        <f>'Expenditures 15-22'!K152</f>
        <v>2197</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51036</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95000</v>
      </c>
      <c r="D1315" s="2" t="str">
        <f t="shared" si="19"/>
        <v>Error?</v>
      </c>
    </row>
    <row r="1316" spans="1:4" x14ac:dyDescent="0.2">
      <c r="A1316" s="5">
        <v>1255</v>
      </c>
      <c r="B1316" s="1890">
        <f>'Expenditures 15-22'!H171</f>
        <v>270</v>
      </c>
      <c r="D1316" s="2" t="str">
        <f t="shared" si="19"/>
        <v>Error?</v>
      </c>
    </row>
    <row r="1317" spans="1:4" x14ac:dyDescent="0.2">
      <c r="A1317" s="5">
        <v>1256</v>
      </c>
      <c r="B1317" s="1890">
        <f>'Expenditures 15-22'!H172</f>
        <v>146306</v>
      </c>
      <c r="C1317" s="2" t="s">
        <v>569</v>
      </c>
      <c r="D1317" s="2" t="str">
        <f t="shared" si="19"/>
        <v>Error?</v>
      </c>
    </row>
    <row r="1318" spans="1:4" x14ac:dyDescent="0.2">
      <c r="A1318" s="5">
        <v>1257</v>
      </c>
      <c r="B1318" s="1890">
        <f>'Expenditures 15-22'!H174</f>
        <v>146306</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51036</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95000</v>
      </c>
      <c r="C1329" s="2" t="s">
        <v>569</v>
      </c>
      <c r="D1329" s="2" t="str">
        <f t="shared" si="19"/>
        <v>Error?</v>
      </c>
    </row>
    <row r="1330" spans="1:4" x14ac:dyDescent="0.2">
      <c r="A1330" s="5">
        <v>1269</v>
      </c>
      <c r="B1330" s="1890">
        <f>'Expenditures 15-22'!K171</f>
        <v>270</v>
      </c>
      <c r="C1330" s="2" t="s">
        <v>569</v>
      </c>
      <c r="D1330" s="2" t="str">
        <f t="shared" si="19"/>
        <v>Error?</v>
      </c>
    </row>
    <row r="1331" spans="1:4" x14ac:dyDescent="0.2">
      <c r="A1331" s="5">
        <v>1270</v>
      </c>
      <c r="B1331" s="1890">
        <f>'Expenditures 15-22'!K172</f>
        <v>146306</v>
      </c>
      <c r="C1331" s="2" t="s">
        <v>569</v>
      </c>
      <c r="D1331" s="2" t="str">
        <f t="shared" si="19"/>
        <v>Error?</v>
      </c>
    </row>
    <row r="1332" spans="1:4" x14ac:dyDescent="0.2">
      <c r="A1332" s="5">
        <v>1271</v>
      </c>
      <c r="B1332" s="1890">
        <f>'Expenditures 15-22'!K174</f>
        <v>146306</v>
      </c>
      <c r="C1332" s="2" t="s">
        <v>569</v>
      </c>
      <c r="D1332" s="2" t="str">
        <f t="shared" si="19"/>
        <v>Error?</v>
      </c>
    </row>
    <row r="1333" spans="1:4" x14ac:dyDescent="0.2">
      <c r="A1333" s="5">
        <v>1272</v>
      </c>
      <c r="B1333" s="1890">
        <f>'Expenditures 15-22'!K175</f>
        <v>-1160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424109</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617097</v>
      </c>
      <c r="C1630" s="2" t="s">
        <v>569</v>
      </c>
      <c r="D1630" s="2" t="str">
        <f t="shared" si="24"/>
        <v>Error?</v>
      </c>
    </row>
    <row r="1631" spans="1:4" x14ac:dyDescent="0.2">
      <c r="A1631" s="5">
        <v>1570</v>
      </c>
      <c r="B1631" s="1890">
        <f>'Acct Summary 7-8'!D79</f>
        <v>78410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80607</v>
      </c>
      <c r="C1644" s="2" t="s">
        <v>569</v>
      </c>
      <c r="D1644" s="2" t="str">
        <f t="shared" si="24"/>
        <v>Error?</v>
      </c>
    </row>
    <row r="1645" spans="1:4" x14ac:dyDescent="0.2">
      <c r="A1645" s="5">
        <v>1584</v>
      </c>
      <c r="B1645" s="1890">
        <f>'Acct Summary 7-8'!E79</f>
        <v>4886</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3726</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1285000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627808</v>
      </c>
      <c r="D2008" s="2" t="str">
        <f t="shared" si="30"/>
        <v>Error?</v>
      </c>
    </row>
    <row r="2009" spans="1:4" x14ac:dyDescent="0.2">
      <c r="A2009" s="5">
        <v>1948</v>
      </c>
      <c r="B2009" s="1890">
        <f>'Cap Outlay Deprec 26'!C8</f>
        <v>5580349</v>
      </c>
      <c r="D2009" s="2" t="str">
        <f t="shared" si="30"/>
        <v>Error?</v>
      </c>
    </row>
    <row r="2010" spans="1:4" x14ac:dyDescent="0.2">
      <c r="A2010" s="5">
        <v>1949</v>
      </c>
      <c r="B2010" s="1890">
        <f>'Cap Outlay Deprec 26'!C10</f>
        <v>51641</v>
      </c>
      <c r="D2010" s="2" t="str">
        <f t="shared" si="30"/>
        <v>Error?</v>
      </c>
    </row>
    <row r="2011" spans="1:4" x14ac:dyDescent="0.2">
      <c r="A2011" s="5">
        <v>1950</v>
      </c>
      <c r="B2011" s="1890">
        <f>'Cap Outlay Deprec 26'!C12</f>
        <v>2988159</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9247957</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21620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46207</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67827</v>
      </c>
      <c r="C2019" s="2" t="s">
        <v>569</v>
      </c>
      <c r="D2019" s="2" t="str">
        <f t="shared" si="30"/>
        <v>Error?</v>
      </c>
    </row>
    <row r="2020" spans="1:4" x14ac:dyDescent="0.2">
      <c r="A2020" s="5">
        <v>1959</v>
      </c>
      <c r="B2020" s="1890">
        <f>'Cap Outlay Deprec 26'!E5</f>
        <v>378778</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378778</v>
      </c>
      <c r="C2025" s="2" t="s">
        <v>569</v>
      </c>
      <c r="D2025" s="2" t="str">
        <f t="shared" si="30"/>
        <v>Error?</v>
      </c>
    </row>
    <row r="2026" spans="1:4" x14ac:dyDescent="0.2">
      <c r="A2026" s="5">
        <v>1965</v>
      </c>
      <c r="B2026" s="1890">
        <f>'Cap Outlay Deprec 26'!F5</f>
        <v>249030</v>
      </c>
      <c r="C2026" s="2" t="s">
        <v>569</v>
      </c>
      <c r="D2026" s="2" t="str">
        <f t="shared" si="30"/>
        <v>Error?</v>
      </c>
    </row>
    <row r="2027" spans="1:4" x14ac:dyDescent="0.2">
      <c r="A2027" s="5">
        <v>1966</v>
      </c>
      <c r="B2027" s="1890">
        <f>'Cap Outlay Deprec 26'!F8</f>
        <v>5601969</v>
      </c>
      <c r="C2027" s="2" t="s">
        <v>569</v>
      </c>
      <c r="D2027" s="2" t="str">
        <f t="shared" si="30"/>
        <v>Error?</v>
      </c>
    </row>
    <row r="2028" spans="1:4" x14ac:dyDescent="0.2">
      <c r="A2028" s="5">
        <v>1967</v>
      </c>
      <c r="B2028" s="1890">
        <f>'Cap Outlay Deprec 26'!F10</f>
        <v>51641</v>
      </c>
      <c r="C2028" s="2" t="s">
        <v>569</v>
      </c>
      <c r="D2028" s="2" t="str">
        <f t="shared" si="30"/>
        <v>Error?</v>
      </c>
    </row>
    <row r="2029" spans="1:4" x14ac:dyDescent="0.2">
      <c r="A2029" s="5">
        <v>1968</v>
      </c>
      <c r="B2029" s="1890">
        <f>'Cap Outlay Deprec 26'!F12</f>
        <v>3034366</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8937006</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1899659</v>
      </c>
      <c r="D2033" s="2" t="str">
        <f t="shared" si="30"/>
        <v>Error?</v>
      </c>
    </row>
    <row r="2034" spans="1:4" x14ac:dyDescent="0.2">
      <c r="A2034" s="5">
        <v>1973</v>
      </c>
      <c r="B2034" s="1890">
        <f>'Cap Outlay Deprec 26'!H10</f>
        <v>51641</v>
      </c>
      <c r="D2034" s="2" t="str">
        <f t="shared" si="30"/>
        <v>Error?</v>
      </c>
    </row>
    <row r="2035" spans="1:4" x14ac:dyDescent="0.2">
      <c r="A2035" s="5">
        <v>1974</v>
      </c>
      <c r="B2035" s="1890">
        <f>'Cap Outlay Deprec 26'!H12</f>
        <v>2464709</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4416009</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82965</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89594</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172559</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1982624</v>
      </c>
      <c r="C2051" s="2" t="s">
        <v>569</v>
      </c>
      <c r="D2051" s="2" t="str">
        <f t="shared" si="31"/>
        <v>Error?</v>
      </c>
    </row>
    <row r="2052" spans="1:4" x14ac:dyDescent="0.2">
      <c r="A2052" s="5">
        <v>1991</v>
      </c>
      <c r="B2052" s="1890">
        <f>'Cap Outlay Deprec 26'!K10</f>
        <v>51641</v>
      </c>
      <c r="C2052" s="2" t="s">
        <v>569</v>
      </c>
      <c r="D2052" s="2" t="str">
        <f t="shared" si="31"/>
        <v>Error?</v>
      </c>
    </row>
    <row r="2053" spans="1:4" x14ac:dyDescent="0.2">
      <c r="A2053" s="5">
        <v>1992</v>
      </c>
      <c r="B2053" s="1890">
        <f>'Cap Outlay Deprec 26'!K12</f>
        <v>2554303</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4588568</v>
      </c>
      <c r="C2055" s="2" t="s">
        <v>569</v>
      </c>
      <c r="D2055" s="2" t="str">
        <f t="shared" si="31"/>
        <v>Error?</v>
      </c>
    </row>
    <row r="2056" spans="1:4" x14ac:dyDescent="0.2">
      <c r="A2056" s="5">
        <v>1995</v>
      </c>
      <c r="B2056" s="1890">
        <f>'Cap Outlay Deprec 26'!L5</f>
        <v>249030</v>
      </c>
      <c r="C2056" s="2" t="s">
        <v>569</v>
      </c>
      <c r="D2056" s="2" t="str">
        <f t="shared" si="31"/>
        <v>Error?</v>
      </c>
    </row>
    <row r="2057" spans="1:4" x14ac:dyDescent="0.2">
      <c r="A2057" s="5">
        <v>1996</v>
      </c>
      <c r="B2057" s="1890">
        <f>'Cap Outlay Deprec 26'!L8</f>
        <v>3619345</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480063</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4348438</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0</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69769</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2479487</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17910</v>
      </c>
      <c r="C2553" s="2" t="s">
        <v>569</v>
      </c>
      <c r="D2553" s="2" t="str">
        <f t="shared" si="38"/>
        <v>Error?</v>
      </c>
    </row>
    <row r="2554" spans="1:4" x14ac:dyDescent="0.2">
      <c r="A2554" s="5">
        <v>2493</v>
      </c>
      <c r="B2554" s="1890">
        <f>'Acct Summary 7-8'!C7</f>
        <v>0</v>
      </c>
      <c r="C2554" s="2" t="s">
        <v>569</v>
      </c>
      <c r="D2554" s="2" t="str">
        <f t="shared" si="38"/>
        <v>Error?</v>
      </c>
    </row>
    <row r="2555" spans="1:4" x14ac:dyDescent="0.2">
      <c r="A2555" s="5">
        <v>2494</v>
      </c>
      <c r="B2555" s="1890">
        <f>'Acct Summary 7-8'!C8</f>
        <v>2847849</v>
      </c>
      <c r="C2555" s="2" t="s">
        <v>569</v>
      </c>
      <c r="D2555" s="2" t="str">
        <f t="shared" si="38"/>
        <v>Error?</v>
      </c>
    </row>
    <row r="2556" spans="1:4" x14ac:dyDescent="0.2">
      <c r="A2556" s="5">
        <v>2495</v>
      </c>
      <c r="B2556" s="1890">
        <f>'Acct Summary 7-8'!C12</f>
        <v>2044362</v>
      </c>
      <c r="C2556" s="2" t="s">
        <v>569</v>
      </c>
      <c r="D2556" s="2" t="str">
        <f t="shared" si="38"/>
        <v>Error?</v>
      </c>
    </row>
    <row r="2557" spans="1:4" x14ac:dyDescent="0.2">
      <c r="A2557" s="5">
        <v>2496</v>
      </c>
      <c r="B2557" s="1890">
        <f>'Acct Summary 7-8'!C13</f>
        <v>610499</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0</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2654861</v>
      </c>
      <c r="C2561" s="2" t="s">
        <v>569</v>
      </c>
      <c r="D2561" s="2" t="str">
        <f t="shared" si="39"/>
        <v>Error?</v>
      </c>
    </row>
    <row r="2562" spans="1:4" x14ac:dyDescent="0.2">
      <c r="A2562" s="5">
        <v>2501</v>
      </c>
      <c r="B2562" s="1890">
        <f>'Acct Summary 7-8'!C20</f>
        <v>192988</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596404</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596404</v>
      </c>
      <c r="C2568" s="2" t="s">
        <v>569</v>
      </c>
      <c r="D2568" s="2" t="str">
        <f t="shared" si="39"/>
        <v>Error?</v>
      </c>
    </row>
    <row r="2569" spans="1:4" x14ac:dyDescent="0.2">
      <c r="A2569" s="5">
        <v>2508</v>
      </c>
      <c r="B2569" s="1890">
        <f>'Acct Summary 7-8'!D13</f>
        <v>594207</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594207</v>
      </c>
      <c r="C2573" s="2" t="s">
        <v>569</v>
      </c>
      <c r="D2573" s="2" t="str">
        <f t="shared" si="39"/>
        <v>Error?</v>
      </c>
    </row>
    <row r="2574" spans="1:4" x14ac:dyDescent="0.2">
      <c r="A2574" s="5">
        <v>2513</v>
      </c>
      <c r="B2574" s="1890">
        <f>'Acct Summary 7-8'!D20</f>
        <v>2197</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145146</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145146</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146306</v>
      </c>
      <c r="C2634" s="2" t="s">
        <v>569</v>
      </c>
      <c r="D2634" s="2" t="str">
        <f t="shared" si="40"/>
        <v>Error?</v>
      </c>
    </row>
    <row r="2635" spans="1:4" x14ac:dyDescent="0.2">
      <c r="A2635" s="5">
        <v>2574</v>
      </c>
      <c r="B2635" s="1890">
        <f>'Acct Summary 7-8'!E17</f>
        <v>146306</v>
      </c>
      <c r="C2635" s="2" t="s">
        <v>569</v>
      </c>
      <c r="D2635" s="2" t="str">
        <f t="shared" si="40"/>
        <v>Error?</v>
      </c>
    </row>
    <row r="2636" spans="1:4" x14ac:dyDescent="0.2">
      <c r="A2636" s="5">
        <v>2575</v>
      </c>
      <c r="B2636" s="1890">
        <f>'Acct Summary 7-8'!E20</f>
        <v>-1160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65339</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65339</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65339</v>
      </c>
      <c r="D2914" s="2" t="str">
        <f t="shared" si="44"/>
        <v>Error?</v>
      </c>
    </row>
    <row r="2915" spans="1:4" x14ac:dyDescent="0.2">
      <c r="A2915" s="10">
        <v>2854</v>
      </c>
      <c r="B2915" s="1890"/>
      <c r="D2915" s="2" t="str">
        <f t="shared" si="44"/>
        <v>OK</v>
      </c>
    </row>
    <row r="2916" spans="1:4" x14ac:dyDescent="0.2">
      <c r="A2916" s="5">
        <v>2855</v>
      </c>
      <c r="B2916" s="1890">
        <f>'Assets-Liab 5-6'!L34</f>
        <v>65339</v>
      </c>
      <c r="C2916" s="2" t="s">
        <v>569</v>
      </c>
      <c r="D2916" s="2" t="str">
        <f t="shared" si="44"/>
        <v>Error?</v>
      </c>
    </row>
    <row r="2917" spans="1:4" x14ac:dyDescent="0.2">
      <c r="A2917" s="5">
        <v>2856</v>
      </c>
      <c r="B2917" s="1890">
        <f>'Assets-Liab 5-6'!L41</f>
        <v>65339</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192988</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2197</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-1160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0</v>
      </c>
      <c r="D3366" s="2" t="str">
        <f t="shared" si="51"/>
        <v>Error?</v>
      </c>
    </row>
    <row r="3367" spans="1:4" x14ac:dyDescent="0.2">
      <c r="A3367" s="5">
        <v>3306</v>
      </c>
      <c r="B3367" s="1890">
        <f>'Expenditures 15-22'!C19</f>
        <v>52097</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7477</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0</v>
      </c>
      <c r="C3380" s="2" t="s">
        <v>569</v>
      </c>
      <c r="D3380" s="2" t="str">
        <f t="shared" si="51"/>
        <v>Error?</v>
      </c>
    </row>
    <row r="3381" spans="1:4" x14ac:dyDescent="0.2">
      <c r="A3381" s="5">
        <v>3320</v>
      </c>
      <c r="B3381" s="1890">
        <f>'Expenditures 15-22'!K19</f>
        <v>59574</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350452</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0</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4076</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4076</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152419</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3000268</v>
      </c>
      <c r="C4122" s="2" t="s">
        <v>569</v>
      </c>
      <c r="D4122" s="2" t="str">
        <f t="shared" si="63"/>
        <v>Error?</v>
      </c>
    </row>
    <row r="4123" spans="1:4" x14ac:dyDescent="0.2">
      <c r="A4123" s="5">
        <v>4062</v>
      </c>
      <c r="B4123" s="1890">
        <f>'Acct Summary 7-8'!D10</f>
        <v>596404</v>
      </c>
      <c r="C4123" s="2" t="s">
        <v>569</v>
      </c>
      <c r="D4123" s="2" t="str">
        <f t="shared" si="63"/>
        <v>Error?</v>
      </c>
    </row>
    <row r="4124" spans="1:4" x14ac:dyDescent="0.2">
      <c r="A4124" s="5">
        <v>4063</v>
      </c>
      <c r="B4124" s="1890">
        <f>'Acct Summary 7-8'!E10</f>
        <v>145146</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152419</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2807280</v>
      </c>
      <c r="C4136" s="2" t="s">
        <v>569</v>
      </c>
      <c r="D4136" s="2" t="str">
        <f t="shared" si="63"/>
        <v>Error?</v>
      </c>
    </row>
    <row r="4137" spans="1:4" x14ac:dyDescent="0.2">
      <c r="A4137" s="5">
        <v>4076</v>
      </c>
      <c r="B4137" s="1890">
        <f>'Acct Summary 7-8'!D19</f>
        <v>594207</v>
      </c>
      <c r="C4137" s="2" t="s">
        <v>569</v>
      </c>
      <c r="D4137" s="2" t="str">
        <f t="shared" si="63"/>
        <v>Error?</v>
      </c>
    </row>
    <row r="4138" spans="1:4" x14ac:dyDescent="0.2">
      <c r="A4138" s="5">
        <v>4077</v>
      </c>
      <c r="B4138" s="1890">
        <f>'Acct Summary 7-8'!E19</f>
        <v>146306</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1190000</v>
      </c>
      <c r="C4171" s="2" t="s">
        <v>569</v>
      </c>
      <c r="D4171" s="2" t="str">
        <f t="shared" si="64"/>
        <v>Error?</v>
      </c>
    </row>
    <row r="4172" spans="1:4" x14ac:dyDescent="0.2">
      <c r="A4172" s="5">
        <v>4111</v>
      </c>
      <c r="B4172" s="1890">
        <f>'Short-Term Long-Term Debt 24'!J49</f>
        <v>1186274</v>
      </c>
      <c r="C4172" s="2" t="s">
        <v>569</v>
      </c>
      <c r="D4172" s="2" t="str">
        <f t="shared" si="64"/>
        <v>Error?</v>
      </c>
    </row>
    <row r="4173" spans="1:4" x14ac:dyDescent="0.2">
      <c r="A4173" s="5">
        <v>4112</v>
      </c>
      <c r="B4173" s="1890">
        <f>'Short-Term Long-Term Debt 24'!H49</f>
        <v>95000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697704</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1190000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1871517</v>
      </c>
      <c r="D5079" s="2" t="str">
        <f t="shared" si="78"/>
        <v>Error?</v>
      </c>
    </row>
    <row r="5080" spans="1:4" x14ac:dyDescent="0.2">
      <c r="A5080" s="5">
        <v>5019</v>
      </c>
      <c r="B5080" s="1890">
        <f>'Revenues 9-14'!C30</f>
        <v>65000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1936517</v>
      </c>
      <c r="C5087" s="2" t="s">
        <v>569</v>
      </c>
      <c r="D5087" s="2" t="str">
        <f t="shared" si="78"/>
        <v>Error?</v>
      </c>
    </row>
    <row r="5088" spans="1:4" x14ac:dyDescent="0.2">
      <c r="A5088" s="5">
        <v>5027</v>
      </c>
      <c r="B5088" s="1890">
        <f>'Revenues 9-14'!C65</f>
        <v>2005</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2005</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38039</v>
      </c>
      <c r="D5101" s="2" t="str">
        <f t="shared" si="78"/>
        <v>Error?</v>
      </c>
    </row>
    <row r="5102" spans="1:4" x14ac:dyDescent="0.2">
      <c r="A5102" s="5">
        <v>5041</v>
      </c>
      <c r="B5102" s="1890">
        <f>'Revenues 9-14'!C82</f>
        <v>38039</v>
      </c>
      <c r="C5102" s="2" t="s">
        <v>569</v>
      </c>
      <c r="D5102" s="2" t="str">
        <f t="shared" si="78"/>
        <v>Error?</v>
      </c>
    </row>
    <row r="5103" spans="1:4" x14ac:dyDescent="0.2">
      <c r="A5103" s="5">
        <v>5042</v>
      </c>
      <c r="B5103" s="1890">
        <f>'Revenues 9-14'!C84</f>
        <v>8879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8879</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327512</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166535</v>
      </c>
      <c r="D5119" s="2" t="str">
        <f t="shared" ref="D5119:D5182" si="79">IF(ISBLANK(B5119),"OK",IF(A5119-B5119=0,"OK","Error?"))</f>
        <v>Error?</v>
      </c>
    </row>
    <row r="5120" spans="1:4" x14ac:dyDescent="0.2">
      <c r="A5120" s="5">
        <v>5059</v>
      </c>
      <c r="B5120" s="1890">
        <f>'Revenues 9-14'!C108</f>
        <v>494047</v>
      </c>
      <c r="C5120" s="2" t="s">
        <v>569</v>
      </c>
      <c r="D5120" s="2" t="str">
        <f t="shared" si="79"/>
        <v>Error?</v>
      </c>
    </row>
    <row r="5121" spans="1:4" x14ac:dyDescent="0.2">
      <c r="A5121" s="5">
        <v>5060</v>
      </c>
      <c r="B5121" s="1890">
        <f>'Revenues 9-14'!C109</f>
        <v>2479487</v>
      </c>
      <c r="C5121" s="2" t="s">
        <v>569</v>
      </c>
      <c r="D5121" s="2" t="str">
        <f t="shared" si="79"/>
        <v>Error?</v>
      </c>
    </row>
    <row r="5122" spans="1:4" x14ac:dyDescent="0.2">
      <c r="A5122" s="5">
        <v>5061</v>
      </c>
      <c r="B5122" s="1890">
        <f>'Revenues 9-14'!C111</f>
        <v>275046</v>
      </c>
      <c r="D5122" s="2" t="str">
        <f t="shared" si="79"/>
        <v>Error?</v>
      </c>
    </row>
    <row r="5123" spans="1:4" x14ac:dyDescent="0.2">
      <c r="A5123" s="5">
        <v>5062</v>
      </c>
      <c r="B5123" s="1890">
        <f>'Revenues 9-14'!C112</f>
        <v>75406</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350452</v>
      </c>
      <c r="C5125" s="2" t="s">
        <v>569</v>
      </c>
      <c r="D5125" s="2" t="str">
        <f t="shared" si="79"/>
        <v>Error?</v>
      </c>
    </row>
    <row r="5126" spans="1:4" x14ac:dyDescent="0.2">
      <c r="A5126" s="5">
        <v>5065</v>
      </c>
      <c r="B5126" s="1890">
        <f>'Revenues 9-14'!C117</f>
        <v>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0</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17910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17910</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17910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0</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0</v>
      </c>
      <c r="C5326" s="2" t="s">
        <v>569</v>
      </c>
      <c r="D5326" s="2" t="str">
        <f t="shared" si="82"/>
        <v>Error?</v>
      </c>
    </row>
    <row r="5327" spans="1:5" x14ac:dyDescent="0.2">
      <c r="A5327" s="5">
        <v>5266</v>
      </c>
      <c r="B5327" s="1890">
        <f>'Revenues 9-14'!C268</f>
        <v>2847849</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596404</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596404</v>
      </c>
      <c r="C5355" s="2" t="s">
        <v>569</v>
      </c>
      <c r="D5355" s="2" t="str">
        <f t="shared" si="82"/>
        <v>Error?</v>
      </c>
    </row>
    <row r="5356" spans="1:4" x14ac:dyDescent="0.2">
      <c r="A5356" s="5">
        <v>5295</v>
      </c>
      <c r="B5356" s="1890">
        <f>'Revenues 9-14'!D109</f>
        <v>596404</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596404</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145146</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145146</v>
      </c>
      <c r="C5526" s="2" t="s">
        <v>569</v>
      </c>
      <c r="D5526" s="2" t="str">
        <f t="shared" si="85"/>
        <v>Error?</v>
      </c>
    </row>
    <row r="5527" spans="1:4" x14ac:dyDescent="0.2">
      <c r="A5527" s="5">
        <v>5466</v>
      </c>
      <c r="B5527" s="1890">
        <f>'Revenues 9-14'!E109</f>
        <v>145146</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145146</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192988</v>
      </c>
      <c r="D6267" s="2" t="str">
        <f t="shared" si="96"/>
        <v>Error?</v>
      </c>
      <c r="E6267" s="2" t="s">
        <v>189</v>
      </c>
    </row>
    <row r="6268" spans="1:5" x14ac:dyDescent="0.2">
      <c r="A6268">
        <v>6207</v>
      </c>
      <c r="B6268" s="1890">
        <f>'Acct Summary 7-8'!D82</f>
        <v>2197</v>
      </c>
      <c r="D6268" s="2" t="str">
        <f t="shared" si="96"/>
        <v>Error?</v>
      </c>
      <c r="E6268" s="2" t="s">
        <v>189</v>
      </c>
    </row>
    <row r="6269" spans="1:5" x14ac:dyDescent="0.2">
      <c r="A6269">
        <v>6208</v>
      </c>
      <c r="B6269" s="1890">
        <f>'Acct Summary 7-8'!E82</f>
        <v>-1160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0.31273527500538811</v>
      </c>
      <c r="D6276" s="2" t="str">
        <f t="shared" si="97"/>
        <v>Error?</v>
      </c>
      <c r="E6276" s="2" t="s">
        <v>189</v>
      </c>
    </row>
    <row r="6277" spans="1:5" x14ac:dyDescent="0.2">
      <c r="A6277">
        <v>6216</v>
      </c>
      <c r="B6277" s="1890">
        <f>'Acct Summary 7-8'!D83</f>
        <v>2.7255697396007791E-2</v>
      </c>
      <c r="D6277" s="2" t="str">
        <f t="shared" si="97"/>
        <v>Error?</v>
      </c>
      <c r="E6277" s="2" t="s">
        <v>189</v>
      </c>
    </row>
    <row r="6278" spans="1:5" x14ac:dyDescent="0.2">
      <c r="A6278">
        <v>6217</v>
      </c>
      <c r="B6278" s="1890">
        <f>'Acct Summary 7-8'!E83</f>
        <v>-0.31132581857219538</v>
      </c>
      <c r="D6278" s="2" t="str">
        <f t="shared" si="97"/>
        <v>Error?</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17910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172559</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2000000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-180530</v>
      </c>
      <c r="D7820" s="2" t="str">
        <f t="shared" si="128"/>
        <v>Error?</v>
      </c>
    </row>
    <row r="7821" spans="1:5" x14ac:dyDescent="0.2">
      <c r="A7821">
        <v>7760</v>
      </c>
      <c r="B7821" s="1890">
        <f>'ICR Computation 30'!G40</f>
        <v>-180530</v>
      </c>
      <c r="D7821" s="2" t="str">
        <f t="shared" si="128"/>
        <v>Error?</v>
      </c>
    </row>
    <row r="7822" spans="1:5" x14ac:dyDescent="0.2">
      <c r="A7822" s="1">
        <v>7761</v>
      </c>
      <c r="B7822" s="1890">
        <f>'PCTC-OEPP 27-28'!F14</f>
        <v>3395374</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380944</v>
      </c>
      <c r="D7834" s="2" t="str">
        <f t="shared" si="129"/>
        <v>Error?</v>
      </c>
      <c r="E7834" s="4" t="s">
        <v>2001</v>
      </c>
    </row>
    <row r="7835" spans="1:5" x14ac:dyDescent="0.2">
      <c r="A7835">
        <v>7774</v>
      </c>
      <c r="B7835" s="1890">
        <f>'PCTC-OEPP 27-28'!F78</f>
        <v>3014430</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t="str">
        <f>'PCTC-OEPP 27-28'!F80</f>
        <v xml:space="preserve"> Complete Line 79</v>
      </c>
      <c r="D7837" s="2" t="e">
        <f t="shared" si="129"/>
        <v>#VALUE!</v>
      </c>
      <c r="E7837" s="4" t="s">
        <v>2001</v>
      </c>
    </row>
    <row r="7838" spans="1:5" x14ac:dyDescent="0.2">
      <c r="A7838">
        <v>7777</v>
      </c>
      <c r="B7838" s="1890">
        <f>'PCTC-OEPP 27-28'!F96</f>
        <v>38039</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741550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17910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0</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806378</v>
      </c>
      <c r="D7877" s="2" t="str">
        <f t="shared" si="129"/>
        <v>Error?</v>
      </c>
      <c r="E7877" s="4" t="s">
        <v>2001</v>
      </c>
    </row>
    <row r="7878" spans="1:5" x14ac:dyDescent="0.2">
      <c r="A7878">
        <v>7817</v>
      </c>
      <c r="B7878" s="1890">
        <f>'PCTC-OEPP 27-28'!F176</f>
        <v>2208052</v>
      </c>
      <c r="D7878" s="2" t="str">
        <f t="shared" si="129"/>
        <v>Error?</v>
      </c>
      <c r="E7878" s="4" t="s">
        <v>2001</v>
      </c>
    </row>
    <row r="7879" spans="1:5" x14ac:dyDescent="0.2">
      <c r="A7879">
        <v>7818</v>
      </c>
      <c r="B7879" s="1890">
        <f>'PCTC-OEPP 27-28'!F178</f>
        <v>2380611</v>
      </c>
      <c r="D7879" s="2" t="str">
        <f t="shared" si="129"/>
        <v>Error?</v>
      </c>
      <c r="E7879" s="4" t="s">
        <v>2001</v>
      </c>
    </row>
    <row r="7880" spans="1:5" x14ac:dyDescent="0.2">
      <c r="A7880">
        <v>7819</v>
      </c>
      <c r="B7880" s="1890"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5" t="s">
        <v>1183</v>
      </c>
      <c r="B2" s="2465"/>
      <c r="C2" s="2465"/>
      <c r="D2" s="2465"/>
      <c r="E2" s="2465"/>
      <c r="F2" s="2465"/>
      <c r="G2" s="2465"/>
      <c r="H2" s="2465"/>
      <c r="I2" s="2465"/>
      <c r="J2" s="2465"/>
      <c r="K2" s="2465"/>
      <c r="L2" s="2465"/>
    </row>
    <row r="3" spans="1:29" ht="13.5" customHeight="1" x14ac:dyDescent="0.2">
      <c r="A3" s="2451" t="s">
        <v>1182</v>
      </c>
      <c r="B3" s="2451"/>
      <c r="C3" s="2451"/>
      <c r="D3" s="2451"/>
      <c r="E3" s="2451"/>
      <c r="F3" s="2451"/>
      <c r="G3" s="2451"/>
      <c r="H3" s="2451"/>
      <c r="I3" s="2451"/>
      <c r="J3" s="2451"/>
      <c r="K3" s="2451"/>
      <c r="L3" s="2451"/>
    </row>
    <row r="4" spans="1:29" ht="13.5" customHeight="1" x14ac:dyDescent="0.2">
      <c r="A4" s="2482" t="str">
        <f>"Year Ending June 30, "&amp;'AFR20'!E2</f>
        <v>Year Ending June 30, 2020</v>
      </c>
      <c r="B4" s="2483"/>
      <c r="C4" s="2483"/>
      <c r="D4" s="2483"/>
      <c r="E4" s="2483"/>
      <c r="F4" s="2483"/>
      <c r="G4" s="2483"/>
      <c r="H4" s="2483"/>
      <c r="I4" s="2483"/>
      <c r="J4" s="2483"/>
      <c r="K4" s="2483"/>
      <c r="L4" s="248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45" t="str">
        <f>COVER!A17</f>
        <v>Grundy Area Voc Center</v>
      </c>
      <c r="B7" s="2446"/>
      <c r="C7" s="2446"/>
      <c r="D7" s="2484"/>
      <c r="E7" s="2485">
        <f>COVER!A13</f>
        <v>24032790040</v>
      </c>
      <c r="F7" s="2486"/>
      <c r="G7" s="2452" t="str">
        <f>COVER!T23</f>
        <v>066-005100</v>
      </c>
      <c r="H7" s="2453"/>
      <c r="I7" s="2453"/>
      <c r="J7" s="2453"/>
      <c r="K7" s="2453"/>
      <c r="L7" s="245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55"/>
      <c r="B9" s="2456"/>
      <c r="C9" s="2456"/>
      <c r="D9" s="2456"/>
      <c r="E9" s="2456"/>
      <c r="F9" s="2457"/>
      <c r="G9" s="2458" t="str">
        <f>COVER!T13</f>
        <v>Mack &amp; Associates, P.C.</v>
      </c>
      <c r="H9" s="2459"/>
      <c r="I9" s="2459"/>
      <c r="J9" s="2459"/>
      <c r="K9" s="2459"/>
      <c r="L9" s="2460"/>
    </row>
    <row r="10" spans="1:29" ht="13.5" customHeight="1" x14ac:dyDescent="0.2">
      <c r="A10" s="2442" t="str">
        <f>COVER!A38</f>
        <v>Lance Copes</v>
      </c>
      <c r="B10" s="2443"/>
      <c r="C10" s="2443"/>
      <c r="D10" s="2443"/>
      <c r="E10" s="2443"/>
      <c r="F10" s="2444"/>
      <c r="G10" s="2458" t="str">
        <f>COVER!T17</f>
        <v>116 E Washington St., Suite 1</v>
      </c>
      <c r="H10" s="2471"/>
      <c r="I10" s="2471"/>
      <c r="J10" s="2471"/>
      <c r="K10" s="2471"/>
      <c r="L10" s="2472"/>
    </row>
    <row r="11" spans="1:29" ht="13.5" customHeight="1" x14ac:dyDescent="0.2">
      <c r="A11" s="1008" t="s">
        <v>1505</v>
      </c>
      <c r="B11" s="1009"/>
      <c r="C11" s="1010"/>
      <c r="D11" s="1015"/>
      <c r="E11" s="1010"/>
      <c r="F11" s="1014"/>
      <c r="G11" s="2458" t="str">
        <f>COVER!T19</f>
        <v>Morris</v>
      </c>
      <c r="H11" s="2471"/>
      <c r="I11" s="2471"/>
      <c r="J11" s="2471"/>
      <c r="K11" s="2471"/>
      <c r="L11" s="2472"/>
    </row>
    <row r="12" spans="1:29" ht="13.5" customHeight="1" x14ac:dyDescent="0.2">
      <c r="A12" s="2476" t="s">
        <v>1504</v>
      </c>
      <c r="B12" s="2477"/>
      <c r="C12" s="2477"/>
      <c r="D12" s="2477"/>
      <c r="E12" s="2477"/>
      <c r="F12" s="2478"/>
      <c r="G12" s="2473"/>
      <c r="H12" s="2474"/>
      <c r="I12" s="2474"/>
      <c r="J12" s="2474"/>
      <c r="K12" s="2474"/>
      <c r="L12" s="2475"/>
    </row>
    <row r="13" spans="1:29" ht="13.5" customHeight="1" x14ac:dyDescent="0.2">
      <c r="A13" s="2458"/>
      <c r="B13" s="2471"/>
      <c r="C13" s="2471"/>
      <c r="D13" s="2471"/>
      <c r="E13" s="2471"/>
      <c r="F13" s="2472"/>
      <c r="G13" s="2466" t="s">
        <v>1506</v>
      </c>
      <c r="H13" s="2467"/>
      <c r="I13" s="2479" t="str">
        <f>COVER!T25</f>
        <v>tmack@mackcpas.com</v>
      </c>
      <c r="J13" s="2480"/>
      <c r="K13" s="2480"/>
      <c r="L13" s="2481"/>
    </row>
    <row r="14" spans="1:29" ht="13.5" customHeight="1" x14ac:dyDescent="0.2">
      <c r="A14" s="2458" t="str">
        <f>COVER!A19</f>
        <v>1002 Union St.</v>
      </c>
      <c r="B14" s="2471"/>
      <c r="C14" s="2471"/>
      <c r="D14" s="2471"/>
      <c r="E14" s="2471"/>
      <c r="F14" s="2472"/>
      <c r="G14" s="1019" t="s">
        <v>1177</v>
      </c>
      <c r="H14" s="1017"/>
      <c r="I14" s="1017"/>
      <c r="J14" s="1017"/>
      <c r="K14" s="1017"/>
      <c r="L14" s="1018"/>
    </row>
    <row r="15" spans="1:29" ht="13.5" customHeight="1" x14ac:dyDescent="0.2">
      <c r="A15" s="2458" t="str">
        <f>COVER!A21</f>
        <v>Morris</v>
      </c>
      <c r="B15" s="2471"/>
      <c r="C15" s="2471"/>
      <c r="D15" s="2471"/>
      <c r="E15" s="2471"/>
      <c r="F15" s="2472"/>
      <c r="G15" s="2468" t="str">
        <f>COVER!T15</f>
        <v>Tawnya Mack, CPA</v>
      </c>
      <c r="H15" s="2469"/>
      <c r="I15" s="2469"/>
      <c r="J15" s="2469"/>
      <c r="K15" s="2469"/>
      <c r="L15" s="2470"/>
    </row>
    <row r="16" spans="1:29" ht="12.2" customHeight="1" x14ac:dyDescent="0.2">
      <c r="A16" s="2448">
        <f>COVER!A25</f>
        <v>60450</v>
      </c>
      <c r="B16" s="2449"/>
      <c r="C16" s="2449"/>
      <c r="D16" s="2449"/>
      <c r="E16" s="2449"/>
      <c r="F16" s="2450"/>
      <c r="G16" s="2461"/>
      <c r="H16" s="2462"/>
      <c r="I16" s="2462"/>
      <c r="J16" s="2462"/>
      <c r="K16" s="2462"/>
      <c r="L16" s="2463"/>
    </row>
    <row r="17" spans="1:13" ht="12.2" customHeight="1" x14ac:dyDescent="0.2">
      <c r="A17" s="2464"/>
      <c r="B17" s="2449"/>
      <c r="C17" s="2449"/>
      <c r="D17" s="2449"/>
      <c r="E17" s="2449"/>
      <c r="F17" s="2450"/>
      <c r="G17" s="1019" t="s">
        <v>1176</v>
      </c>
      <c r="H17" s="1017"/>
      <c r="I17" s="1017"/>
      <c r="J17" s="1017"/>
      <c r="K17" s="1021" t="s">
        <v>1175</v>
      </c>
      <c r="L17" s="1014"/>
      <c r="M17" s="1007"/>
    </row>
    <row r="18" spans="1:13" ht="12.2" customHeight="1" x14ac:dyDescent="0.2">
      <c r="A18" s="2442"/>
      <c r="B18" s="2443"/>
      <c r="C18" s="2443"/>
      <c r="D18" s="2443"/>
      <c r="E18" s="2443"/>
      <c r="F18" s="2444"/>
      <c r="G18" s="2445" t="str">
        <f>COVER!T21</f>
        <v>815-942-3306</v>
      </c>
      <c r="H18" s="2446"/>
      <c r="I18" s="2446"/>
      <c r="J18" s="2446"/>
      <c r="K18" s="2445" t="str">
        <f>COVER!X21</f>
        <v>815-942-9430</v>
      </c>
      <c r="L18" s="244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Grundy Area Voc Center</v>
      </c>
      <c r="B1" s="2488"/>
      <c r="C1" s="2488"/>
      <c r="D1" s="2488"/>
    </row>
    <row r="2" spans="1:11" s="1036" customFormat="1" ht="12.75" x14ac:dyDescent="0.2">
      <c r="A2" s="2489">
        <f>'Single Audit Cover'!E7</f>
        <v>24032790040</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Grundy Area Voc Center</v>
      </c>
      <c r="B1" s="2492"/>
      <c r="C1" s="2492"/>
      <c r="D1" s="2492"/>
      <c r="E1" s="2492"/>
    </row>
    <row r="2" spans="1:5" x14ac:dyDescent="0.2">
      <c r="A2" s="2493">
        <f>'Single Audit Cover'!E7</f>
        <v>24032790040</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0</v>
      </c>
    </row>
    <row r="11" spans="1:5" ht="18" customHeight="1" x14ac:dyDescent="0.2">
      <c r="A11" s="1082" t="s">
        <v>1231</v>
      </c>
      <c r="B11" s="1083"/>
      <c r="C11" s="1083"/>
    </row>
    <row r="12" spans="1:5" x14ac:dyDescent="0.2">
      <c r="A12" s="1082" t="s">
        <v>1230</v>
      </c>
      <c r="B12" s="1083" t="s">
        <v>1229</v>
      </c>
      <c r="C12" s="1083"/>
      <c r="D12" s="1085">
        <f>SUM('Revenues 9-14'!C112:D112,'Revenues 9-14'!F112:G112)</f>
        <v>75406</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75406</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75406</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75406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1" t="str">
        <f>'Single Audit Cover'!A7</f>
        <v>Grundy Area Voc Center</v>
      </c>
      <c r="C1" s="2496"/>
      <c r="D1" s="2496"/>
      <c r="E1" s="2496"/>
      <c r="F1" s="2496"/>
      <c r="G1" s="2496"/>
      <c r="H1" s="2496"/>
      <c r="I1" s="2496"/>
      <c r="J1" s="2496"/>
      <c r="K1" s="2496"/>
      <c r="L1" s="2496"/>
      <c r="M1" s="2496"/>
    </row>
    <row r="2" spans="2:14" ht="15" x14ac:dyDescent="0.2">
      <c r="B2" s="2497">
        <f>'Single Audit Cover'!E7</f>
        <v>24032790040</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1" t="str">
        <f>'Single Audit Cover'!A7</f>
        <v>Grundy Area Voc Center</v>
      </c>
      <c r="B1" s="2501"/>
      <c r="C1" s="2501"/>
      <c r="D1" s="2501"/>
      <c r="E1" s="2501"/>
      <c r="F1" s="2501"/>
    </row>
    <row r="2" spans="1:7" ht="13.5" customHeight="1" x14ac:dyDescent="0.2">
      <c r="A2" s="2497">
        <f>'Single Audit Cover'!E7</f>
        <v>24032790040</v>
      </c>
      <c r="B2" s="2497"/>
      <c r="C2" s="2497"/>
      <c r="D2" s="2497"/>
      <c r="E2" s="2497"/>
      <c r="F2" s="2497"/>
      <c r="G2" s="1096"/>
    </row>
    <row r="3" spans="1:7" ht="15.75" customHeight="1" x14ac:dyDescent="0.2">
      <c r="A3" s="2502" t="s">
        <v>1262</v>
      </c>
      <c r="B3" s="2502"/>
      <c r="C3" s="2502"/>
      <c r="D3" s="2502"/>
      <c r="E3" s="2502"/>
      <c r="F3" s="2502"/>
    </row>
    <row r="4" spans="1:7" ht="13.5" customHeight="1" x14ac:dyDescent="0.2">
      <c r="A4" s="2503" t="str">
        <f>'Single Audit Cover'!A4</f>
        <v>Year Ending June 30, 2020</v>
      </c>
      <c r="B4" s="2503"/>
      <c r="C4" s="2503"/>
      <c r="D4" s="2503"/>
      <c r="E4" s="2503"/>
      <c r="F4" s="2503"/>
    </row>
    <row r="5" spans="1:7" ht="8.25" customHeight="1" x14ac:dyDescent="0.2">
      <c r="C5" s="295"/>
      <c r="D5" s="295"/>
    </row>
    <row r="6" spans="1:7" ht="13.5" customHeight="1" x14ac:dyDescent="0.2">
      <c r="A6" s="1097" t="s">
        <v>1708</v>
      </c>
      <c r="C6" s="295"/>
      <c r="D6" s="295"/>
    </row>
    <row r="7" spans="1:7" ht="60.95" customHeight="1" x14ac:dyDescent="0.2">
      <c r="A7" s="2500" t="s">
        <v>1709</v>
      </c>
      <c r="B7" s="2500"/>
      <c r="C7" s="2500"/>
      <c r="D7" s="2500"/>
      <c r="E7" s="2500"/>
      <c r="F7" s="250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0" t="s">
        <v>1711</v>
      </c>
      <c r="B13" s="2500"/>
      <c r="C13" s="2500"/>
      <c r="D13" s="2500"/>
      <c r="E13" s="2500"/>
      <c r="F13" s="2500"/>
    </row>
    <row r="14" spans="1:7" ht="9.75" customHeight="1" x14ac:dyDescent="0.2">
      <c r="C14" s="1081"/>
      <c r="D14" s="1081"/>
    </row>
    <row r="15" spans="1:7" ht="13.5" customHeight="1" x14ac:dyDescent="0.2">
      <c r="C15" s="1525" t="s">
        <v>1261</v>
      </c>
      <c r="D15" s="2505" t="s">
        <v>1260</v>
      </c>
      <c r="E15" s="2505"/>
      <c r="F15" s="2505"/>
    </row>
    <row r="16" spans="1:7" ht="13.5" customHeight="1" x14ac:dyDescent="0.2">
      <c r="A16" s="1103"/>
      <c r="B16" s="1097" t="s">
        <v>1259</v>
      </c>
      <c r="C16" s="1525" t="s">
        <v>1258</v>
      </c>
      <c r="D16" s="2506" t="s">
        <v>1574</v>
      </c>
      <c r="E16" s="2506"/>
      <c r="F16" s="2506"/>
    </row>
    <row r="17" spans="1:6" ht="20.45" customHeight="1" x14ac:dyDescent="0.2">
      <c r="A17" s="1104"/>
      <c r="B17" s="1105"/>
      <c r="C17" s="1106"/>
      <c r="D17" s="2504"/>
      <c r="E17" s="2504"/>
      <c r="F17" s="2504"/>
    </row>
    <row r="18" spans="1:6" ht="20.65" customHeight="1" x14ac:dyDescent="0.2">
      <c r="A18" s="1104"/>
      <c r="B18" s="1105"/>
      <c r="C18" s="1106"/>
      <c r="D18" s="2504"/>
      <c r="E18" s="2504"/>
      <c r="F18" s="2504"/>
    </row>
    <row r="19" spans="1:6" ht="20.65" customHeight="1" x14ac:dyDescent="0.2">
      <c r="A19" s="1104"/>
      <c r="B19" s="1105"/>
      <c r="C19" s="1106"/>
      <c r="D19" s="2504"/>
      <c r="E19" s="2504"/>
      <c r="F19" s="2504"/>
    </row>
    <row r="20" spans="1:6" ht="20.65" customHeight="1" x14ac:dyDescent="0.2">
      <c r="A20" s="1104"/>
      <c r="B20" s="1105"/>
      <c r="C20" s="1106"/>
      <c r="D20" s="2504"/>
      <c r="E20" s="2504"/>
      <c r="F20" s="2504"/>
    </row>
    <row r="21" spans="1:6" ht="20.65" customHeight="1" x14ac:dyDescent="0.2">
      <c r="A21" s="1104"/>
      <c r="B21" s="1105"/>
      <c r="C21" s="1106"/>
      <c r="D21" s="2504"/>
      <c r="E21" s="2504"/>
      <c r="F21" s="2504"/>
    </row>
    <row r="22" spans="1:6" ht="20.65" customHeight="1" x14ac:dyDescent="0.2">
      <c r="A22" s="1104"/>
      <c r="B22" s="1105"/>
      <c r="C22" s="1106"/>
      <c r="D22" s="2504"/>
      <c r="E22" s="2504"/>
      <c r="F22" s="2504"/>
    </row>
    <row r="23" spans="1:6" ht="20.65" customHeight="1" x14ac:dyDescent="0.2">
      <c r="A23" s="1104"/>
      <c r="B23" s="1105"/>
      <c r="C23" s="1106"/>
      <c r="D23" s="2504"/>
      <c r="E23" s="2504"/>
      <c r="F23" s="2504"/>
    </row>
    <row r="24" spans="1:6" ht="20.65" customHeight="1" x14ac:dyDescent="0.2">
      <c r="A24" s="1104"/>
      <c r="B24" s="1105"/>
      <c r="C24" s="1106"/>
      <c r="D24" s="2504"/>
      <c r="E24" s="2504"/>
      <c r="F24" s="2504"/>
    </row>
    <row r="25" spans="1:6" ht="20.65" customHeight="1" x14ac:dyDescent="0.2">
      <c r="A25" s="1104"/>
      <c r="B25" s="1105"/>
      <c r="C25" s="1106"/>
      <c r="D25" s="2504"/>
      <c r="E25" s="2504"/>
      <c r="F25" s="2504"/>
    </row>
    <row r="26" spans="1:6" ht="20.65" customHeight="1" x14ac:dyDescent="0.2">
      <c r="A26" s="1104"/>
      <c r="B26" s="1105"/>
      <c r="C26" s="1106"/>
      <c r="D26" s="2504"/>
      <c r="E26" s="2504"/>
      <c r="F26" s="2504"/>
    </row>
    <row r="27" spans="1:6" ht="20.65" customHeight="1" x14ac:dyDescent="0.2">
      <c r="A27" s="1104"/>
      <c r="B27" s="1105"/>
      <c r="C27" s="1106"/>
      <c r="D27" s="2504"/>
      <c r="E27" s="2504"/>
      <c r="F27" s="2504"/>
    </row>
    <row r="28" spans="1:6" ht="20.65" customHeight="1" x14ac:dyDescent="0.2">
      <c r="A28" s="1104"/>
      <c r="B28" s="1105"/>
      <c r="C28" s="1106"/>
      <c r="D28" s="2504"/>
      <c r="E28" s="2504"/>
      <c r="F28" s="2504"/>
    </row>
    <row r="29" spans="1:6" ht="20.65" customHeight="1" x14ac:dyDescent="0.2">
      <c r="A29" s="1104"/>
      <c r="B29" s="1105"/>
      <c r="C29" s="1106"/>
      <c r="D29" s="2504"/>
      <c r="E29" s="2504"/>
      <c r="F29" s="2504"/>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8" t="s">
        <v>1712</v>
      </c>
      <c r="B32" s="2508"/>
      <c r="C32" s="2508"/>
      <c r="D32" s="2508"/>
      <c r="E32" s="2508"/>
      <c r="F32" s="2508"/>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9">
        <f>+C33+C34</f>
        <v>0</v>
      </c>
      <c r="F34" s="2510"/>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1" t="s">
        <v>1576</v>
      </c>
      <c r="C49" s="2511"/>
      <c r="D49" s="2511"/>
      <c r="E49" s="1213"/>
    </row>
    <row r="50" spans="1:5" s="1121" customFormat="1" ht="3.75" customHeight="1" x14ac:dyDescent="0.2">
      <c r="A50" s="1120"/>
      <c r="B50" s="1524"/>
      <c r="C50" s="1524"/>
      <c r="D50" s="1524"/>
      <c r="E50" s="1213"/>
    </row>
    <row r="51" spans="1:5" s="1121" customFormat="1" ht="20.25" customHeight="1" x14ac:dyDescent="0.2">
      <c r="A51" s="1122">
        <v>6</v>
      </c>
      <c r="B51" s="2507" t="s">
        <v>1537</v>
      </c>
      <c r="C51" s="2507"/>
      <c r="D51" s="2507"/>
    </row>
    <row r="52" spans="1:5" ht="14.25" customHeight="1" x14ac:dyDescent="0.2">
      <c r="A52" s="1122"/>
      <c r="B52" s="2507"/>
      <c r="C52" s="2507"/>
      <c r="D52" s="250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Normal="100" workbookViewId="0">
      <selection activeCell="G49" sqref="G4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8"/>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 customHeight="1" x14ac:dyDescent="0.2">
      <c r="A67" s="249"/>
      <c r="B67" s="2134"/>
      <c r="C67" s="2135"/>
      <c r="D67" s="2135"/>
      <c r="E67" s="2135"/>
      <c r="F67" s="2135"/>
      <c r="G67" s="2135"/>
      <c r="H67" s="2135"/>
      <c r="I67" s="2135"/>
      <c r="J67" s="213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2021</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t="s">
        <v>2036</v>
      </c>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6" t="str">
        <f>'Single Audit Cover'!A7</f>
        <v>Grundy Area Voc Center</v>
      </c>
      <c r="C1" s="2517"/>
      <c r="D1" s="2517"/>
      <c r="E1" s="2517"/>
      <c r="F1" s="2517"/>
      <c r="G1" s="2517"/>
      <c r="H1" s="2517"/>
      <c r="I1" s="2517"/>
      <c r="J1" s="1223"/>
    </row>
    <row r="2" spans="2:10" s="295" customFormat="1" ht="12.75" customHeight="1" x14ac:dyDescent="0.2">
      <c r="B2" s="2518">
        <f>'Single Audit Cover'!E7</f>
        <v>24032790040</v>
      </c>
      <c r="C2" s="2519"/>
      <c r="D2" s="2519"/>
      <c r="E2" s="2519"/>
      <c r="F2" s="2519"/>
      <c r="G2" s="2519"/>
      <c r="H2" s="2519"/>
      <c r="I2" s="2519"/>
      <c r="J2" s="1223"/>
    </row>
    <row r="3" spans="2:10" s="295" customFormat="1" ht="12.75" customHeight="1" x14ac:dyDescent="0.2">
      <c r="B3" s="2520" t="s">
        <v>1276</v>
      </c>
      <c r="C3" s="2521"/>
      <c r="D3" s="2521"/>
      <c r="E3" s="2521"/>
      <c r="F3" s="2521"/>
      <c r="G3" s="2521"/>
      <c r="H3" s="2521"/>
      <c r="I3" s="2521"/>
      <c r="J3" s="1224"/>
    </row>
    <row r="4" spans="2:10" s="295" customFormat="1" ht="12.75" customHeight="1" x14ac:dyDescent="0.2">
      <c r="B4" s="2520" t="str">
        <f>'Single Audit Cover'!A4</f>
        <v>Year Ending June 30, 2020</v>
      </c>
      <c r="C4" s="2521"/>
      <c r="D4" s="2521"/>
      <c r="E4" s="2521"/>
      <c r="F4" s="2521"/>
      <c r="G4" s="2521"/>
      <c r="H4" s="2521"/>
      <c r="I4" s="2521"/>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0" t="s">
        <v>1275</v>
      </c>
      <c r="C7" s="2521"/>
      <c r="D7" s="2521"/>
      <c r="E7" s="2521"/>
      <c r="F7" s="2521"/>
      <c r="G7" s="2521"/>
      <c r="H7" s="2521"/>
      <c r="I7" s="2521"/>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2"/>
      <c r="D11" s="2522"/>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3"/>
      <c r="E29" s="2523"/>
      <c r="F29" s="2523"/>
      <c r="G29" s="2523"/>
      <c r="H29" s="2523"/>
      <c r="I29" s="2523"/>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4" t="s">
        <v>1731</v>
      </c>
      <c r="D37" s="2525"/>
      <c r="E37" s="2525"/>
      <c r="F37" s="2526"/>
      <c r="G37" s="2524" t="s">
        <v>1578</v>
      </c>
      <c r="H37" s="2525"/>
      <c r="I37" s="2526"/>
    </row>
    <row r="38" spans="2:9" ht="16.5" customHeight="1" x14ac:dyDescent="0.2">
      <c r="B38" s="1245"/>
      <c r="C38" s="2512"/>
      <c r="D38" s="2513"/>
      <c r="E38" s="2513"/>
      <c r="F38" s="2514"/>
      <c r="G38" s="2527"/>
      <c r="H38" s="2528"/>
      <c r="I38" s="2529"/>
    </row>
    <row r="39" spans="2:9" ht="16.5" customHeight="1" x14ac:dyDescent="0.2">
      <c r="B39" s="1245"/>
      <c r="C39" s="2512"/>
      <c r="D39" s="2513"/>
      <c r="E39" s="2513"/>
      <c r="F39" s="2514"/>
      <c r="G39" s="2515"/>
      <c r="H39" s="2515"/>
      <c r="I39" s="2515"/>
    </row>
    <row r="40" spans="2:9" ht="16.5" customHeight="1" x14ac:dyDescent="0.2">
      <c r="B40" s="1245"/>
      <c r="C40" s="2512"/>
      <c r="D40" s="2513"/>
      <c r="E40" s="2513"/>
      <c r="F40" s="2514"/>
      <c r="G40" s="2515"/>
      <c r="H40" s="2515"/>
      <c r="I40" s="2515"/>
    </row>
    <row r="41" spans="2:9" ht="16.5" customHeight="1" x14ac:dyDescent="0.2">
      <c r="B41" s="1245"/>
      <c r="C41" s="2512"/>
      <c r="D41" s="2513"/>
      <c r="E41" s="2513"/>
      <c r="F41" s="2514"/>
      <c r="G41" s="2515"/>
      <c r="H41" s="2515"/>
      <c r="I41" s="2515"/>
    </row>
    <row r="42" spans="2:9" ht="16.5" customHeight="1" x14ac:dyDescent="0.2">
      <c r="B42" s="1245"/>
      <c r="C42" s="2512"/>
      <c r="D42" s="2513"/>
      <c r="E42" s="2513"/>
      <c r="F42" s="2514"/>
      <c r="G42" s="2515"/>
      <c r="H42" s="2515"/>
      <c r="I42" s="2515"/>
    </row>
    <row r="43" spans="2:9" ht="16.5" customHeight="1" x14ac:dyDescent="0.2">
      <c r="B43" s="1245"/>
      <c r="C43" s="2530" t="s">
        <v>1579</v>
      </c>
      <c r="D43" s="2531"/>
      <c r="E43" s="2531"/>
      <c r="F43" s="2532"/>
      <c r="G43" s="2533">
        <f>SUM(G38:I42)</f>
        <v>0</v>
      </c>
      <c r="H43" s="2533"/>
      <c r="I43" s="2533"/>
    </row>
    <row r="44" spans="2:9" ht="12.75" customHeight="1" x14ac:dyDescent="0.2"/>
    <row r="45" spans="2:9" ht="12.75" customHeight="1" x14ac:dyDescent="0.2">
      <c r="B45" s="1985" t="str">
        <f>"Total Federal Expenditures for 7/1/"&amp;MID('AFR20'!E2,3,2)-1&amp;"-6/30/"&amp;MID('AFR20'!E2,3,2)</f>
        <v>Total Federal Expenditures for 7/1/19-6/30/20</v>
      </c>
      <c r="C45" s="1986"/>
      <c r="D45" s="2534">
        <v>0</v>
      </c>
      <c r="E45" s="2535"/>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6"/>
      <c r="F49" s="2536"/>
      <c r="G49" s="2536"/>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6" t="str">
        <f>'Single Audit Cover'!A7</f>
        <v>Grundy Area Voc Center</v>
      </c>
      <c r="C1" s="2516"/>
      <c r="D1" s="2516"/>
      <c r="E1" s="2516"/>
      <c r="F1" s="2516"/>
      <c r="G1" s="2516"/>
      <c r="H1" s="2516"/>
      <c r="I1" s="2516"/>
      <c r="J1" s="2516"/>
      <c r="K1" s="2516"/>
      <c r="L1" s="1189"/>
      <c r="M1" s="1189"/>
    </row>
    <row r="2" spans="1:13" ht="12" customHeight="1" x14ac:dyDescent="0.2">
      <c r="B2" s="2518">
        <f>'Single Audit Cover'!E7</f>
        <v>24032790040</v>
      </c>
      <c r="C2" s="2518"/>
      <c r="D2" s="2518"/>
      <c r="E2" s="2518"/>
      <c r="F2" s="2518"/>
      <c r="G2" s="2518"/>
      <c r="H2" s="2518"/>
      <c r="I2" s="2518"/>
      <c r="J2" s="2518"/>
      <c r="K2" s="2518"/>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3" t="str">
        <f>'Single Audit Cover'!A7</f>
        <v>Grundy Area Voc Center</v>
      </c>
      <c r="C1" s="2543"/>
      <c r="D1" s="2543"/>
      <c r="E1" s="2543"/>
      <c r="F1" s="2543"/>
      <c r="G1" s="2543"/>
      <c r="H1" s="2543"/>
      <c r="I1" s="2543"/>
      <c r="J1" s="2543"/>
      <c r="K1" s="2543"/>
      <c r="L1" s="1266"/>
    </row>
    <row r="2" spans="1:12" ht="12.75" customHeight="1" x14ac:dyDescent="0.2">
      <c r="B2" s="2544">
        <f>'Single Audit Cover'!E7</f>
        <v>24032790040</v>
      </c>
      <c r="C2" s="2544"/>
      <c r="D2" s="2544"/>
      <c r="E2" s="2544"/>
      <c r="F2" s="2544"/>
      <c r="G2" s="2544"/>
      <c r="H2" s="2544"/>
      <c r="I2" s="2544"/>
      <c r="J2" s="2544"/>
      <c r="K2" s="2544"/>
      <c r="L2" s="1267"/>
    </row>
    <row r="3" spans="1:12" ht="12.75" customHeight="1" x14ac:dyDescent="0.2">
      <c r="B3" s="2539" t="s">
        <v>1276</v>
      </c>
      <c r="C3" s="2539"/>
      <c r="D3" s="2539"/>
      <c r="E3" s="2539"/>
      <c r="F3" s="2539"/>
      <c r="G3" s="2539"/>
      <c r="H3" s="2539"/>
      <c r="I3" s="2539"/>
      <c r="J3" s="2539"/>
      <c r="K3" s="2539"/>
      <c r="L3" s="1192"/>
    </row>
    <row r="4" spans="1:12" ht="12.7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75" customHeight="1" x14ac:dyDescent="0.2">
      <c r="A6" s="300"/>
      <c r="B6" s="2545" t="s">
        <v>1299</v>
      </c>
      <c r="C6" s="2545"/>
      <c r="D6" s="2545"/>
      <c r="E6" s="2545"/>
      <c r="F6" s="2545"/>
      <c r="G6" s="2545"/>
      <c r="H6" s="2545"/>
      <c r="I6" s="2545"/>
      <c r="J6" s="2545"/>
      <c r="K6" s="2545"/>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3"/>
      <c r="G12" s="2523"/>
      <c r="H12" s="2523"/>
      <c r="I12" s="2523"/>
      <c r="J12" s="2523"/>
      <c r="K12" s="252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6"/>
      <c r="E14" s="2546"/>
      <c r="F14" s="2546"/>
      <c r="H14" s="1275" t="s">
        <v>1294</v>
      </c>
      <c r="I14" s="2547"/>
      <c r="J14" s="2547"/>
      <c r="K14" s="2547"/>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7"/>
      <c r="E16" s="2547"/>
      <c r="F16" s="2547"/>
      <c r="G16" s="2547"/>
      <c r="H16" s="2547"/>
      <c r="I16" s="2547"/>
      <c r="J16" s="2547"/>
      <c r="K16" s="2547"/>
      <c r="L16" s="300"/>
    </row>
    <row r="17" spans="2:12" ht="13.5" customHeight="1" x14ac:dyDescent="0.2">
      <c r="B17" s="1201" t="s">
        <v>1292</v>
      </c>
      <c r="C17" s="1201"/>
      <c r="D17" s="2548"/>
      <c r="E17" s="2548"/>
      <c r="F17" s="2548"/>
      <c r="G17" s="2548"/>
      <c r="H17" s="2548"/>
      <c r="I17" s="2548"/>
      <c r="J17" s="2548"/>
      <c r="K17" s="2548"/>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6" t="str">
        <f>'Single Audit Cover'!A7</f>
        <v>Grundy Area Voc Center</v>
      </c>
      <c r="C1" s="2516"/>
      <c r="D1" s="2516"/>
      <c r="E1" s="1285"/>
    </row>
    <row r="2" spans="2:5" s="1103" customFormat="1" ht="12.75" customHeight="1" x14ac:dyDescent="0.2">
      <c r="B2" s="2518">
        <f>'Single Audit Cover'!E7</f>
        <v>24032790040</v>
      </c>
      <c r="C2" s="2518"/>
      <c r="D2" s="2518"/>
      <c r="E2" s="1286"/>
    </row>
    <row r="3" spans="2:5" ht="12.75" customHeight="1" x14ac:dyDescent="0.2">
      <c r="B3" s="2539" t="s">
        <v>1746</v>
      </c>
      <c r="C3" s="2539"/>
      <c r="D3" s="2539"/>
      <c r="E3" s="1095"/>
    </row>
    <row r="4" spans="2:5" s="1103" customFormat="1" ht="12.7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7" colorId="8" zoomScale="110" zoomScaleNormal="110" workbookViewId="0">
      <selection activeCell="D10" sqref="D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3444253</v>
      </c>
      <c r="E16" s="1597"/>
      <c r="F16" s="1596">
        <f>SUM('Acct Summary 7-8'!C17,'Acct Summary 7-8'!D17,'Acct Summary 7-8'!F17)</f>
        <v>3249068</v>
      </c>
      <c r="G16" s="1597"/>
      <c r="H16" s="1596">
        <f>SUM(D16-F16)</f>
        <v>195185</v>
      </c>
      <c r="I16" s="1598"/>
      <c r="J16" s="1596">
        <f>SUM('Acct Summary 7-8'!C81,'Acct Summary 7-8'!D81,'Acct Summary 7-8'!F81,'Acct Summary 7-8'!I81)</f>
        <v>697704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1190000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75" customHeight="1" x14ac:dyDescent="0.2">
      <c r="B55" s="2146"/>
      <c r="C55" s="2147"/>
      <c r="D55" s="2147"/>
      <c r="E55" s="2147"/>
      <c r="F55" s="2147"/>
      <c r="G55" s="2147"/>
      <c r="H55" s="2147"/>
      <c r="I55" s="2147"/>
      <c r="J55" s="2147"/>
      <c r="K55" s="2147"/>
      <c r="L55" s="2148"/>
      <c r="M55" s="357"/>
    </row>
    <row r="56" spans="1:13" ht="12.75" customHeight="1" x14ac:dyDescent="0.2">
      <c r="B56" s="2146"/>
      <c r="C56" s="2147"/>
      <c r="D56" s="2147"/>
      <c r="E56" s="2147"/>
      <c r="F56" s="2147"/>
      <c r="G56" s="2147"/>
      <c r="H56" s="2147"/>
      <c r="I56" s="2147"/>
      <c r="J56" s="2147"/>
      <c r="K56" s="2147"/>
      <c r="L56" s="2148"/>
      <c r="M56" s="217"/>
    </row>
    <row r="57" spans="1:13" ht="12.7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Grundy Area Voc Center</v>
      </c>
      <c r="E7" s="368"/>
      <c r="G7" s="247"/>
      <c r="H7" s="364"/>
      <c r="I7" s="364"/>
      <c r="J7" s="364"/>
      <c r="K7" s="364"/>
      <c r="L7" s="307"/>
      <c r="M7" s="307"/>
      <c r="N7" s="307"/>
      <c r="O7" s="307"/>
      <c r="P7" s="307"/>
    </row>
    <row r="8" spans="1:18" ht="12.75" x14ac:dyDescent="0.2">
      <c r="A8" s="307"/>
      <c r="B8" s="307"/>
      <c r="C8" s="366" t="s">
        <v>1117</v>
      </c>
      <c r="D8" s="369">
        <f>COVER!A13</f>
        <v>24032790040</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3</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697704</v>
      </c>
      <c r="I12" s="380"/>
      <c r="J12" s="380"/>
      <c r="K12" s="1609">
        <f>TRUNC((H12/H13*100000),5)/100000</f>
        <v>0.20257048480000001</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3444253</v>
      </c>
      <c r="I13" s="380"/>
      <c r="J13" s="380"/>
      <c r="K13" s="1608"/>
      <c r="L13" s="213"/>
      <c r="M13" s="337" t="s">
        <v>1137</v>
      </c>
      <c r="N13" s="337"/>
      <c r="O13" s="1613">
        <f>(O11*O12)</f>
        <v>1.0499999999999998</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3249068</v>
      </c>
      <c r="I17" s="380"/>
      <c r="J17" s="389"/>
      <c r="K17" s="1609">
        <f>TRUNC((H17/H18*100000),5)/100000</f>
        <v>0.94333023729999999</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3444253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2</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697704</v>
      </c>
      <c r="I24" s="394"/>
      <c r="J24" s="394"/>
      <c r="K24" s="1605">
        <f>TRUNC(((H24/H25*100000)/100000),2)</f>
        <v>77.3</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9025.1888899999994</v>
      </c>
      <c r="I25" s="396"/>
      <c r="J25" s="396"/>
      <c r="K25" s="1608"/>
      <c r="L25" s="213"/>
      <c r="M25" s="337" t="s">
        <v>1137</v>
      </c>
      <c r="N25" s="337"/>
      <c r="O25" s="1613">
        <f>O23*O24</f>
        <v>0.2</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1190000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8" activePane="bottomLeft" state="frozen"/>
      <selection activeCell="N117" sqref="N117"/>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c r="D4" s="1623"/>
      <c r="E4" s="1623"/>
      <c r="F4" s="1623"/>
      <c r="G4" s="1623"/>
      <c r="H4" s="1623"/>
      <c r="I4" s="1623"/>
      <c r="J4" s="1624"/>
      <c r="K4" s="1623"/>
      <c r="L4" s="1623"/>
      <c r="M4" s="1625"/>
      <c r="N4" s="1626"/>
    </row>
    <row r="5" spans="1:14" x14ac:dyDescent="0.2">
      <c r="A5" s="427" t="s">
        <v>985</v>
      </c>
      <c r="B5" s="429">
        <v>120</v>
      </c>
      <c r="C5" s="1622">
        <v>617097</v>
      </c>
      <c r="D5" s="1623">
        <v>80607</v>
      </c>
      <c r="E5" s="1623">
        <v>3726</v>
      </c>
      <c r="F5" s="1623"/>
      <c r="G5" s="1623"/>
      <c r="H5" s="1623"/>
      <c r="I5" s="1623"/>
      <c r="J5" s="1624"/>
      <c r="K5" s="1627"/>
      <c r="L5" s="1628">
        <v>65339</v>
      </c>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617097</v>
      </c>
      <c r="D13" s="1637">
        <f t="shared" ref="D13:L13" si="0">SUM(D4:D12)</f>
        <v>80607</v>
      </c>
      <c r="E13" s="1637">
        <f t="shared" si="0"/>
        <v>3726</v>
      </c>
      <c r="F13" s="1637">
        <f t="shared" si="0"/>
        <v>0</v>
      </c>
      <c r="G13" s="1637">
        <f t="shared" si="0"/>
        <v>0</v>
      </c>
      <c r="H13" s="1637">
        <f t="shared" si="0"/>
        <v>0</v>
      </c>
      <c r="I13" s="1637">
        <f t="shared" si="0"/>
        <v>0</v>
      </c>
      <c r="J13" s="1637">
        <f t="shared" si="0"/>
        <v>0</v>
      </c>
      <c r="K13" s="1637">
        <f t="shared" si="0"/>
        <v>0</v>
      </c>
      <c r="L13" s="1637">
        <f t="shared" si="0"/>
        <v>65339</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249030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5601969</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51641</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3034366</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3726</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1186274</v>
      </c>
    </row>
    <row r="23" spans="1:14" ht="13.5" customHeight="1" thickBot="1" x14ac:dyDescent="0.25">
      <c r="A23" s="1475" t="s">
        <v>638</v>
      </c>
      <c r="B23" s="1478"/>
      <c r="C23" s="1625"/>
      <c r="D23" s="1625"/>
      <c r="E23" s="1625"/>
      <c r="F23" s="1625"/>
      <c r="G23" s="1625"/>
      <c r="H23" s="1625"/>
      <c r="I23" s="1625"/>
      <c r="J23" s="1625"/>
      <c r="K23" s="1625"/>
      <c r="L23" s="1625"/>
      <c r="M23" s="1644">
        <f>SUM(M15:M22)</f>
        <v>8937006</v>
      </c>
      <c r="N23" s="1644">
        <f>SUM(N21:N22)</f>
        <v>1190000</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65339</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65339</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1190000</v>
      </c>
    </row>
    <row r="37" spans="1:14" ht="13.5" thickBot="1" x14ac:dyDescent="0.25">
      <c r="A37" s="1475" t="s">
        <v>648</v>
      </c>
      <c r="B37" s="1478"/>
      <c r="C37" s="1632"/>
      <c r="D37" s="1632"/>
      <c r="E37" s="1632"/>
      <c r="F37" s="1632"/>
      <c r="G37" s="1632"/>
      <c r="H37" s="1632"/>
      <c r="I37" s="1632"/>
      <c r="J37" s="1632"/>
      <c r="K37" s="1632"/>
      <c r="L37" s="1635"/>
      <c r="M37" s="1625"/>
      <c r="N37" s="1644">
        <f>SUM(N36:N36)</f>
        <v>1190000</v>
      </c>
    </row>
    <row r="38" spans="1:14" s="307" customFormat="1" ht="13.5" customHeight="1" thickTop="1" x14ac:dyDescent="0.2">
      <c r="A38" s="438" t="s">
        <v>417</v>
      </c>
      <c r="B38" s="432">
        <v>714</v>
      </c>
      <c r="C38" s="1623">
        <v>69769</v>
      </c>
      <c r="D38" s="1623"/>
      <c r="E38" s="1623"/>
      <c r="F38" s="1623"/>
      <c r="G38" s="1623"/>
      <c r="H38" s="1623"/>
      <c r="I38" s="1623"/>
      <c r="J38" s="1624"/>
      <c r="K38" s="1623"/>
      <c r="L38" s="1636"/>
      <c r="M38" s="1654"/>
      <c r="N38" s="1654"/>
    </row>
    <row r="39" spans="1:14" s="307" customFormat="1" ht="13.5" customHeight="1" x14ac:dyDescent="0.2">
      <c r="A39" s="438" t="s">
        <v>339</v>
      </c>
      <c r="B39" s="432">
        <v>730</v>
      </c>
      <c r="C39" s="1623">
        <v>547328</v>
      </c>
      <c r="D39" s="1623">
        <v>80607</v>
      </c>
      <c r="E39" s="1623">
        <v>3726</v>
      </c>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8937006</v>
      </c>
      <c r="N40" s="1654"/>
    </row>
    <row r="41" spans="1:14" ht="13.5" customHeight="1" thickBot="1" x14ac:dyDescent="0.25">
      <c r="A41" s="1475" t="s">
        <v>650</v>
      </c>
      <c r="B41" s="1454"/>
      <c r="C41" s="1644">
        <f>(SUM(C34,C37,C38,C39))</f>
        <v>617097</v>
      </c>
      <c r="D41" s="1644">
        <f t="shared" ref="D41:L41" si="2">SUM(D34,D37,D38:D39)</f>
        <v>80607</v>
      </c>
      <c r="E41" s="1644">
        <f t="shared" si="2"/>
        <v>3726</v>
      </c>
      <c r="F41" s="1644">
        <f t="shared" si="2"/>
        <v>0</v>
      </c>
      <c r="G41" s="1644">
        <f t="shared" si="2"/>
        <v>0</v>
      </c>
      <c r="H41" s="1644">
        <f t="shared" si="2"/>
        <v>0</v>
      </c>
      <c r="I41" s="1644">
        <f t="shared" si="2"/>
        <v>0</v>
      </c>
      <c r="J41" s="1644">
        <f t="shared" si="2"/>
        <v>0</v>
      </c>
      <c r="K41" s="1644">
        <f t="shared" si="2"/>
        <v>0</v>
      </c>
      <c r="L41" s="1644">
        <f t="shared" si="2"/>
        <v>65339</v>
      </c>
      <c r="M41" s="1644">
        <f>SUM(M40)</f>
        <v>8937006</v>
      </c>
      <c r="N41" s="1644">
        <f>SUM(N37)</f>
        <v>1190000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N117" sqref="N117"/>
      <selection pane="bottomLeft" activeCell="C6" sqref="C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2479487</v>
      </c>
      <c r="D4" s="1656">
        <f>'Revenues 9-14'!D109</f>
        <v>596404</v>
      </c>
      <c r="E4" s="1656">
        <f>'Revenues 9-14'!E109</f>
        <v>145146</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350452</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17910</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0</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2847849</v>
      </c>
      <c r="D8" s="1644">
        <f t="shared" ref="D8:K8" si="0">SUM(D4:D7)</f>
        <v>596404</v>
      </c>
      <c r="E8" s="1644">
        <f t="shared" si="0"/>
        <v>145146</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152419</v>
      </c>
      <c r="D9" s="1663"/>
      <c r="E9" s="1636"/>
      <c r="F9" s="1636"/>
      <c r="G9" s="1664"/>
      <c r="H9" s="1636"/>
      <c r="I9" s="1659" t="s">
        <v>1161</v>
      </c>
      <c r="J9" s="1633"/>
      <c r="K9" s="1636"/>
      <c r="L9" s="325"/>
    </row>
    <row r="10" spans="1:13" s="452" customFormat="1" ht="13.5" thickBot="1" x14ac:dyDescent="0.25">
      <c r="A10" s="1475" t="s">
        <v>1165</v>
      </c>
      <c r="B10" s="1456"/>
      <c r="C10" s="1644">
        <f>SUM(C8:C9)</f>
        <v>3000268</v>
      </c>
      <c r="D10" s="1644">
        <f t="shared" ref="D10:K10" si="1">SUM(D8:D9)</f>
        <v>596404</v>
      </c>
      <c r="E10" s="1644">
        <f t="shared" si="1"/>
        <v>145146</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2044362</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610499</v>
      </c>
      <c r="D13" s="1657">
        <f>'Expenditures 15-22'!K129</f>
        <v>594207</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146306</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2654861</v>
      </c>
      <c r="D17" s="1644">
        <f t="shared" si="2"/>
        <v>594207</v>
      </c>
      <c r="E17" s="1644">
        <f t="shared" si="2"/>
        <v>146306</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152419</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2807280</v>
      </c>
      <c r="D19" s="1644">
        <f t="shared" si="4"/>
        <v>594207</v>
      </c>
      <c r="E19" s="1644">
        <f t="shared" si="4"/>
        <v>146306</v>
      </c>
      <c r="F19" s="1644">
        <f t="shared" si="4"/>
        <v>0</v>
      </c>
      <c r="G19" s="1644">
        <f t="shared" si="4"/>
        <v>0</v>
      </c>
      <c r="H19" s="1644">
        <f t="shared" si="4"/>
        <v>0</v>
      </c>
      <c r="I19" s="1625"/>
      <c r="J19" s="1644">
        <f>SUM(J17:J18)</f>
        <v>0</v>
      </c>
      <c r="K19" s="1644">
        <f>SUM(K17:K18)</f>
        <v>0</v>
      </c>
      <c r="L19" s="325"/>
    </row>
    <row r="20" spans="1:12" ht="16.5" thickTop="1" thickBot="1" x14ac:dyDescent="0.25">
      <c r="A20" s="2184" t="s">
        <v>1639</v>
      </c>
      <c r="B20" s="2185"/>
      <c r="C20" s="1672">
        <f>C8-C17</f>
        <v>192988</v>
      </c>
      <c r="D20" s="1672">
        <f t="shared" ref="D20:K20" si="5">D8-D17</f>
        <v>2197</v>
      </c>
      <c r="E20" s="1672">
        <f t="shared" si="5"/>
        <v>-1160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6" t="s">
        <v>1169</v>
      </c>
      <c r="B77" s="2177"/>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0" t="s">
        <v>593</v>
      </c>
      <c r="B78" s="2181"/>
      <c r="C78" s="1679">
        <f t="shared" ref="C78:K78" si="9">C20+C77</f>
        <v>192988</v>
      </c>
      <c r="D78" s="1679">
        <f t="shared" si="9"/>
        <v>2197</v>
      </c>
      <c r="E78" s="1679">
        <f t="shared" si="9"/>
        <v>-1160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424109</v>
      </c>
      <c r="D79" s="1680">
        <v>78410</v>
      </c>
      <c r="E79" s="1680">
        <v>4886</v>
      </c>
      <c r="F79" s="1680"/>
      <c r="G79" s="1680"/>
      <c r="H79" s="1680"/>
      <c r="I79" s="1680"/>
      <c r="J79" s="1680"/>
      <c r="K79" s="1680"/>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617097</v>
      </c>
      <c r="D81" s="1644">
        <f>SUM(D78:D80)</f>
        <v>80607</v>
      </c>
      <c r="E81" s="1644">
        <f t="shared" ref="E81:K81" si="10">SUM(E78:E80)</f>
        <v>3726</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192988</v>
      </c>
      <c r="D82" s="461">
        <f t="shared" ref="D82:K82" si="11">(D81-D79)</f>
        <v>2197</v>
      </c>
      <c r="E82" s="461">
        <f t="shared" si="11"/>
        <v>-1160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0.31273527500538811</v>
      </c>
      <c r="D83" s="463">
        <f t="shared" ref="D83:K83" si="12">D82/D81</f>
        <v>2.7255697396007791E-2</v>
      </c>
      <c r="E83" s="463">
        <f t="shared" si="12"/>
        <v>-0.31132581857219538</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23" activePane="bottomLeft" state="frozen"/>
      <selection pane="bottomLeft" activeCell="C137" sqref="C13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v>1871517</v>
      </c>
      <c r="D29" s="1625"/>
      <c r="E29" s="1625"/>
      <c r="F29" s="1625"/>
      <c r="G29" s="1625"/>
      <c r="H29" s="1625"/>
      <c r="I29" s="1625"/>
      <c r="J29" s="1625"/>
      <c r="K29" s="1625"/>
    </row>
    <row r="30" spans="1:11" ht="12.75" customHeight="1" x14ac:dyDescent="0.2">
      <c r="A30" s="427" t="s">
        <v>1019</v>
      </c>
      <c r="B30" s="429">
        <v>1333</v>
      </c>
      <c r="C30" s="1682">
        <v>65000</v>
      </c>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1936517</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2005</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2005</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v>38039</v>
      </c>
      <c r="D81" s="1623"/>
      <c r="E81" s="1625"/>
      <c r="F81" s="1625"/>
      <c r="G81" s="1625"/>
      <c r="H81" s="1625"/>
      <c r="I81" s="1625"/>
      <c r="J81" s="1625"/>
      <c r="K81" s="1625"/>
    </row>
    <row r="82" spans="1:11" ht="12.75" customHeight="1" thickBot="1" x14ac:dyDescent="0.25">
      <c r="A82" s="1455" t="s">
        <v>239</v>
      </c>
      <c r="B82" s="1456"/>
      <c r="C82" s="1683">
        <f>SUM(C77:C81)</f>
        <v>38039</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8879</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8879</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v>596404</v>
      </c>
      <c r="E104" s="1636">
        <v>145146</v>
      </c>
      <c r="F104" s="1624"/>
      <c r="G104" s="1624"/>
      <c r="H104" s="1623"/>
      <c r="I104" s="1625"/>
      <c r="J104" s="1625"/>
      <c r="K104" s="1625"/>
    </row>
    <row r="105" spans="1:12" ht="12.75" customHeight="1" x14ac:dyDescent="0.2">
      <c r="A105" s="427" t="s">
        <v>817</v>
      </c>
      <c r="B105" s="429">
        <v>1992</v>
      </c>
      <c r="C105" s="1623">
        <v>327512</v>
      </c>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166535</v>
      </c>
      <c r="D107" s="1623"/>
      <c r="E107" s="1623"/>
      <c r="F107" s="1623"/>
      <c r="G107" s="1623"/>
      <c r="H107" s="1623"/>
      <c r="I107" s="1623"/>
      <c r="J107" s="1624"/>
      <c r="K107" s="1623"/>
    </row>
    <row r="108" spans="1:12" ht="12.75" customHeight="1" thickBot="1" x14ac:dyDescent="0.25">
      <c r="A108" s="1455" t="s">
        <v>484</v>
      </c>
      <c r="B108" s="1457"/>
      <c r="C108" s="1683">
        <f>SUM(C95:C107)</f>
        <v>494047</v>
      </c>
      <c r="D108" s="1683">
        <f t="shared" ref="D108:K108" si="3">SUM(D95:D107)</f>
        <v>596404</v>
      </c>
      <c r="E108" s="1683">
        <f t="shared" si="3"/>
        <v>145146</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2479487</v>
      </c>
      <c r="D109" s="1691">
        <f t="shared" si="4"/>
        <v>596404</v>
      </c>
      <c r="E109" s="1691">
        <f t="shared" si="4"/>
        <v>145146</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275046</v>
      </c>
      <c r="D111" s="1636"/>
      <c r="E111" s="1690"/>
      <c r="F111" s="1636"/>
      <c r="G111" s="1636"/>
      <c r="H111" s="1690"/>
      <c r="I111" s="1625"/>
      <c r="J111" s="1625"/>
      <c r="K111" s="1625"/>
    </row>
    <row r="112" spans="1:12" ht="12.75" customHeight="1" x14ac:dyDescent="0.2">
      <c r="A112" s="427" t="s">
        <v>819</v>
      </c>
      <c r="B112" s="429">
        <v>2200</v>
      </c>
      <c r="C112" s="1682">
        <v>75406</v>
      </c>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350452</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v>17910</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17910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2" t="s">
        <v>395</v>
      </c>
      <c r="B169" s="2203"/>
      <c r="C169" s="1708">
        <f t="shared" ref="C169:K169" si="6">SUM(C132,C141,C145,C146:C150,C155,C156:C167,C168)</f>
        <v>17910</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17910</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0</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0</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2847849</v>
      </c>
      <c r="D268" s="1691">
        <f t="shared" si="12"/>
        <v>596404</v>
      </c>
      <c r="E268" s="1691">
        <f t="shared" si="12"/>
        <v>145146</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45" activePane="bottomLeft" state="frozen"/>
      <selection pane="bottomLeft" activeCell="C13" sqref="C1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2" t="s">
        <v>294</v>
      </c>
      <c r="B3" s="2223"/>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c r="D8" s="1623"/>
      <c r="E8" s="1623"/>
      <c r="F8" s="1623"/>
      <c r="G8" s="1623"/>
      <c r="H8" s="1623"/>
      <c r="I8" s="1624"/>
      <c r="J8" s="1624"/>
      <c r="K8" s="1722">
        <f t="shared" si="0"/>
        <v>0</v>
      </c>
      <c r="L8" s="1623"/>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980088</v>
      </c>
      <c r="D13" s="1623">
        <v>349542</v>
      </c>
      <c r="E13" s="1623">
        <v>249683</v>
      </c>
      <c r="F13" s="1623">
        <v>313307</v>
      </c>
      <c r="G13" s="1623">
        <v>39341</v>
      </c>
      <c r="H13" s="1623">
        <v>4350</v>
      </c>
      <c r="I13" s="1624"/>
      <c r="J13" s="1624"/>
      <c r="K13" s="1722">
        <f t="shared" si="0"/>
        <v>1936311</v>
      </c>
      <c r="L13" s="1623">
        <v>2153806</v>
      </c>
    </row>
    <row r="14" spans="1:14" x14ac:dyDescent="0.2">
      <c r="A14" s="1319" t="s">
        <v>957</v>
      </c>
      <c r="B14" s="503">
        <v>1500</v>
      </c>
      <c r="C14" s="1623"/>
      <c r="D14" s="1623"/>
      <c r="E14" s="1623">
        <v>48477</v>
      </c>
      <c r="F14" s="1623"/>
      <c r="G14" s="1623"/>
      <c r="H14" s="1623"/>
      <c r="I14" s="1624"/>
      <c r="J14" s="1624"/>
      <c r="K14" s="1722">
        <f t="shared" si="0"/>
        <v>48477</v>
      </c>
      <c r="L14" s="1623">
        <v>15000</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v>52097</v>
      </c>
      <c r="D19" s="1623">
        <v>7477</v>
      </c>
      <c r="E19" s="1623"/>
      <c r="F19" s="1623"/>
      <c r="G19" s="1623"/>
      <c r="H19" s="1623"/>
      <c r="I19" s="1624"/>
      <c r="J19" s="1624"/>
      <c r="K19" s="1722">
        <f t="shared" si="0"/>
        <v>59574</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1032185</v>
      </c>
      <c r="D33" s="1724">
        <f t="shared" ref="D33:L33" si="1">SUM(D5:D32)</f>
        <v>357019</v>
      </c>
      <c r="E33" s="1724">
        <f t="shared" si="1"/>
        <v>298160</v>
      </c>
      <c r="F33" s="1724">
        <f t="shared" si="1"/>
        <v>313307</v>
      </c>
      <c r="G33" s="1724">
        <f t="shared" si="1"/>
        <v>39341</v>
      </c>
      <c r="H33" s="1724">
        <f t="shared" si="1"/>
        <v>4350</v>
      </c>
      <c r="I33" s="1724">
        <f t="shared" si="1"/>
        <v>0</v>
      </c>
      <c r="J33" s="1724">
        <f t="shared" si="1"/>
        <v>0</v>
      </c>
      <c r="K33" s="1724">
        <f t="shared" si="1"/>
        <v>2044362</v>
      </c>
      <c r="L33" s="1724">
        <f t="shared" si="1"/>
        <v>2168806</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v>3000</v>
      </c>
      <c r="D37" s="1623">
        <v>431</v>
      </c>
      <c r="E37" s="1623"/>
      <c r="F37" s="1623">
        <v>3175</v>
      </c>
      <c r="G37" s="1623"/>
      <c r="H37" s="1623"/>
      <c r="I37" s="1624"/>
      <c r="J37" s="1624"/>
      <c r="K37" s="1722">
        <f t="shared" si="2"/>
        <v>6606</v>
      </c>
      <c r="L37" s="1623">
        <v>6640</v>
      </c>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3000</v>
      </c>
      <c r="D42" s="1724">
        <f t="shared" ref="D42:L42" si="3">SUM(D36:D41)</f>
        <v>431</v>
      </c>
      <c r="E42" s="1724">
        <f t="shared" si="3"/>
        <v>0</v>
      </c>
      <c r="F42" s="1724">
        <f t="shared" si="3"/>
        <v>3175</v>
      </c>
      <c r="G42" s="1724">
        <f t="shared" si="3"/>
        <v>0</v>
      </c>
      <c r="H42" s="1724">
        <f t="shared" si="3"/>
        <v>0</v>
      </c>
      <c r="I42" s="1724">
        <f t="shared" si="3"/>
        <v>0</v>
      </c>
      <c r="J42" s="1724">
        <f t="shared" si="3"/>
        <v>0</v>
      </c>
      <c r="K42" s="1724">
        <f t="shared" si="3"/>
        <v>6606</v>
      </c>
      <c r="L42" s="1724">
        <f t="shared" si="3"/>
        <v>6640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c r="F44" s="1636">
        <v>7424</v>
      </c>
      <c r="G44" s="1636"/>
      <c r="H44" s="1636"/>
      <c r="I44" s="1624"/>
      <c r="J44" s="1624"/>
      <c r="K44" s="1728">
        <f>SUM(C44:J44)</f>
        <v>7424</v>
      </c>
      <c r="L44" s="1636">
        <v>10000</v>
      </c>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c r="D46" s="1623"/>
      <c r="E46" s="1623"/>
      <c r="F46" s="1623"/>
      <c r="G46" s="1623"/>
      <c r="H46" s="1623"/>
      <c r="I46" s="1624"/>
      <c r="J46" s="1624"/>
      <c r="K46" s="1728">
        <f>SUM(C46:J46)</f>
        <v>0</v>
      </c>
      <c r="L46" s="1623">
        <v>198900</v>
      </c>
    </row>
    <row r="47" spans="1:14" ht="12.75" customHeight="1" thickBot="1" x14ac:dyDescent="0.25">
      <c r="A47" s="1429" t="s">
        <v>557</v>
      </c>
      <c r="B47" s="1430" t="s">
        <v>32</v>
      </c>
      <c r="C47" s="1724">
        <f>SUM(C44:C46)</f>
        <v>0</v>
      </c>
      <c r="D47" s="1724">
        <f t="shared" ref="D47:K47" si="4">SUM(D44:D46)</f>
        <v>0</v>
      </c>
      <c r="E47" s="1724">
        <f t="shared" si="4"/>
        <v>0</v>
      </c>
      <c r="F47" s="1724">
        <f t="shared" si="4"/>
        <v>7424</v>
      </c>
      <c r="G47" s="1724">
        <f t="shared" si="4"/>
        <v>0</v>
      </c>
      <c r="H47" s="1724">
        <f t="shared" si="4"/>
        <v>0</v>
      </c>
      <c r="I47" s="1724">
        <f t="shared" si="4"/>
        <v>0</v>
      </c>
      <c r="J47" s="1724">
        <f t="shared" si="4"/>
        <v>0</v>
      </c>
      <c r="K47" s="1724">
        <f t="shared" si="4"/>
        <v>7424</v>
      </c>
      <c r="L47" s="1724">
        <f>SUM(L44:L46)</f>
        <v>208900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48079</v>
      </c>
      <c r="D49" s="1636">
        <v>5975</v>
      </c>
      <c r="E49" s="1636">
        <v>32464</v>
      </c>
      <c r="F49" s="1636">
        <v>159171</v>
      </c>
      <c r="G49" s="1636"/>
      <c r="H49" s="1636">
        <v>1317</v>
      </c>
      <c r="I49" s="1624"/>
      <c r="J49" s="1624"/>
      <c r="K49" s="1728">
        <f>SUM(C49:J49)</f>
        <v>247006</v>
      </c>
      <c r="L49" s="1636">
        <v>78745</v>
      </c>
    </row>
    <row r="50" spans="1:14" x14ac:dyDescent="0.2">
      <c r="A50" s="1319" t="s">
        <v>813</v>
      </c>
      <c r="B50" s="503">
        <v>2320</v>
      </c>
      <c r="C50" s="1623">
        <v>206376</v>
      </c>
      <c r="D50" s="1623">
        <v>29617</v>
      </c>
      <c r="E50" s="1623">
        <v>5921</v>
      </c>
      <c r="F50" s="1623">
        <v>416</v>
      </c>
      <c r="G50" s="1623"/>
      <c r="H50" s="1623">
        <v>2129</v>
      </c>
      <c r="I50" s="1624"/>
      <c r="J50" s="1624"/>
      <c r="K50" s="1728">
        <f>SUM(C50:J50)</f>
        <v>244459</v>
      </c>
      <c r="L50" s="1623">
        <v>253700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254455</v>
      </c>
      <c r="D53" s="1724">
        <f t="shared" ref="D53:L53" si="5">SUM(D49:D52)</f>
        <v>35592</v>
      </c>
      <c r="E53" s="1724">
        <f t="shared" si="5"/>
        <v>38385</v>
      </c>
      <c r="F53" s="1724">
        <f t="shared" si="5"/>
        <v>159587</v>
      </c>
      <c r="G53" s="1724">
        <f t="shared" si="5"/>
        <v>0</v>
      </c>
      <c r="H53" s="1724">
        <f t="shared" si="5"/>
        <v>3446</v>
      </c>
      <c r="I53" s="1724">
        <f t="shared" si="5"/>
        <v>0</v>
      </c>
      <c r="J53" s="1724">
        <f t="shared" si="5"/>
        <v>0</v>
      </c>
      <c r="K53" s="1724">
        <f t="shared" si="5"/>
        <v>491465</v>
      </c>
      <c r="L53" s="1724">
        <f t="shared" si="5"/>
        <v>332445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31528</v>
      </c>
      <c r="D55" s="1636">
        <v>3841</v>
      </c>
      <c r="E55" s="1636"/>
      <c r="F55" s="1636"/>
      <c r="G55" s="1636"/>
      <c r="H55" s="1636"/>
      <c r="I55" s="1624"/>
      <c r="J55" s="1624"/>
      <c r="K55" s="1728">
        <f>SUM(C55:J55)</f>
        <v>35369</v>
      </c>
      <c r="L55" s="1636">
        <v>36100</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31528</v>
      </c>
      <c r="D57" s="1729">
        <f t="shared" ref="D57:K57" si="6">SUM(D55:D56)</f>
        <v>3841</v>
      </c>
      <c r="E57" s="1729">
        <f t="shared" si="6"/>
        <v>0</v>
      </c>
      <c r="F57" s="1729">
        <f t="shared" si="6"/>
        <v>0</v>
      </c>
      <c r="G57" s="1729">
        <f t="shared" si="6"/>
        <v>0</v>
      </c>
      <c r="H57" s="1729">
        <f t="shared" si="6"/>
        <v>0</v>
      </c>
      <c r="I57" s="1729">
        <f t="shared" si="6"/>
        <v>0</v>
      </c>
      <c r="J57" s="1729">
        <f t="shared" si="6"/>
        <v>0</v>
      </c>
      <c r="K57" s="1729">
        <f t="shared" si="6"/>
        <v>35369</v>
      </c>
      <c r="L57" s="1724">
        <f>SUM(L55:L56)</f>
        <v>36100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c r="D60" s="1623"/>
      <c r="E60" s="1623"/>
      <c r="F60" s="1623"/>
      <c r="G60" s="1623"/>
      <c r="H60" s="1623"/>
      <c r="I60" s="1624"/>
      <c r="J60" s="1624"/>
      <c r="K60" s="1728">
        <f t="shared" si="7"/>
        <v>0</v>
      </c>
      <c r="L60" s="1623"/>
      <c r="M60" s="501"/>
      <c r="N60" s="501"/>
    </row>
    <row r="61" spans="1:14" s="321" customFormat="1" x14ac:dyDescent="0.2">
      <c r="A61" s="1319" t="s">
        <v>195</v>
      </c>
      <c r="B61" s="503">
        <v>2540</v>
      </c>
      <c r="C61" s="1623"/>
      <c r="D61" s="1623"/>
      <c r="E61" s="1623">
        <v>69635</v>
      </c>
      <c r="F61" s="1623"/>
      <c r="G61" s="1623"/>
      <c r="H61" s="1623"/>
      <c r="I61" s="1624"/>
      <c r="J61" s="1624"/>
      <c r="K61" s="1728">
        <f t="shared" si="7"/>
        <v>69635</v>
      </c>
      <c r="L61" s="1623">
        <v>80000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c r="F63" s="1623"/>
      <c r="G63" s="1623"/>
      <c r="H63" s="1623"/>
      <c r="I63" s="1624"/>
      <c r="J63" s="1624"/>
      <c r="K63" s="1728">
        <f t="shared" si="7"/>
        <v>0</v>
      </c>
      <c r="L63" s="1623"/>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0</v>
      </c>
      <c r="D65" s="1724">
        <f t="shared" ref="D65:L65" si="8">SUM(D59:D64)</f>
        <v>0</v>
      </c>
      <c r="E65" s="1724">
        <f t="shared" si="8"/>
        <v>69635</v>
      </c>
      <c r="F65" s="1724">
        <f t="shared" si="8"/>
        <v>0</v>
      </c>
      <c r="G65" s="1724">
        <f t="shared" si="8"/>
        <v>0</v>
      </c>
      <c r="H65" s="1724">
        <f t="shared" si="8"/>
        <v>0</v>
      </c>
      <c r="I65" s="1724">
        <f t="shared" si="8"/>
        <v>0</v>
      </c>
      <c r="J65" s="1724">
        <f t="shared" si="8"/>
        <v>0</v>
      </c>
      <c r="K65" s="1724">
        <f t="shared" si="8"/>
        <v>69635</v>
      </c>
      <c r="L65" s="1724">
        <f t="shared" si="8"/>
        <v>80000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288983</v>
      </c>
      <c r="D74" s="1731">
        <f t="shared" ref="D74:K74" si="10">SUM(D42,D47,D53,D57,D65,D72,D73)</f>
        <v>39864</v>
      </c>
      <c r="E74" s="1731">
        <f t="shared" si="10"/>
        <v>108020</v>
      </c>
      <c r="F74" s="1731">
        <f t="shared" si="10"/>
        <v>170186</v>
      </c>
      <c r="G74" s="1731">
        <f t="shared" si="10"/>
        <v>0</v>
      </c>
      <c r="H74" s="1731">
        <f t="shared" si="10"/>
        <v>3446</v>
      </c>
      <c r="I74" s="1731">
        <f t="shared" si="10"/>
        <v>0</v>
      </c>
      <c r="J74" s="1731">
        <f t="shared" si="10"/>
        <v>0</v>
      </c>
      <c r="K74" s="1731">
        <f t="shared" si="10"/>
        <v>610499</v>
      </c>
      <c r="L74" s="1731">
        <f>SUM(L42,L47,L53,L57,L65,L72,L73)</f>
        <v>664085</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0</v>
      </c>
      <c r="I102" s="1632"/>
      <c r="J102" s="1632"/>
      <c r="K102" s="1731">
        <f>SUM(K84,K92,K100,K101)</f>
        <v>0</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1321168</v>
      </c>
      <c r="D114" s="1724">
        <f t="shared" ref="D114:K114" si="13">SUM(D33,D74,D75,D102,D112,D113)</f>
        <v>396883</v>
      </c>
      <c r="E114" s="1724">
        <f t="shared" si="13"/>
        <v>406180</v>
      </c>
      <c r="F114" s="1724">
        <f t="shared" si="13"/>
        <v>483493</v>
      </c>
      <c r="G114" s="1724">
        <f t="shared" si="13"/>
        <v>39341</v>
      </c>
      <c r="H114" s="1724">
        <f>SUM(H33,H74,H75,H102,H112,H113)</f>
        <v>7796</v>
      </c>
      <c r="I114" s="1724">
        <f t="shared" si="13"/>
        <v>0</v>
      </c>
      <c r="J114" s="1724">
        <f t="shared" si="13"/>
        <v>0</v>
      </c>
      <c r="K114" s="1724">
        <f t="shared" si="13"/>
        <v>2654861</v>
      </c>
      <c r="L114" s="1724">
        <f>SUM(L33,L74,L75,L102,L112,L113)</f>
        <v>2832891</v>
      </c>
    </row>
    <row r="115" spans="1:14" ht="13.5" thickTop="1" x14ac:dyDescent="0.2">
      <c r="A115" s="2214" t="s">
        <v>989</v>
      </c>
      <c r="B115" s="2215"/>
      <c r="C115" s="1725"/>
      <c r="D115" s="1725"/>
      <c r="E115" s="1725"/>
      <c r="F115" s="1725"/>
      <c r="G115" s="1725"/>
      <c r="H115" s="1725"/>
      <c r="I115" s="1725"/>
      <c r="J115" s="1725"/>
      <c r="K115" s="1739">
        <f>'Revenues 9-14'!C268-'Expenditures 15-22'!K114</f>
        <v>192988</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9" t="s">
        <v>293</v>
      </c>
      <c r="B117" s="2220"/>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101289</v>
      </c>
      <c r="D124" s="1623">
        <v>11965</v>
      </c>
      <c r="E124" s="1623">
        <v>148373</v>
      </c>
      <c r="F124" s="1623">
        <v>77018</v>
      </c>
      <c r="G124" s="1623">
        <v>246603</v>
      </c>
      <c r="H124" s="1623">
        <v>4883</v>
      </c>
      <c r="I124" s="1624"/>
      <c r="J124" s="1624"/>
      <c r="K124" s="1724">
        <f>SUM(C124:J124)</f>
        <v>590131</v>
      </c>
      <c r="L124" s="1623">
        <v>696500</v>
      </c>
    </row>
    <row r="125" spans="1:14" ht="14.25" thickTop="1" thickBot="1" x14ac:dyDescent="0.25">
      <c r="A125" s="1319" t="s">
        <v>947</v>
      </c>
      <c r="B125" s="503">
        <v>2550</v>
      </c>
      <c r="C125" s="1623"/>
      <c r="D125" s="1623"/>
      <c r="E125" s="1623">
        <v>4076</v>
      </c>
      <c r="F125" s="1623"/>
      <c r="G125" s="1623"/>
      <c r="H125" s="1623"/>
      <c r="I125" s="1624"/>
      <c r="J125" s="1624"/>
      <c r="K125" s="1724">
        <f>SUM(C125:J125)</f>
        <v>4076</v>
      </c>
      <c r="L125" s="1623">
        <v>9000</v>
      </c>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101289</v>
      </c>
      <c r="D127" s="1724">
        <f t="shared" ref="D127:L127" si="14">SUM(D122:D126)</f>
        <v>11965</v>
      </c>
      <c r="E127" s="1724">
        <f t="shared" si="14"/>
        <v>152449</v>
      </c>
      <c r="F127" s="1724">
        <f t="shared" si="14"/>
        <v>77018</v>
      </c>
      <c r="G127" s="1724">
        <f t="shared" si="14"/>
        <v>246603</v>
      </c>
      <c r="H127" s="1724">
        <f t="shared" si="14"/>
        <v>4883</v>
      </c>
      <c r="I127" s="1724">
        <f t="shared" si="14"/>
        <v>0</v>
      </c>
      <c r="J127" s="1724">
        <f t="shared" si="14"/>
        <v>0</v>
      </c>
      <c r="K127" s="1724">
        <f t="shared" si="14"/>
        <v>594207</v>
      </c>
      <c r="L127" s="1724">
        <f t="shared" si="14"/>
        <v>705500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101289</v>
      </c>
      <c r="D129" s="1731">
        <f t="shared" ref="D129:L129" si="15">SUM(D120,D127,D128)</f>
        <v>11965</v>
      </c>
      <c r="E129" s="1731">
        <f t="shared" si="15"/>
        <v>152449</v>
      </c>
      <c r="F129" s="1731">
        <f t="shared" si="15"/>
        <v>77018</v>
      </c>
      <c r="G129" s="1731">
        <f t="shared" si="15"/>
        <v>246603</v>
      </c>
      <c r="H129" s="1731">
        <f t="shared" si="15"/>
        <v>4883</v>
      </c>
      <c r="I129" s="1731">
        <f t="shared" si="15"/>
        <v>0</v>
      </c>
      <c r="J129" s="1731">
        <f t="shared" si="15"/>
        <v>0</v>
      </c>
      <c r="K129" s="1731">
        <f t="shared" si="15"/>
        <v>594207</v>
      </c>
      <c r="L129" s="1731">
        <f t="shared" si="15"/>
        <v>705500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1" t="s">
        <v>616</v>
      </c>
      <c r="B151" s="2211"/>
      <c r="C151" s="1724">
        <f>SUM(C129,C130,C139,C149,C150)</f>
        <v>101289</v>
      </c>
      <c r="D151" s="1724">
        <f t="shared" ref="D151:K151" si="16">SUM(D129,D130,D139,D149,D150)</f>
        <v>11965</v>
      </c>
      <c r="E151" s="1724">
        <f t="shared" si="16"/>
        <v>152449</v>
      </c>
      <c r="F151" s="1724">
        <f t="shared" si="16"/>
        <v>77018</v>
      </c>
      <c r="G151" s="1724">
        <f t="shared" si="16"/>
        <v>246603</v>
      </c>
      <c r="H151" s="1724">
        <f t="shared" si="16"/>
        <v>4883</v>
      </c>
      <c r="I151" s="1724">
        <f t="shared" si="16"/>
        <v>0</v>
      </c>
      <c r="J151" s="1724">
        <f t="shared" si="16"/>
        <v>0</v>
      </c>
      <c r="K151" s="1724">
        <f t="shared" si="16"/>
        <v>594207</v>
      </c>
      <c r="L151" s="1724">
        <f>SUM(L129,L130,L139,L149,L150)</f>
        <v>705500</v>
      </c>
    </row>
    <row r="152" spans="1:14" ht="12.75" customHeight="1" thickTop="1" x14ac:dyDescent="0.2">
      <c r="A152" s="2234" t="s">
        <v>1170</v>
      </c>
      <c r="B152" s="2235"/>
      <c r="C152" s="1725"/>
      <c r="D152" s="1725"/>
      <c r="E152" s="1725"/>
      <c r="F152" s="1725"/>
      <c r="G152" s="1725"/>
      <c r="H152" s="1725"/>
      <c r="I152" s="1725"/>
      <c r="J152" s="1723"/>
      <c r="K152" s="1739">
        <f>'Revenues 9-14'!D268-'Expenditures 15-22'!K151</f>
        <v>2197</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9" t="s">
        <v>617</v>
      </c>
      <c r="B154" s="222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51036</v>
      </c>
      <c r="I169" s="1723"/>
      <c r="J169" s="1723"/>
      <c r="K169" s="1722">
        <f>SUM(C169:H169)</f>
        <v>51036</v>
      </c>
      <c r="L169" s="1745">
        <v>56036</v>
      </c>
    </row>
    <row r="170" spans="1:14" ht="33.75" customHeight="1" x14ac:dyDescent="0.2">
      <c r="A170" s="543" t="s">
        <v>1654</v>
      </c>
      <c r="B170" s="545" t="s">
        <v>31</v>
      </c>
      <c r="C170" s="1723"/>
      <c r="D170" s="1723"/>
      <c r="E170" s="1723"/>
      <c r="F170" s="1723"/>
      <c r="G170" s="1723"/>
      <c r="H170" s="1696">
        <v>95000</v>
      </c>
      <c r="I170" s="1723"/>
      <c r="J170" s="1723"/>
      <c r="K170" s="1722">
        <f>SUM(C170:J170)</f>
        <v>95000</v>
      </c>
      <c r="L170" s="1696"/>
    </row>
    <row r="171" spans="1:14" ht="15.75" customHeight="1" x14ac:dyDescent="0.2">
      <c r="A171" s="507" t="s">
        <v>761</v>
      </c>
      <c r="B171" s="546" t="s">
        <v>84</v>
      </c>
      <c r="C171" s="1723"/>
      <c r="D171" s="1723"/>
      <c r="E171" s="1623"/>
      <c r="F171" s="1723"/>
      <c r="G171" s="1723"/>
      <c r="H171" s="1696">
        <v>270</v>
      </c>
      <c r="I171" s="1632"/>
      <c r="J171" s="1723"/>
      <c r="K171" s="1722">
        <f>SUM(C171:J171)</f>
        <v>270</v>
      </c>
      <c r="L171" s="1696"/>
    </row>
    <row r="172" spans="1:14" ht="12.75" customHeight="1" thickBot="1" x14ac:dyDescent="0.25">
      <c r="A172" s="1429" t="s">
        <v>633</v>
      </c>
      <c r="B172" s="1430" t="s">
        <v>489</v>
      </c>
      <c r="C172" s="1723"/>
      <c r="D172" s="1723"/>
      <c r="E172" s="1731">
        <f>SUM(E168,E169,E170,E171)</f>
        <v>0</v>
      </c>
      <c r="F172" s="1723"/>
      <c r="G172" s="1723"/>
      <c r="H172" s="1731">
        <f>SUM(H168,H169,H170,H171)</f>
        <v>146306</v>
      </c>
      <c r="I172" s="1734"/>
      <c r="J172" s="1723"/>
      <c r="K172" s="1731">
        <f>SUM(K168,K169,K170,K171)</f>
        <v>146306</v>
      </c>
      <c r="L172" s="1731">
        <f>SUM(L168,L169,L170,L171)</f>
        <v>56036</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146306</v>
      </c>
      <c r="I174" s="1734"/>
      <c r="J174" s="1723"/>
      <c r="K174" s="1731">
        <f>SUM(K160,K172,K173)</f>
        <v>146306</v>
      </c>
      <c r="L174" s="1731">
        <f>SUM(L160,L172,L173)</f>
        <v>56036</v>
      </c>
    </row>
    <row r="175" spans="1:14" ht="13.5" thickTop="1" x14ac:dyDescent="0.2">
      <c r="A175" s="2214" t="s">
        <v>989</v>
      </c>
      <c r="B175" s="2215"/>
      <c r="C175" s="1723"/>
      <c r="D175" s="1723"/>
      <c r="E175" s="1723"/>
      <c r="F175" s="1723"/>
      <c r="G175" s="1723"/>
      <c r="H175" s="1725"/>
      <c r="I175" s="1723"/>
      <c r="J175" s="1723"/>
      <c r="K175" s="1739">
        <f>'Revenues 9-14'!E268-'Expenditures 15-22'!K174</f>
        <v>-1160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214" t="s">
        <v>989</v>
      </c>
      <c r="B211" s="2215"/>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6" t="s">
        <v>959</v>
      </c>
      <c r="B213" s="223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2" t="s">
        <v>502</v>
      </c>
      <c r="B295" s="2233"/>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14" t="s">
        <v>989</v>
      </c>
      <c r="B296" s="2215"/>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4" t="s">
        <v>142</v>
      </c>
      <c r="B298" s="2218"/>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9" t="s">
        <v>275</v>
      </c>
      <c r="B312" s="2230"/>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5" t="s">
        <v>989</v>
      </c>
      <c r="B313" s="2226"/>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8" t="s">
        <v>148</v>
      </c>
      <c r="B315" s="2239"/>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0" t="s">
        <v>892</v>
      </c>
      <c r="B317" s="223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27" t="s">
        <v>989</v>
      </c>
      <c r="B343" s="2228"/>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7" t="s">
        <v>960</v>
      </c>
      <c r="B345" s="2218"/>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14" t="s">
        <v>989</v>
      </c>
      <c r="B368" s="2215"/>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dcmitype/"/>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d21dc803-237d-4c68-8692-8d731fd29118"/>
    <ds:schemaRef ds:uri="http://schemas.openxmlformats.org/package/2006/metadata/core-properties"/>
    <ds:schemaRef ds:uri="4d435f69-8686-490b-bd6d-b153bf22ab50"/>
    <ds:schemaRef ds:uri="6ce3111e-7420-4802-b50a-75d4e9a0b980"/>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2020-09-16T15:02:01Z</cp:lastPrinted>
  <dcterms:created xsi:type="dcterms:W3CDTF">2003-10-29T19:06:34Z</dcterms:created>
  <dcterms:modified xsi:type="dcterms:W3CDTF">2020-09-24T13:58:40Z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